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19200" windowHeight="6430" tabRatio="680" activeTab="2"/>
  </bookViews>
  <sheets>
    <sheet name="PivotTablesVolShift" sheetId="11" r:id="rId1"/>
    <sheet name="PivotTablesUnderlyingShift" sheetId="10" r:id="rId2"/>
    <sheet name="OptionsData" sheetId="8" r:id="rId3"/>
    <sheet name="PriceData" sheetId="9" r:id="rId4"/>
  </sheets>
  <definedNames>
    <definedName name="HedgeRange">#REF!</definedName>
    <definedName name="NKY_StrikeList">PriceData!$B$32:$V$32</definedName>
    <definedName name="NKY_VolTable">PriceData!$A$33:$V$35</definedName>
    <definedName name="OptionLattice">#REF!</definedName>
    <definedName name="PnL">#REF!</definedName>
    <definedName name="SPX_StrikeList">PriceData!$B$14:$V$14</definedName>
    <definedName name="SPX_VolTable">PriceData!$A$15:$V$17</definedName>
    <definedName name="StockLattice">#REF!</definedName>
    <definedName name="SX5E_StrikeList">PriceData!$B$23:$V$23</definedName>
    <definedName name="SX5E_VolTable">PriceData!$A$24:$V$26</definedName>
  </definedName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<sst xmlns="http://schemas.openxmlformats.org/spreadsheetml/2006/main" count="522" uniqueCount="75">
  <si>
    <t>Underlying</t>
  </si>
  <si>
    <t>SX5E Index</t>
  </si>
  <si>
    <t>Sum of Total Vega 1%</t>
  </si>
  <si>
    <t>Maturity</t>
  </si>
  <si>
    <t>Sum of Total Volga</t>
  </si>
  <si>
    <t>Strike</t>
  </si>
  <si>
    <t>Grand Total</t>
  </si>
  <si>
    <t>(blank)</t>
  </si>
  <si>
    <t>Sum of ImpVol  +10%</t>
  </si>
  <si>
    <t>Sum of Total $Delta</t>
  </si>
  <si>
    <t>Sum of Total $Gamma</t>
  </si>
  <si>
    <t>Sum of PnL: Und +10%</t>
  </si>
  <si>
    <t>Underlying Price</t>
  </si>
  <si>
    <t>Div. Yield</t>
  </si>
  <si>
    <t>Security Type</t>
  </si>
  <si>
    <t>Currency</t>
  </si>
  <si>
    <t>Position</t>
  </si>
  <si>
    <t>CallPut</t>
  </si>
  <si>
    <t>Imp. Vol</t>
  </si>
  <si>
    <t>Risk-Free Rate</t>
  </si>
  <si>
    <t>Security Price</t>
  </si>
  <si>
    <t>Total Position Value</t>
  </si>
  <si>
    <t>CounterParty</t>
  </si>
  <si>
    <t>Margin</t>
  </si>
  <si>
    <t>$Delta (ESP)</t>
  </si>
  <si>
    <t>$Gamma</t>
  </si>
  <si>
    <t>Vega 1%</t>
  </si>
  <si>
    <t>Volga</t>
  </si>
  <si>
    <t>1 Day Theta</t>
  </si>
  <si>
    <t>Rho (1%)</t>
  </si>
  <si>
    <t>Total $Delta</t>
  </si>
  <si>
    <t>Total $Gamma</t>
  </si>
  <si>
    <t>Total Vega 1%</t>
  </si>
  <si>
    <t>Total Volga</t>
  </si>
  <si>
    <t>Total 1 Day Theta</t>
  </si>
  <si>
    <t>Total Rho (1%)</t>
  </si>
  <si>
    <t>PnL: Und  -20%</t>
  </si>
  <si>
    <t>PnL: Und -10%</t>
  </si>
  <si>
    <t>PnL: Und -5%</t>
  </si>
  <si>
    <t>PnL: Und -2%</t>
  </si>
  <si>
    <t>PnL: Und +2%</t>
  </si>
  <si>
    <t>PnL: Und +5%</t>
  </si>
  <si>
    <t>PnL: Und +10%</t>
  </si>
  <si>
    <t>PnL: Und +20%</t>
  </si>
  <si>
    <t>ImpVol  -10%</t>
  </si>
  <si>
    <t>ImpVol  -5%</t>
  </si>
  <si>
    <t>ImpVol  -2%</t>
  </si>
  <si>
    <t>ImpVol  -1%</t>
  </si>
  <si>
    <t>ImpVol  +1%</t>
  </si>
  <si>
    <t>ImpVol  +2%</t>
  </si>
  <si>
    <t>ImpVol  +5%</t>
  </si>
  <si>
    <t>ImpVol  +10%</t>
  </si>
  <si>
    <t>SPX Index</t>
  </si>
  <si>
    <t>Future</t>
  </si>
  <si>
    <t>USD</t>
  </si>
  <si>
    <t>Exch</t>
  </si>
  <si>
    <t>Option</t>
  </si>
  <si>
    <t>Put</t>
  </si>
  <si>
    <t>GoldMine Sacks</t>
  </si>
  <si>
    <t>Call</t>
  </si>
  <si>
    <t>JP Horgan</t>
  </si>
  <si>
    <t>Darklays Capital</t>
  </si>
  <si>
    <t>EUR</t>
  </si>
  <si>
    <t>UBS</t>
  </si>
  <si>
    <t>NKY Index</t>
  </si>
  <si>
    <t>JPY</t>
  </si>
  <si>
    <t>Risk-Free Curves</t>
  </si>
  <si>
    <t>Exchange Rates</t>
  </si>
  <si>
    <t>Price</t>
  </si>
  <si>
    <t>Div Yield</t>
  </si>
  <si>
    <t>USD/EUR</t>
  </si>
  <si>
    <t>USD/JPY</t>
  </si>
  <si>
    <t>SPX Implied Volatility Surface</t>
  </si>
  <si>
    <t>SX5E Implied Volatility Surface</t>
  </si>
  <si>
    <t>NKY Implied Volatility Surface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</si>
</sst>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[$-409]d\-mmm\-yy;@"/>
    <numFmt numFmtId="177" formatCode="0.0000"/>
    <numFmt numFmtId="178" formatCode="0.0%"/>
    <numFmt numFmtId="179" formatCode="0.0"/>
    <numFmt numFmtId="180" formatCode="_(* #,##0_);_(* \(#,##0\);_(* &quot;-&quot;??_);_(@_)"/>
    <numFmt numFmtId="181" formatCode="0_);[Red]\(0\)"/>
  </numFmts>
  <fonts count="24">
    <font>
      <sz val="10"/>
      <name val="Arial"/>
      <family val="2"/>
      <charset val="0"/>
    </font>
    <font>
      <b/>
      <sz val="10"/>
      <name val="Arial"/>
      <family val="2"/>
      <charset val="0"/>
    </font>
    <font>
      <b/>
      <i/>
      <sz val="10"/>
      <name val="Arial"/>
      <family val="2"/>
      <charset val="0"/>
    </font>
    <font>
      <i/>
      <sz val="10"/>
      <name val="Arial"/>
      <family val="2"/>
      <charset val="0"/>
    </font>
    <font>
      <b/>
      <sz val="8"/>
      <name val="Arial"/>
      <family val="2"/>
      <charset val="0"/>
    </font>
    <font>
      <u/>
      <sz val="10"/>
      <color indexed="12"/>
      <name val="Arial"/>
      <family val="2"/>
      <charset val="0"/>
    </font>
    <font>
      <u/>
      <sz val="10"/>
      <color indexed="36"/>
      <name val="Arial"/>
      <family val="2"/>
      <charset val="0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0" fillId="5" borderId="26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27" applyNumberFormat="0" applyFill="0" applyAlignment="0" applyProtection="0"/>
    <xf numFmtId="0" fontId="11" fillId="0" borderId="28" applyNumberFormat="0" applyFill="0" applyAlignment="0" applyProtection="0"/>
    <xf numFmtId="0" fontId="12" fillId="0" borderId="29" applyNumberFormat="0" applyFill="0" applyAlignment="0" applyProtection="0"/>
    <xf numFmtId="0" fontId="12" fillId="0" borderId="0" applyNumberFormat="0" applyFill="0" applyBorder="0" applyAlignment="0" applyProtection="0"/>
    <xf numFmtId="0" fontId="13" fillId="6" borderId="30" applyNumberFormat="0" applyAlignment="0" applyProtection="0"/>
    <xf numFmtId="0" fontId="14" fillId="7" borderId="31" applyNumberFormat="0" applyAlignment="0" applyProtection="0"/>
    <xf numFmtId="0" fontId="15" fillId="7" borderId="30" applyNumberFormat="0" applyAlignment="0" applyProtection="0"/>
    <xf numFmtId="0" fontId="16" fillId="8" borderId="32" applyNumberFormat="0" applyAlignment="0" applyProtection="0"/>
    <xf numFmtId="0" fontId="17" fillId="0" borderId="33" applyNumberFormat="0" applyFill="0" applyAlignment="0" applyProtection="0"/>
    <xf numFmtId="0" fontId="18" fillId="0" borderId="34" applyNumberFormat="0" applyFill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3" fillId="21" borderId="0" applyNumberFormat="0" applyBorder="0" applyAlignment="0" applyProtection="0"/>
    <xf numFmtId="0" fontId="23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3" fillId="25" borderId="0" applyNumberFormat="0" applyBorder="0" applyAlignment="0" applyProtection="0"/>
    <xf numFmtId="0" fontId="23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3" fillId="29" borderId="0" applyNumberFormat="0" applyBorder="0" applyAlignment="0" applyProtection="0"/>
    <xf numFmtId="0" fontId="23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3" fillId="33" borderId="0" applyNumberFormat="0" applyBorder="0" applyAlignment="0" applyProtection="0"/>
    <xf numFmtId="0" fontId="23" fillId="34" borderId="0" applyNumberFormat="0" applyBorder="0" applyAlignment="0" applyProtection="0"/>
    <xf numFmtId="0" fontId="22" fillId="35" borderId="0" applyNumberFormat="0" applyBorder="0" applyAlignment="0" applyProtection="0"/>
  </cellStyleXfs>
  <cellXfs count="9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76" fontId="0" fillId="0" borderId="0" xfId="0" applyNumberFormat="1"/>
    <xf numFmtId="0" fontId="0" fillId="0" borderId="4" xfId="0" applyBorder="1"/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/>
    </xf>
    <xf numFmtId="0" fontId="0" fillId="0" borderId="5" xfId="0" applyBorder="1" applyAlignment="1">
      <alignment horizontal="center"/>
    </xf>
    <xf numFmtId="0" fontId="1" fillId="3" borderId="6" xfId="0" applyFont="1" applyFill="1" applyBorder="1"/>
    <xf numFmtId="0" fontId="0" fillId="0" borderId="6" xfId="0" applyBorder="1" applyAlignment="1">
      <alignment horizontal="center"/>
    </xf>
    <xf numFmtId="10" fontId="0" fillId="0" borderId="7" xfId="0" applyNumberFormat="1" applyBorder="1" applyAlignment="1">
      <alignment horizontal="center"/>
    </xf>
    <xf numFmtId="176" fontId="0" fillId="0" borderId="5" xfId="0" applyNumberFormat="1" applyBorder="1" applyAlignment="1">
      <alignment horizontal="left"/>
    </xf>
    <xf numFmtId="10" fontId="0" fillId="0" borderId="5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0" fontId="2" fillId="3" borderId="9" xfId="0" applyFont="1" applyFill="1" applyBorder="1" applyAlignment="1">
      <alignment horizontal="left"/>
    </xf>
    <xf numFmtId="177" fontId="0" fillId="0" borderId="9" xfId="0" applyNumberFormat="1" applyBorder="1" applyAlignment="1">
      <alignment horizontal="center"/>
    </xf>
    <xf numFmtId="176" fontId="0" fillId="0" borderId="6" xfId="0" applyNumberFormat="1" applyBorder="1" applyAlignment="1">
      <alignment horizontal="left"/>
    </xf>
    <xf numFmtId="10" fontId="0" fillId="0" borderId="6" xfId="0" applyNumberFormat="1" applyBorder="1" applyAlignment="1">
      <alignment horizontal="center"/>
    </xf>
    <xf numFmtId="0" fontId="1" fillId="3" borderId="9" xfId="0" applyFont="1" applyFill="1" applyBorder="1"/>
    <xf numFmtId="0" fontId="0" fillId="0" borderId="9" xfId="0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76" fontId="0" fillId="0" borderId="9" xfId="0" applyNumberFormat="1" applyBorder="1" applyAlignment="1">
      <alignment horizontal="left"/>
    </xf>
    <xf numFmtId="10" fontId="0" fillId="0" borderId="9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76" fontId="3" fillId="0" borderId="5" xfId="0" applyNumberFormat="1" applyFont="1" applyBorder="1" applyAlignment="1">
      <alignment horizontal="left"/>
    </xf>
    <xf numFmtId="178" fontId="0" fillId="0" borderId="11" xfId="0" applyNumberFormat="1" applyBorder="1" applyAlignment="1">
      <alignment horizontal="center"/>
    </xf>
    <xf numFmtId="178" fontId="0" fillId="0" borderId="12" xfId="0" applyNumberFormat="1" applyBorder="1" applyAlignment="1">
      <alignment horizontal="center"/>
    </xf>
    <xf numFmtId="178" fontId="0" fillId="0" borderId="8" xfId="0" applyNumberFormat="1" applyBorder="1" applyAlignment="1">
      <alignment horizontal="center"/>
    </xf>
    <xf numFmtId="176" fontId="3" fillId="0" borderId="6" xfId="0" applyNumberFormat="1" applyFont="1" applyBorder="1" applyAlignment="1">
      <alignment horizontal="left"/>
    </xf>
    <xf numFmtId="178" fontId="0" fillId="0" borderId="13" xfId="0" applyNumberFormat="1" applyBorder="1" applyAlignment="1">
      <alignment horizontal="center"/>
    </xf>
    <xf numFmtId="178" fontId="0" fillId="0" borderId="0" xfId="0" applyNumberFormat="1" applyBorder="1" applyAlignment="1">
      <alignment horizontal="center"/>
    </xf>
    <xf numFmtId="178" fontId="0" fillId="0" borderId="7" xfId="0" applyNumberFormat="1" applyBorder="1" applyAlignment="1">
      <alignment horizontal="center"/>
    </xf>
    <xf numFmtId="176" fontId="3" fillId="0" borderId="9" xfId="0" applyNumberFormat="1" applyFont="1" applyBorder="1" applyAlignment="1">
      <alignment horizontal="left"/>
    </xf>
    <xf numFmtId="178" fontId="0" fillId="0" borderId="14" xfId="0" applyNumberFormat="1" applyBorder="1" applyAlignment="1">
      <alignment horizontal="center"/>
    </xf>
    <xf numFmtId="178" fontId="0" fillId="0" borderId="15" xfId="0" applyNumberFormat="1" applyBorder="1" applyAlignment="1">
      <alignment horizontal="center"/>
    </xf>
    <xf numFmtId="178" fontId="0" fillId="0" borderId="10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78" fontId="0" fillId="0" borderId="0" xfId="0" applyNumberFormat="1" applyAlignment="1">
      <alignment horizontal="center"/>
    </xf>
    <xf numFmtId="178" fontId="0" fillId="0" borderId="0" xfId="0" applyNumberFormat="1"/>
    <xf numFmtId="10" fontId="0" fillId="0" borderId="0" xfId="0" applyNumberFormat="1"/>
    <xf numFmtId="2" fontId="0" fillId="0" borderId="0" xfId="0" applyNumberFormat="1"/>
    <xf numFmtId="1" fontId="0" fillId="0" borderId="0" xfId="0" applyNumberFormat="1" applyAlignment="1">
      <alignment horizontal="center"/>
    </xf>
    <xf numFmtId="179" fontId="0" fillId="0" borderId="0" xfId="0" applyNumberFormat="1"/>
    <xf numFmtId="17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80" fontId="0" fillId="0" borderId="0" xfId="1" applyNumberFormat="1" applyFont="1"/>
    <xf numFmtId="1" fontId="0" fillId="0" borderId="0" xfId="1" applyNumberFormat="1" applyFont="1" applyAlignment="1">
      <alignment horizontal="center"/>
    </xf>
    <xf numFmtId="0" fontId="4" fillId="0" borderId="0" xfId="0" applyFont="1" applyAlignment="1">
      <alignment horizontal="left"/>
    </xf>
    <xf numFmtId="178" fontId="4" fillId="0" borderId="0" xfId="0" applyNumberFormat="1" applyFont="1" applyAlignment="1">
      <alignment horizontal="center"/>
    </xf>
    <xf numFmtId="176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79" fontId="4" fillId="0" borderId="0" xfId="0" applyNumberFormat="1" applyFont="1" applyAlignment="1">
      <alignment horizontal="center"/>
    </xf>
    <xf numFmtId="180" fontId="4" fillId="0" borderId="0" xfId="1" applyNumberFormat="1" applyFont="1" applyAlignment="1">
      <alignment horizontal="center"/>
    </xf>
    <xf numFmtId="1" fontId="4" fillId="0" borderId="0" xfId="1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80" fontId="0" fillId="0" borderId="0" xfId="1" applyNumberFormat="1" applyFont="1" applyAlignment="1">
      <alignment horizontal="center"/>
    </xf>
    <xf numFmtId="179" fontId="0" fillId="4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76" fontId="0" fillId="0" borderId="17" xfId="0" applyNumberFormat="1" applyBorder="1"/>
    <xf numFmtId="176" fontId="0" fillId="0" borderId="20" xfId="0" applyNumberFormat="1" applyBorder="1"/>
    <xf numFmtId="176" fontId="0" fillId="0" borderId="21" xfId="0" applyNumberFormat="1" applyBorder="1"/>
    <xf numFmtId="0" fontId="0" fillId="0" borderId="17" xfId="0" applyBorder="1" applyAlignment="1">
      <alignment horizontal="center"/>
    </xf>
    <xf numFmtId="38" fontId="0" fillId="0" borderId="17" xfId="0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38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38" fontId="0" fillId="0" borderId="22" xfId="0" applyNumberFormat="1" applyBorder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23" xfId="0" applyNumberFormat="1" applyBorder="1" applyAlignment="1">
      <alignment horizontal="center"/>
    </xf>
    <xf numFmtId="181" fontId="0" fillId="0" borderId="22" xfId="0" applyNumberFormat="1" applyBorder="1" applyAlignment="1">
      <alignment horizontal="center"/>
    </xf>
    <xf numFmtId="181" fontId="0" fillId="0" borderId="24" xfId="0" applyNumberFormat="1" applyBorder="1" applyAlignment="1">
      <alignment horizontal="center"/>
    </xf>
    <xf numFmtId="38" fontId="0" fillId="0" borderId="24" xfId="0" applyNumberFormat="1" applyBorder="1" applyAlignment="1">
      <alignment horizontal="center"/>
    </xf>
    <xf numFmtId="38" fontId="0" fillId="0" borderId="25" xfId="0" applyNumberFormat="1" applyBorder="1" applyAlignment="1">
      <alignment horizontal="center"/>
    </xf>
    <xf numFmtId="38" fontId="0" fillId="0" borderId="16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1" xfId="0" applyBorder="1"/>
    <xf numFmtId="176" fontId="0" fillId="0" borderId="17" xfId="0" applyNumberFormat="1" applyBorder="1" applyAlignment="1">
      <alignment horizontal="center"/>
    </xf>
    <xf numFmtId="176" fontId="0" fillId="0" borderId="20" xfId="0" applyNumberFormat="1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5">
    <dxf>
      <alignment horizontal="center"/>
    </dxf>
    <dxf>
      <numFmt numFmtId="38" formatCode="#,##0_);[Red]\(#,##0\)"/>
    </dxf>
    <dxf>
      <alignment horizontal="center"/>
    </dxf>
    <dxf>
      <alignment horizontal="center"/>
    </dxf>
    <dxf>
      <numFmt numFmtId="181" formatCode="0_);[Red]\(0\)"/>
    </dxf>
    <dxf>
      <numFmt numFmtId="181" formatCode="0_);[Red]\(0\)"/>
    </dxf>
    <dxf>
      <numFmt numFmtId="38" formatCode="#,##0_);[Red]\(#,##0\)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8" formatCode="#,##0_);[Red]\(#,##0\)"/>
    </dxf>
    <dxf>
      <numFmt numFmtId="38" formatCode="#,##0_);[Red]\(#,##0\)"/>
    </dxf>
    <dxf>
      <numFmt numFmtId="176" formatCode="[$-409]d\-mmm\-yy;@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8" formatCode="#,##0_);[Red]\(#,##0\)"/>
    </dxf>
    <dxf>
      <alignment horizontal="center"/>
    </dxf>
    <dxf>
      <alignment horizontal="center"/>
    </dxf>
    <dxf>
      <alignment horizontal="center"/>
    </dxf>
    <dxf>
      <numFmt numFmtId="38" formatCode="#,##0_);[Red]\(#,##0\)"/>
    </dxf>
    <dxf>
      <numFmt numFmtId="38" formatCode="#,##0_);[Red]\(#,##0\)"/>
    </dxf>
    <dxf>
      <numFmt numFmtId="176" formatCode="[$-409]d\-mmm\-yy;@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81" formatCode="0_);[Red]\(0\)"/>
    </dxf>
    <dxf>
      <numFmt numFmtId="181" formatCode="0_);[Red]\(0\)"/>
    </dxf>
    <dxf>
      <numFmt numFmtId="38" formatCode="#,##0_);[Red]\(#,##0\)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colors>
    <mruColors>
      <color rgb="00FFFFFF"/>
      <color rgb="0099CCFF"/>
      <color rgb="00CC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1" refreshedVersion="2" refreshedDate="40187.4669394676" refreshedBy="mhaugh" recordCount="83">
  <cacheSource type="worksheet">
    <worksheetSource ref="A1:AQ84" sheet="OptionsData"/>
  </cacheSource>
  <cacheFields count="44">
    <cacheField name="Underlying" numFmtId="0">
      <sharedItems count="3">
        <s v="SPX Index"/>
        <s v="SX5E Index"/>
        <s v="NKY Index"/>
      </sharedItems>
    </cacheField>
    <cacheField name="Underlying Price" numFmtId="0">
      <sharedItems containsSemiMixedTypes="0" containsString="0" containsNumber="1" containsInteger="1" minValue="1100" maxValue="10022" count="3">
        <n v="1100"/>
        <n v="2905"/>
        <n v="10022"/>
      </sharedItems>
    </cacheField>
    <cacheField name="Div. Yield" numFmtId="0">
      <sharedItems containsSemiMixedTypes="0" containsString="0" containsNumber="1" minValue="0.005" maxValue="0.022" count="3">
        <n v="0.02"/>
        <n v="0.022"/>
        <n v="0.005"/>
      </sharedItems>
    </cacheField>
    <cacheField name="Security Type" numFmtId="0">
      <sharedItems count="2">
        <s v="Future"/>
        <s v="Option"/>
      </sharedItems>
    </cacheField>
    <cacheField name="Currency" numFmtId="0">
      <sharedItems count="3">
        <s v="USD"/>
        <s v="EUR"/>
        <s v="JPY"/>
      </sharedItems>
    </cacheField>
    <cacheField name="Position" numFmtId="0">
      <sharedItems containsSemiMixedTypes="0" containsString="0" containsNumber="1" containsInteger="1" minValue="-50" maxValue="200" count="15">
        <n v="25"/>
        <n v="200"/>
        <n v="-50"/>
        <n v="-25"/>
        <n v="30"/>
        <n v="-20"/>
        <n v="20"/>
        <n v="50"/>
        <n v="-30"/>
        <n v="-10"/>
        <n v="10"/>
        <n v="-40"/>
        <n v="5"/>
        <n v="-15"/>
        <n v="-5"/>
      </sharedItems>
    </cacheField>
    <cacheField name="Strike" numFmtId="0">
      <sharedItems containsString="0" containsBlank="1" containsNumber="1" containsInteger="1" minValue="902" maxValue="11525" count="30">
        <m/>
        <n v="935"/>
        <n v="1001"/>
        <n v="1100"/>
        <n v="1034"/>
        <n v="1232"/>
        <n v="902"/>
        <n v="1331"/>
        <n v="1298"/>
        <n v="1067"/>
        <n v="2992"/>
        <n v="2818"/>
        <n v="2556"/>
        <n v="3079"/>
        <n v="2469"/>
        <n v="3166"/>
        <n v="3254"/>
        <n v="2905"/>
        <n v="3341"/>
        <n v="3428"/>
        <n v="2731"/>
        <n v="10022"/>
        <n v="9120"/>
        <n v="10323"/>
        <n v="8519"/>
        <n v="11225"/>
        <n v="11525"/>
        <n v="9721"/>
        <n v="7617"/>
        <n v="8819"/>
      </sharedItems>
    </cacheField>
    <cacheField name="CallPut" numFmtId="0">
      <sharedItems containsBlank="1" count="3">
        <m/>
        <s v="Put"/>
        <s v="Call"/>
      </sharedItems>
    </cacheField>
    <cacheField name="Maturity" numFmtId="0">
      <sharedItems containsSemiMixedTypes="0" containsString="0" containsNonDate="0" containsDate="1" minDate="2010-03-19T00:00:00" maxDate="2010-09-17T00:00:00" count="3">
        <d v="2010-03-19T00:00:00"/>
        <d v="2010-06-18T00:00:00"/>
        <d v="2010-09-17T00:00:00"/>
      </sharedItems>
    </cacheField>
    <cacheField name="Imp. Vol" numFmtId="0"/>
    <cacheField name="Risk-Free Rate" numFmtId="0">
      <sharedItems containsString="0" containsBlank="1" containsNumber="1" minValue="0.005" maxValue="0.025" count="9">
        <m/>
        <n v="0.011"/>
        <n v="0.015"/>
        <n v="0.0175"/>
        <n v="0.022"/>
        <n v="0.023"/>
        <n v="0.025"/>
        <n v="0.005"/>
        <n v="0.0075"/>
      </sharedItems>
    </cacheField>
    <cacheField name="Security Price" numFmtId="0"/>
    <cacheField name="Total Position Value" numFmtId="0"/>
    <cacheField name="CounterParty" numFmtId="0">
      <sharedItems count="5">
        <s v="Exch"/>
        <s v="GoldMine Sacks"/>
        <s v="JP Horgan"/>
        <s v="Darklays Capital"/>
        <s v="UBS"/>
      </sharedItems>
    </cacheField>
    <cacheField name="Margin" numFmtId="0">
      <sharedItems containsString="0" containsBlank="1" containsNonDate="0" count="1">
        <m/>
      </sharedItems>
    </cacheField>
    <cacheField name="$Delta (ESP)" numFmtId="0"/>
    <cacheField name="$Gamma" numFmtId="0"/>
    <cacheField name="Vega 1%" numFmtId="0"/>
    <cacheField name="Volga" numFmtId="0"/>
    <cacheField name="1 Day Theta" numFmtId="0"/>
    <cacheField name="Rho (1%)" numFmtId="0"/>
    <cacheField name="Total $Delta" numFmtId="0"/>
    <cacheField name="Total $Gamma" numFmtId="0"/>
    <cacheField name="Total Vega 1%" numFmtId="0"/>
    <cacheField name="Total Volga" numFmtId="0"/>
    <cacheField name="Total 1 Day Theta" numFmtId="0"/>
    <cacheField name="Total Rho (1%)" numFmtId="0"/>
    <cacheField name="PnL: Und  -20%" numFmtId="0"/>
    <cacheField name="PnL: Und -10%" numFmtId="0"/>
    <cacheField name="PnL: Und -5%" numFmtId="0"/>
    <cacheField name="PnL: Und -2%" numFmtId="0"/>
    <cacheField name="PnL: Und +2%" numFmtId="0"/>
    <cacheField name="PnL: Und +5%" numFmtId="0"/>
    <cacheField name="PnL: Und +10%" numFmtId="0"/>
    <cacheField name="PnL: Und +20%" numFmtId="0"/>
    <cacheField name="ImpVol  -10%" numFmtId="0"/>
    <cacheField name="ImpVol  -5%" numFmtId="0"/>
    <cacheField name="ImpVol  -2%" numFmtId="0"/>
    <cacheField name="ImpVol  -1%" numFmtId="0"/>
    <cacheField name="ImpVol  +1%" numFmtId="0"/>
    <cacheField name="ImpVol  +2%" numFmtId="0"/>
    <cacheField name="ImpVol  +5%" numFmtId="0"/>
    <cacheField name="ImpVol  +10%" numFmtId="0"/>
    <cacheField name="Total Delta" numFmtId="0" formula="'$Delta (ESP)'*Position" databaseField="0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1" refreshedVersion="2" refreshedDate="40186.6199165509" refreshedBy="mhaugh" recordCount="83">
  <cacheSource type="worksheet">
    <worksheetSource ref="A1:AQ84" sheet="OptionsData"/>
  </cacheSource>
  <cacheFields count="39">
    <cacheField name="Underlying" numFmtId="0">
      <sharedItems count="3">
        <s v="SPX Index"/>
        <s v="SX5E Index"/>
        <s v="NKY Index"/>
      </sharedItems>
    </cacheField>
    <cacheField name="Underlying Price" numFmtId="0">
      <sharedItems containsSemiMixedTypes="0" containsString="0" containsNumber="1" containsInteger="1" minValue="1100" maxValue="10022" count="3">
        <n v="1100"/>
        <n v="2905"/>
        <n v="10022"/>
      </sharedItems>
    </cacheField>
    <cacheField name="Div. Yield" numFmtId="0">
      <sharedItems containsSemiMixedTypes="0" containsString="0" containsNumber="1" minValue="0.005" maxValue="0.022" count="3">
        <n v="0.02"/>
        <n v="0.022"/>
        <n v="0.005"/>
      </sharedItems>
    </cacheField>
    <cacheField name="Security Type" numFmtId="0">
      <sharedItems count="2">
        <s v="Future"/>
        <s v="Option"/>
      </sharedItems>
    </cacheField>
    <cacheField name="Currency" numFmtId="0">
      <sharedItems count="3">
        <s v="USD"/>
        <s v="EUR"/>
        <s v="JPY"/>
      </sharedItems>
    </cacheField>
    <cacheField name="Position" numFmtId="0">
      <sharedItems containsSemiMixedTypes="0" containsString="0" containsNumber="1" containsInteger="1" minValue="-50" maxValue="200" count="15">
        <n v="25"/>
        <n v="200"/>
        <n v="-50"/>
        <n v="-25"/>
        <n v="30"/>
        <n v="-20"/>
        <n v="20"/>
        <n v="50"/>
        <n v="-30"/>
        <n v="-10"/>
        <n v="10"/>
        <n v="-40"/>
        <n v="5"/>
        <n v="-15"/>
        <n v="-5"/>
      </sharedItems>
    </cacheField>
    <cacheField name="Strike" numFmtId="0">
      <sharedItems containsString="0" containsBlank="1" containsNumber="1" containsInteger="1" minValue="902" maxValue="11525" count="30">
        <m/>
        <n v="935"/>
        <n v="1001"/>
        <n v="1100"/>
        <n v="1034"/>
        <n v="1232"/>
        <n v="902"/>
        <n v="1331"/>
        <n v="1298"/>
        <n v="1067"/>
        <n v="2992"/>
        <n v="2818"/>
        <n v="2556"/>
        <n v="3079"/>
        <n v="2469"/>
        <n v="3166"/>
        <n v="3254"/>
        <n v="2905"/>
        <n v="3341"/>
        <n v="3428"/>
        <n v="2731"/>
        <n v="10022"/>
        <n v="9120"/>
        <n v="10323"/>
        <n v="8519"/>
        <n v="11225"/>
        <n v="11525"/>
        <n v="9721"/>
        <n v="7617"/>
        <n v="8819"/>
      </sharedItems>
    </cacheField>
    <cacheField name="CallPut" numFmtId="0">
      <sharedItems containsBlank="1" count="3">
        <m/>
        <s v="Put"/>
        <s v="Call"/>
      </sharedItems>
    </cacheField>
    <cacheField name="Maturity" numFmtId="0">
      <sharedItems containsSemiMixedTypes="0" containsString="0" containsNonDate="0" containsDate="1" minDate="2010-03-19T00:00:00" maxDate="2010-09-17T00:00:00" count="3">
        <d v="2010-03-19T00:00:00"/>
        <d v="2010-06-18T00:00:00"/>
        <d v="2010-09-17T00:00:00"/>
      </sharedItems>
    </cacheField>
    <cacheField name="Imp. Vol" numFmtId="0"/>
    <cacheField name="Risk-Free Rate" numFmtId="0">
      <sharedItems containsString="0" containsBlank="1" containsNumber="1" minValue="0.005" maxValue="0.025" count="9">
        <m/>
        <n v="0.011"/>
        <n v="0.015"/>
        <n v="0.0175"/>
        <n v="0.022"/>
        <n v="0.023"/>
        <n v="0.025"/>
        <n v="0.005"/>
        <n v="0.0075"/>
      </sharedItems>
    </cacheField>
    <cacheField name="Security Price" numFmtId="0"/>
    <cacheField name="Total Position Value" numFmtId="0"/>
    <cacheField name="CounterParty" numFmtId="0">
      <sharedItems count="5">
        <s v="Exch"/>
        <s v="GoldMine Sacks"/>
        <s v="JP Horgan"/>
        <s v="Darklays Capital"/>
        <s v="UBS"/>
      </sharedItems>
    </cacheField>
    <cacheField name="Margin" numFmtId="0">
      <sharedItems containsString="0" containsBlank="1" containsNonDate="0" count="1">
        <m/>
      </sharedItems>
    </cacheField>
    <cacheField name="$Delta (ESP)" numFmtId="0"/>
    <cacheField name="Vega 1%" numFmtId="0"/>
    <cacheField name="1 Day Theta" numFmtId="0"/>
    <cacheField name="Rho (1%)" numFmtId="0"/>
    <cacheField name="Total $Delta" numFmtId="0"/>
    <cacheField name="Total Vega 1%" numFmtId="0"/>
    <cacheField name="Total 1 Day Theta" numFmtId="0"/>
    <cacheField name="Total Rho (1%)" numFmtId="0"/>
    <cacheField name="PnL: Und  -20%" numFmtId="0"/>
    <cacheField name="PnL: Und -10%" numFmtId="0"/>
    <cacheField name="PnL: Und -5%" numFmtId="0"/>
    <cacheField name="PnL: Und -2%" numFmtId="0"/>
    <cacheField name="PnL: Und +2%" numFmtId="0"/>
    <cacheField name="PnL: Und +5%" numFmtId="0"/>
    <cacheField name="PnL: Und +10%" numFmtId="0"/>
    <cacheField name="PnL: Und +20%" numFmtId="0"/>
    <cacheField name="ImpVol  -10%" numFmtId="0"/>
    <cacheField name="ImpVol  -5%" numFmtId="0"/>
    <cacheField name="ImpVol  -2%" numFmtId="0"/>
    <cacheField name="ImpVol  -1%" numFmtId="0"/>
    <cacheField name="ImpVol  +1%" numFmtId="0"/>
    <cacheField name="ImpVol  +2%" numFmtId="0"/>
    <cacheField name="ImpVol  +5%" numFmtId="0"/>
    <cacheField name="ImpVol  +10%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x v="0"/>
    <x v="0"/>
    <x v="0"/>
    <x v="0"/>
    <x v="0"/>
    <x v="0"/>
    <x v="0"/>
    <x v="0"/>
    <x v="0"/>
    <n v="0"/>
    <x v="0"/>
    <n v="1095.84894802935"/>
    <n v="27396.2237007338"/>
    <x v="0"/>
    <x v="0"/>
    <n v="1095.84894802935"/>
    <n v="0"/>
    <n v="0"/>
    <n v="0"/>
    <n v="0.0600465177002385"/>
    <n v="2.07160486065823"/>
    <n v="27396.2237007338"/>
    <n v="0"/>
    <n v="0"/>
    <n v="0"/>
    <n v="1.50116294250596"/>
    <n v="51.7901215164557"/>
    <n v="-5479.24474014677"/>
    <n v="-2739.62237007338"/>
    <n v="-1369.81118503669"/>
    <n v="-547.924474014678"/>
    <n v="547.924474014678"/>
    <n v="1369.81118503669"/>
    <n v="2739.62237007339"/>
    <n v="5479.24474014677"/>
    <n v="0"/>
    <n v="0"/>
    <n v="0"/>
    <n v="0"/>
    <n v="0"/>
    <n v="0"/>
    <n v="0"/>
    <n v="0"/>
  </r>
  <r>
    <x v="0"/>
    <x v="0"/>
    <x v="0"/>
    <x v="1"/>
    <x v="0"/>
    <x v="1"/>
    <x v="1"/>
    <x v="1"/>
    <x v="0"/>
    <n v="0.532501619825672"/>
    <x v="1"/>
    <n v="33.6299268046936"/>
    <n v="6725.98536093872"/>
    <x v="0"/>
    <x v="0"/>
    <n v="-228.885595156182"/>
    <n v="679.88265081167"/>
    <n v="1.36880352255082"/>
    <n v="120.574473373455"/>
    <n v="-0.532811476555796"/>
    <n v="-0.496262219597271"/>
    <n v="-45777.1190312363"/>
    <n v="135976.530162334"/>
    <n v="273.760704510164"/>
    <n v="24114.8946746911"/>
    <n v="-106.562295311159"/>
    <n v="-99.2524439194542"/>
    <n v="16188.0866319488"/>
    <n v="6144.35229635303"/>
    <n v="2654.61066734183"/>
    <n v="971.574690239282"/>
    <n v="-862.771446597236"/>
    <n v="-1973.88498623117"/>
    <n v="-3412.29749602159"/>
    <n v="-5167.83341038802"/>
    <n v="-2593.73987093123"/>
    <n v="-1335.9703817797"/>
    <n v="-542.533944702251"/>
    <n v="-272.534700821188"/>
    <n v="274.946770120613"/>
    <n v="552.189183928681"/>
    <n v="1396.62127496413"/>
    <n v="2840.76961526849"/>
  </r>
  <r>
    <x v="0"/>
    <x v="0"/>
    <x v="0"/>
    <x v="1"/>
    <x v="0"/>
    <x v="2"/>
    <x v="2"/>
    <x v="1"/>
    <x v="0"/>
    <n v="0.470773057043114"/>
    <x v="1"/>
    <n v="45.4693907323884"/>
    <n v="-2273.46953661942"/>
    <x v="0"/>
    <x v="0"/>
    <n v="-317.270206480502"/>
    <n v="915.599378528102"/>
    <n v="1.62968365882164"/>
    <n v="67.2374726392941"/>
    <n v="-0.56240290512439"/>
    <n v="-0.685726909799711"/>
    <n v="15863.5103240251"/>
    <n v="-45779.9689264051"/>
    <n v="-81.4841829410822"/>
    <n v="-3361.8736319647"/>
    <n v="28.1201452562195"/>
    <n v="34.2863454899856"/>
    <n v="-5352.84539657104"/>
    <n v="-2096.36636483172"/>
    <n v="-914.491377680139"/>
    <n v="-336.030669912967"/>
    <n v="299.414519959839"/>
    <n v="685.901985947137"/>
    <n v="1185.99682104514"/>
    <n v="1788.4008709725"/>
    <n v="793.595118547509"/>
    <n v="402.721905172675"/>
    <n v="162.266085792706"/>
    <n v="81.3124234672301"/>
    <n v="-81.6487475391369"/>
    <n v="-163.613024864205"/>
    <n v="-411.212748941682"/>
    <n v="-828.629316643307"/>
  </r>
  <r>
    <x v="0"/>
    <x v="0"/>
    <x v="0"/>
    <x v="1"/>
    <x v="0"/>
    <x v="0"/>
    <x v="3"/>
    <x v="1"/>
    <x v="0"/>
    <n v="0.409189131679841"/>
    <x v="1"/>
    <n v="78.6793479850414"/>
    <n v="1966.98369962604"/>
    <x v="1"/>
    <x v="0"/>
    <n v="-513.252127217745"/>
    <n v="1224.78498132143"/>
    <n v="1.89482961682731"/>
    <n v="-3.62194689243089"/>
    <n v="-0.572127623899698"/>
    <n v="-1.11899374764362"/>
    <n v="-12831.3031804436"/>
    <n v="30619.6245330358"/>
    <n v="47.3707404206827"/>
    <n v="-90.5486723107724"/>
    <n v="-14.3031905974924"/>
    <n v="-27.9748436910906"/>
    <n v="3772.76388290138"/>
    <n v="1595.98372592869"/>
    <n v="719.479276469397"/>
    <n v="268.980198960637"/>
    <n v="-244.507391128576"/>
    <n v="-567.272042692305"/>
    <n v="-997.653523993074"/>
    <n v="-1535.61211403432"/>
    <n v="-474.121358393802"/>
    <n v="-236.962072332182"/>
    <n v="-94.7592834142"/>
    <n v="-47.3752294986213"/>
    <n v="47.366174705698"/>
    <n v="94.7230651360741"/>
    <n v="236.73574767311"/>
    <n v="473.216654706252"/>
  </r>
  <r>
    <x v="0"/>
    <x v="0"/>
    <x v="0"/>
    <x v="1"/>
    <x v="0"/>
    <x v="3"/>
    <x v="4"/>
    <x v="1"/>
    <x v="0"/>
    <n v="0.445968500218623"/>
    <x v="1"/>
    <n v="54.079079255511"/>
    <n v="-1351.97698138777"/>
    <x v="0"/>
    <x v="0"/>
    <n v="-374.670758102201"/>
    <n v="1037.59571627603"/>
    <n v="1.74951865063241"/>
    <n v="34.0931408833145"/>
    <n v="-0.572992885800876"/>
    <n v="-0.810513391169373"/>
    <n v="9366.76895255502"/>
    <n v="-25939.8929069008"/>
    <n v="-43.7379662658101"/>
    <n v="-852.328522082862"/>
    <n v="14.3248221450219"/>
    <n v="20.2628347792343"/>
    <n v="-3041.66368580999"/>
    <n v="-1218.72086291907"/>
    <n v="-536.31554257926"/>
    <n v="-197.920636192629"/>
    <n v="177.178333049908"/>
    <n v="406.992978928172"/>
    <n v="706.030404095105"/>
    <n v="1067.60362363438"/>
    <n v="431.77092866698"/>
    <n v="217.475707305141"/>
    <n v="87.2965707726294"/>
    <n v="43.694261482311"/>
    <n v="-43.7795386750622"/>
    <n v="-87.6382125879985"/>
    <n v="-219.634543506403"/>
    <n v="-440.758223302336"/>
  </r>
  <r>
    <x v="0"/>
    <x v="0"/>
    <x v="0"/>
    <x v="1"/>
    <x v="0"/>
    <x v="0"/>
    <x v="5"/>
    <x v="2"/>
    <x v="0"/>
    <n v="0.379361911923798"/>
    <x v="1"/>
    <n v="27.4227575463035"/>
    <n v="685.568938657588"/>
    <x v="0"/>
    <x v="0"/>
    <n v="295.114469658298"/>
    <n v="1096.95409957403"/>
    <n v="1.57336108005406"/>
    <n v="198.892052839826"/>
    <n v="-0.424413626078932"/>
    <n v="0.506047346184319"/>
    <n v="7377.86174145746"/>
    <n v="27423.8524893507"/>
    <n v="39.3340270013515"/>
    <n v="4972.30132099564"/>
    <n v="-10.6103406519733"/>
    <n v="12.651183654608"/>
    <n v="-653.917715915871"/>
    <n v="-494.690046386308"/>
    <n v="-303.877345507816"/>
    <n v="-136.798626457458"/>
    <n v="158.714313047531"/>
    <n v="440.090266775579"/>
    <n v="1029.08189382913"/>
    <n v="2645.81103970242"/>
    <n v="-361.44943249598"/>
    <n v="-189.671820090339"/>
    <n v="-77.6266412629973"/>
    <n v="-39.0796647250212"/>
    <n v="39.5771253290292"/>
    <n v="79.6192524656846"/>
    <n v="202.247589506077"/>
    <n v="413.539764846259"/>
  </r>
  <r>
    <x v="0"/>
    <x v="0"/>
    <x v="0"/>
    <x v="1"/>
    <x v="0"/>
    <x v="0"/>
    <x v="3"/>
    <x v="2"/>
    <x v="0"/>
    <n v="0.409189131679841"/>
    <x v="1"/>
    <n v="76.8133166558427"/>
    <n v="1920.33291639607"/>
    <x v="0"/>
    <x v="0"/>
    <n v="582.596820811608"/>
    <n v="1224.78498132143"/>
    <n v="1.89482961682731"/>
    <n v="-3.62194689243089"/>
    <n v="-0.545162927495196"/>
    <n v="0.956138679088981"/>
    <n v="14564.9205202902"/>
    <n v="30619.6245330358"/>
    <n v="47.3707404206827"/>
    <n v="-90.5486723107724"/>
    <n v="-13.6290731873799"/>
    <n v="23.9034669772245"/>
    <n v="-1706.48085724538"/>
    <n v="-1143.63864414469"/>
    <n v="-650.331908567293"/>
    <n v="-278.94427505404"/>
    <n v="303.417082886104"/>
    <n v="802.539142344385"/>
    <n v="1741.96884608031"/>
    <n v="3943.63262611244"/>
    <n v="-474.121358393801"/>
    <n v="-236.962072332182"/>
    <n v="-94.7592834142"/>
    <n v="-47.3752294986184"/>
    <n v="47.3661747056994"/>
    <n v="94.7230651360741"/>
    <n v="236.735747673113"/>
    <n v="473.216654706252"/>
  </r>
  <r>
    <x v="0"/>
    <x v="0"/>
    <x v="0"/>
    <x v="1"/>
    <x v="0"/>
    <x v="2"/>
    <x v="4"/>
    <x v="1"/>
    <x v="0"/>
    <n v="0.445968500218623"/>
    <x v="1"/>
    <n v="54.079079255511"/>
    <n v="-2703.95396277555"/>
    <x v="0"/>
    <x v="0"/>
    <n v="-374.670758102201"/>
    <n v="1037.59571627603"/>
    <n v="1.74951865063241"/>
    <n v="34.0931408833145"/>
    <n v="-0.572992885800876"/>
    <n v="-0.810513391169373"/>
    <n v="18733.53790511"/>
    <n v="-51879.7858138016"/>
    <n v="-87.4759325316203"/>
    <n v="-1704.65704416572"/>
    <n v="28.6496442900438"/>
    <n v="40.5256695584686"/>
    <n v="-6083.32737161997"/>
    <n v="-2437.44172583813"/>
    <n v="-1072.63108515852"/>
    <n v="-395.841272385258"/>
    <n v="354.356666099815"/>
    <n v="813.985957856343"/>
    <n v="1412.06080819021"/>
    <n v="2135.20724726876"/>
    <n v="863.541857333959"/>
    <n v="434.951414610282"/>
    <n v="174.593141545259"/>
    <n v="87.388522964622"/>
    <n v="-87.5590773501244"/>
    <n v="-175.276425175997"/>
    <n v="-439.269087012806"/>
    <n v="-881.516446604672"/>
  </r>
  <r>
    <x v="0"/>
    <x v="0"/>
    <x v="0"/>
    <x v="1"/>
    <x v="0"/>
    <x v="2"/>
    <x v="4"/>
    <x v="1"/>
    <x v="0"/>
    <n v="0.445968500218623"/>
    <x v="1"/>
    <n v="54.079079255511"/>
    <n v="-2703.95396277555"/>
    <x v="1"/>
    <x v="0"/>
    <n v="-374.670758102201"/>
    <n v="1037.59571627603"/>
    <n v="1.74951865063241"/>
    <n v="34.0931408833145"/>
    <n v="-0.572992885800876"/>
    <n v="-0.810513391169373"/>
    <n v="18733.53790511"/>
    <n v="-51879.7858138016"/>
    <n v="-87.4759325316203"/>
    <n v="-1704.65704416572"/>
    <n v="28.6496442900438"/>
    <n v="40.5256695584686"/>
    <n v="-6083.32737161997"/>
    <n v="-2437.44172583813"/>
    <n v="-1072.63108515852"/>
    <n v="-395.841272385258"/>
    <n v="354.356666099815"/>
    <n v="813.985957856343"/>
    <n v="1412.06080819021"/>
    <n v="2135.20724726876"/>
    <n v="863.541857333959"/>
    <n v="434.951414610282"/>
    <n v="174.593141545259"/>
    <n v="87.388522964622"/>
    <n v="-87.5590773501244"/>
    <n v="-175.276425175997"/>
    <n v="-439.269087012806"/>
    <n v="-881.516446604672"/>
  </r>
  <r>
    <x v="0"/>
    <x v="0"/>
    <x v="0"/>
    <x v="1"/>
    <x v="0"/>
    <x v="2"/>
    <x v="3"/>
    <x v="2"/>
    <x v="0"/>
    <n v="0.409189131679841"/>
    <x v="1"/>
    <n v="76.8133166558427"/>
    <n v="-3840.66583279214"/>
    <x v="1"/>
    <x v="0"/>
    <n v="582.596820811608"/>
    <n v="1224.78498132143"/>
    <n v="1.89482961682731"/>
    <n v="-3.62194689243089"/>
    <n v="-0.545162927495196"/>
    <n v="0.956138679088981"/>
    <n v="-29129.8410405804"/>
    <n v="-61239.2490660716"/>
    <n v="-94.7414808413655"/>
    <n v="181.097344621545"/>
    <n v="27.2581463747598"/>
    <n v="-47.8069339544491"/>
    <n v="3412.96171449076"/>
    <n v="2287.27728828939"/>
    <n v="1300.66381713459"/>
    <n v="557.888550108081"/>
    <n v="-606.834165772207"/>
    <n v="-1605.07828468877"/>
    <n v="-3483.93769216063"/>
    <n v="-7887.26525222489"/>
    <n v="948.242716787601"/>
    <n v="473.924144664363"/>
    <n v="189.5185668284"/>
    <n v="94.7504589972368"/>
    <n v="-94.7323494113988"/>
    <n v="-189.446130272148"/>
    <n v="-473.471495346226"/>
    <n v="-946.433309412504"/>
  </r>
  <r>
    <x v="0"/>
    <x v="0"/>
    <x v="0"/>
    <x v="1"/>
    <x v="0"/>
    <x v="4"/>
    <x v="5"/>
    <x v="2"/>
    <x v="0"/>
    <n v="0.379361911923798"/>
    <x v="1"/>
    <n v="27.4227575463035"/>
    <n v="822.682726389105"/>
    <x v="0"/>
    <x v="0"/>
    <n v="295.114469658298"/>
    <n v="1096.95409957403"/>
    <n v="1.57336108005406"/>
    <n v="198.892052839826"/>
    <n v="-0.424413626078932"/>
    <n v="0.506047346184319"/>
    <n v="8853.43408974895"/>
    <n v="32908.6229872209"/>
    <n v="47.2008324016218"/>
    <n v="5966.76158519477"/>
    <n v="-12.732408782368"/>
    <n v="15.1814203855296"/>
    <n v="-784.701259099045"/>
    <n v="-593.62805566357"/>
    <n v="-364.652814609379"/>
    <n v="-164.158351748949"/>
    <n v="190.457175657037"/>
    <n v="528.108320130694"/>
    <n v="1234.89827259496"/>
    <n v="3174.97324764291"/>
    <n v="-433.739318995176"/>
    <n v="-227.606184108406"/>
    <n v="-93.1519695155967"/>
    <n v="-46.8955976700255"/>
    <n v="47.492550394835"/>
    <n v="95.5431029588215"/>
    <n v="242.697107407292"/>
    <n v="496.24771781551"/>
  </r>
  <r>
    <x v="0"/>
    <x v="0"/>
    <x v="0"/>
    <x v="1"/>
    <x v="0"/>
    <x v="0"/>
    <x v="1"/>
    <x v="1"/>
    <x v="0"/>
    <n v="0.532501619825672"/>
    <x v="1"/>
    <n v="33.6299268046936"/>
    <n v="840.74817011734"/>
    <x v="0"/>
    <x v="0"/>
    <n v="-228.885595156182"/>
    <n v="679.88265081167"/>
    <n v="1.36880352255082"/>
    <n v="120.574473373455"/>
    <n v="-0.532811476555796"/>
    <n v="-0.496262219597271"/>
    <n v="-5722.13987890454"/>
    <n v="16997.0662702918"/>
    <n v="34.2200880637705"/>
    <n v="3014.36183433639"/>
    <n v="-13.3202869138949"/>
    <n v="-12.4065554899318"/>
    <n v="2023.5108289936"/>
    <n v="768.044037044129"/>
    <n v="331.826333417729"/>
    <n v="121.44683627991"/>
    <n v="-107.846430824655"/>
    <n v="-246.735623278897"/>
    <n v="-426.537187002698"/>
    <n v="-645.979176298503"/>
    <n v="-324.217483866403"/>
    <n v="-166.996297722463"/>
    <n v="-67.8167430877814"/>
    <n v="-34.0668376026486"/>
    <n v="34.3683462650766"/>
    <n v="69.0236479910851"/>
    <n v="174.577659370517"/>
    <n v="355.096201908562"/>
  </r>
  <r>
    <x v="0"/>
    <x v="0"/>
    <x v="0"/>
    <x v="1"/>
    <x v="0"/>
    <x v="5"/>
    <x v="2"/>
    <x v="2"/>
    <x v="0"/>
    <n v="0.470773057043114"/>
    <x v="1"/>
    <n v="142.397707545459"/>
    <n v="-2847.95415090919"/>
    <x v="2"/>
    <x v="0"/>
    <n v="778.578741548851"/>
    <n v="915.599378528102"/>
    <n v="1.62968365882164"/>
    <n v="67.2374726392941"/>
    <n v="-0.532460844803273"/>
    <n v="1.20264359852696"/>
    <n v="-15571.574830977"/>
    <n v="-18311.987570562"/>
    <n v="-32.5936731764329"/>
    <n v="-1344.74945278588"/>
    <n v="10.6492168960655"/>
    <n v="-24.0528719705392"/>
    <n v="2242.257633489"/>
    <n v="1353.15135012602"/>
    <n v="730.052396957296"/>
    <n v="303.927311246557"/>
    <n v="-318.573771227807"/>
    <n v="-821.488153650498"/>
    <n v="-1717.29916764066"/>
    <n v="-3668.03544372841"/>
    <n v="317.438047419003"/>
    <n v="161.088762069069"/>
    <n v="64.9064343170812"/>
    <n v="32.5249693868932"/>
    <n v="-32.6594990156559"/>
    <n v="-65.445209945683"/>
    <n v="-164.485099576673"/>
    <n v="-331.451726657322"/>
  </r>
  <r>
    <x v="0"/>
    <x v="0"/>
    <x v="0"/>
    <x v="1"/>
    <x v="0"/>
    <x v="2"/>
    <x v="3"/>
    <x v="1"/>
    <x v="1"/>
    <n v="0.358957552723371"/>
    <x v="2"/>
    <n v="104.454658202346"/>
    <n v="-5222.73291011728"/>
    <x v="0"/>
    <x v="0"/>
    <n v="-497.614394619136"/>
    <n v="909.703377855499"/>
    <n v="2.86285938164773"/>
    <n v="-11.1940304803069"/>
    <n v="-0.323663040052396"/>
    <n v="-2.63920680688868"/>
    <n v="24880.7197309568"/>
    <n v="-45485.168892775"/>
    <n v="-143.142969082386"/>
    <n v="559.701524015346"/>
    <n v="16.1831520026198"/>
    <n v="131.960340344434"/>
    <n v="-6862.11976444955"/>
    <n v="-2958.86733392099"/>
    <n v="-1360.15630423899"/>
    <n v="-515.976854015946"/>
    <n v="479.605829669532"/>
    <n v="1133.39847491979"/>
    <n v="2059.82826933047"/>
    <n v="3391.82612213125"/>
    <n v="1433.96311031947"/>
    <n v="716.381513756844"/>
    <n v="286.395774807684"/>
    <n v="143.17069142075"/>
    <n v="-143.114721687178"/>
    <n v="-286.171900909221"/>
    <n v="-714.982524859039"/>
    <n v="-1428.37050402847"/>
  </r>
  <r>
    <x v="0"/>
    <x v="0"/>
    <x v="0"/>
    <x v="1"/>
    <x v="0"/>
    <x v="6"/>
    <x v="4"/>
    <x v="2"/>
    <x v="1"/>
    <n v="0.395620490889773"/>
    <x v="2"/>
    <n v="144.748546431279"/>
    <n v="2894.97092862559"/>
    <x v="0"/>
    <x v="0"/>
    <n v="698.004050073788"/>
    <n v="778.599509610811"/>
    <n v="2.70053628667411"/>
    <n v="23.731905768758"/>
    <n v="-0.318360821345028"/>
    <n v="2.42522960500826"/>
    <n v="13960.0810014758"/>
    <n v="15571.9901922162"/>
    <n v="54.0107257334822"/>
    <n v="474.63811537516"/>
    <n v="-6.36721642690056"/>
    <n v="48.5045921001652"/>
    <n v="-2094.50708915965"/>
    <n v="-1229.15004153554"/>
    <n v="-657.599244627822"/>
    <n v="-272.875875658456"/>
    <n v="285.330729276191"/>
    <n v="735.351716847099"/>
    <n v="1538.84221283216"/>
    <n v="3310.72503474882"/>
    <n v="-536.455158932502"/>
    <n v="-269.321225128251"/>
    <n v="-107.918253737239"/>
    <n v="-53.9859837720064"/>
    <n v="54.0334915887547"/>
    <n v="108.108814340878"/>
    <n v="270.53572681712"/>
    <n v="541.669448664482"/>
  </r>
  <r>
    <x v="0"/>
    <x v="0"/>
    <x v="0"/>
    <x v="1"/>
    <x v="0"/>
    <x v="0"/>
    <x v="6"/>
    <x v="1"/>
    <x v="1"/>
    <n v="0.518372414293861"/>
    <x v="2"/>
    <n v="59.4221299689957"/>
    <n v="1485.55324922489"/>
    <x v="1"/>
    <x v="0"/>
    <n v="-249.272368966674"/>
    <n v="480.718502584815"/>
    <n v="2.18469006711777"/>
    <n v="125.404367088318"/>
    <n v="-0.354873642324545"/>
    <n v="-1.35318136519746"/>
    <n v="-6231.80922416685"/>
    <n v="12017.9625646204"/>
    <n v="54.6172516779442"/>
    <n v="3135.10917720795"/>
    <n v="-8.87184105811362"/>
    <n v="-33.8295341299364"/>
    <n v="1832.5445899708"/>
    <n v="756.422742238456"/>
    <n v="343.247627289215"/>
    <n v="129.545566576886"/>
    <n v="-119.929691831684"/>
    <n v="-283.099432940751"/>
    <n v="-515.151982188954"/>
    <n v="-857.965059264334"/>
    <n v="-526.784448429356"/>
    <n v="-268.743221034959"/>
    <n v="-108.581674143923"/>
    <n v="-54.4573225310664"/>
    <n v="54.7709330788472"/>
    <n v="109.837312998581"/>
    <n v="276.643608377695"/>
    <n v="559.154872593241"/>
  </r>
  <r>
    <x v="0"/>
    <x v="0"/>
    <x v="0"/>
    <x v="1"/>
    <x v="0"/>
    <x v="0"/>
    <x v="6"/>
    <x v="1"/>
    <x v="1"/>
    <n v="0.518372414293861"/>
    <x v="2"/>
    <n v="59.4221299689957"/>
    <n v="1485.55324922489"/>
    <x v="0"/>
    <x v="0"/>
    <n v="-249.272368966674"/>
    <n v="480.718502584815"/>
    <n v="2.18469006711777"/>
    <n v="125.404367088318"/>
    <n v="-0.354873642324545"/>
    <n v="-1.35318136519746"/>
    <n v="-6231.80922416685"/>
    <n v="12017.9625646204"/>
    <n v="54.6172516779442"/>
    <n v="3135.10917720795"/>
    <n v="-8.87184105811362"/>
    <n v="-33.8295341299364"/>
    <n v="1832.5445899708"/>
    <n v="756.422742238456"/>
    <n v="343.247627289215"/>
    <n v="129.545566576886"/>
    <n v="-119.929691831684"/>
    <n v="-283.099432940751"/>
    <n v="-515.151982188954"/>
    <n v="-857.965059264334"/>
    <n v="-526.784448429356"/>
    <n v="-268.743221034959"/>
    <n v="-108.581674143923"/>
    <n v="-54.4573225310664"/>
    <n v="54.7709330788472"/>
    <n v="109.837312998581"/>
    <n v="276.643608377695"/>
    <n v="559.154872593241"/>
  </r>
  <r>
    <x v="0"/>
    <x v="0"/>
    <x v="0"/>
    <x v="1"/>
    <x v="0"/>
    <x v="7"/>
    <x v="7"/>
    <x v="2"/>
    <x v="1"/>
    <n v="0.329695473462315"/>
    <x v="2"/>
    <n v="27.0409921922737"/>
    <n v="1352.04960961369"/>
    <x v="0"/>
    <x v="0"/>
    <n v="239.254397202411"/>
    <n v="738.411660437268"/>
    <n v="2.13436477368074"/>
    <n v="497.381294735073"/>
    <n v="-0.215514520289826"/>
    <n v="0.930250542510189"/>
    <n v="11962.7198601205"/>
    <n v="36920.5830218634"/>
    <n v="106.718238684037"/>
    <n v="24869.0647367536"/>
    <n v="-10.7757260144913"/>
    <n v="46.5125271255095"/>
    <n v="-1224.91785946483"/>
    <n v="-862.946888326693"/>
    <n v="-510.059588951556"/>
    <n v="-224.745078037959"/>
    <n v="254.264775468079"/>
    <n v="694.010769157239"/>
    <n v="1591.11567565624"/>
    <n v="4025.59273184314"/>
    <n v="-908.008685226914"/>
    <n v="-498.538872153668"/>
    <n v="-208.22303115047"/>
    <n v="-105.445397303302"/>
    <n v="107.933393995917"/>
    <n v="218.188096516171"/>
    <n v="561.391429063406"/>
    <n v="1167.44264289226"/>
  </r>
  <r>
    <x v="0"/>
    <x v="0"/>
    <x v="0"/>
    <x v="1"/>
    <x v="0"/>
    <x v="7"/>
    <x v="8"/>
    <x v="2"/>
    <x v="1"/>
    <n v="0.328307721129278"/>
    <x v="2"/>
    <n v="32.4562857592593"/>
    <n v="1622.81428796297"/>
    <x v="0"/>
    <x v="0"/>
    <n v="276.648831631907"/>
    <n v="803.272302553591"/>
    <n v="2.31207012907518"/>
    <n v="410.888811300006"/>
    <n v="-0.232085993504857"/>
    <n v="1.07043307779791"/>
    <n v="13832.4415815953"/>
    <n v="40163.6151276795"/>
    <n v="115.603506453759"/>
    <n v="20544.4405650003"/>
    <n v="-11.6042996752428"/>
    <n v="53.5216538898953"/>
    <n v="-1458.21869618104"/>
    <n v="-1014.81638636813"/>
    <n v="-595.024221145664"/>
    <n v="-260.812916734808"/>
    <n v="292.92346380322"/>
    <n v="795.05152413237"/>
    <n v="1805.65809952923"/>
    <n v="4485.60087728195"/>
    <n v="-1020.40040424154"/>
    <n v="-548.688814866117"/>
    <n v="-226.880254058713"/>
    <n v="-114.549654631847"/>
    <n v="116.605241071149"/>
    <n v="235.116320764732"/>
    <n v="600.767646116816"/>
    <n v="1237.48196651075"/>
  </r>
  <r>
    <x v="0"/>
    <x v="0"/>
    <x v="0"/>
    <x v="1"/>
    <x v="0"/>
    <x v="8"/>
    <x v="5"/>
    <x v="2"/>
    <x v="1"/>
    <n v="0.329322430616211"/>
    <x v="2"/>
    <n v="47.3981435722768"/>
    <n v="-1421.9443071683"/>
    <x v="0"/>
    <x v="0"/>
    <n v="367.412281474156"/>
    <n v="913.02029560519"/>
    <n v="2.63608164778637"/>
    <n v="215.177342652746"/>
    <n v="-0.264306840994305"/>
    <n v="1.4028017003918"/>
    <n v="-11022.3684442247"/>
    <n v="-27390.6088681557"/>
    <n v="-79.082449433591"/>
    <n v="-6455.32027958237"/>
    <n v="7.92920522982914"/>
    <n v="-42.0840510117539"/>
    <n v="1247.44977356909"/>
    <n v="841.549554971578"/>
    <n v="484.003176909083"/>
    <n v="209.566752754825"/>
    <n v="-231.46384139834"/>
    <n v="-620.357382558106"/>
    <n v="-1379.9305113346"/>
    <n v="-3296.91560655549"/>
    <n v="745.720187539068"/>
    <n v="385.977212044008"/>
    <n v="156.793632035393"/>
    <n v="78.7499273935748"/>
    <n v="-79.3959577720693"/>
    <n v="-159.383748722798"/>
    <n v="-402.431702823513"/>
    <n v="-815.57867444343"/>
  </r>
  <r>
    <x v="0"/>
    <x v="0"/>
    <x v="0"/>
    <x v="1"/>
    <x v="0"/>
    <x v="8"/>
    <x v="2"/>
    <x v="1"/>
    <x v="1"/>
    <n v="0.420373168471682"/>
    <x v="2"/>
    <n v="73.6092926307811"/>
    <n v="-2208.27877892343"/>
    <x v="2"/>
    <x v="0"/>
    <n v="-347.976035183152"/>
    <n v="699.713513012429"/>
    <n v="2.57876853906837"/>
    <n v="55.3213660705956"/>
    <n v="-0.340505849805345"/>
    <n v="-1.84804527260902"/>
    <n v="10439.2810554945"/>
    <n v="-20991.4053903729"/>
    <n v="-77.3630561720512"/>
    <n v="-1659.64098211787"/>
    <n v="10.2151754941604"/>
    <n v="55.4413581782706"/>
    <n v="-3057.09474662445"/>
    <n v="-1271.76771143536"/>
    <n v="-576.750936306427"/>
    <n v="-217.331769975415"/>
    <n v="200.540322658052"/>
    <n v="471.860273317278"/>
    <n v="853.04951197016"/>
    <n v="1398.40547043563"/>
    <n v="762.17018012274"/>
    <n v="384.393453817002"/>
    <n v="154.373457527487"/>
    <n v="77.2775400402895"/>
    <n v="-77.4436101690316"/>
    <n v="-155.039012942211"/>
    <n v="-388.609624985739"/>
    <n v="-779.881616865361"/>
  </r>
  <r>
    <x v="0"/>
    <x v="0"/>
    <x v="0"/>
    <x v="1"/>
    <x v="0"/>
    <x v="2"/>
    <x v="3"/>
    <x v="2"/>
    <x v="1"/>
    <n v="0.358957552723371"/>
    <x v="2"/>
    <n v="102.06212308777"/>
    <n v="-5103.10615438852"/>
    <x v="0"/>
    <x v="0"/>
    <n v="592.783920841162"/>
    <n v="909.703377855499"/>
    <n v="2.86285938164773"/>
    <n v="-11.1940304803069"/>
    <n v="-0.308824400187785"/>
    <n v="2.15110925042583"/>
    <n v="-29639.1960420581"/>
    <n v="-45485.168892775"/>
    <n v="-143.142969082386"/>
    <n v="559.701524015346"/>
    <n v="15.4412200093893"/>
    <n v="-107.555462521291"/>
    <n v="4041.86339015343"/>
    <n v="2493.12424338049"/>
    <n v="1365.83948441175"/>
    <n v="574.421461444351"/>
    <n v="-610.792485790768"/>
    <n v="-1592.59731373095"/>
    <n v="-3392.16330797101"/>
    <n v="-7512.15703247174"/>
    <n v="1433.96311031946"/>
    <n v="716.381513756841"/>
    <n v="286.395774807687"/>
    <n v="143.17069142075"/>
    <n v="-143.114721687178"/>
    <n v="-286.171900909221"/>
    <n v="-714.982524859036"/>
    <n v="-1428.37050402847"/>
  </r>
  <r>
    <x v="0"/>
    <x v="0"/>
    <x v="0"/>
    <x v="1"/>
    <x v="0"/>
    <x v="5"/>
    <x v="4"/>
    <x v="1"/>
    <x v="1"/>
    <n v="0.395620490889773"/>
    <x v="2"/>
    <n v="81.5736305113621"/>
    <n v="-1631.47261022724"/>
    <x v="0"/>
    <x v="0"/>
    <n v="-392.394265386509"/>
    <n v="778.599509610811"/>
    <n v="2.70053628667411"/>
    <n v="23.731905768758"/>
    <n v="-0.335894013991878"/>
    <n v="-2.07766748886738"/>
    <n v="7847.88530773019"/>
    <n v="-15571.9901922162"/>
    <n v="-54.0107257334822"/>
    <n v="-474.63811537516"/>
    <n v="6.71788027983756"/>
    <n v="41.5533497773476"/>
    <n v="-2267.08617268155"/>
    <n v="-951.646589385059"/>
    <n v="-432.799070832477"/>
    <n v="-163.283450525668"/>
    <n v="150.828596907927"/>
    <n v="355.046598613197"/>
    <n v="641.95441808843"/>
    <n v="1050.86822709237"/>
    <n v="536.455158932499"/>
    <n v="269.321225128249"/>
    <n v="107.918253737237"/>
    <n v="53.9859837720053"/>
    <n v="-54.033491588757"/>
    <n v="-108.108814340879"/>
    <n v="-270.535726817121"/>
    <n v="-541.669448664483"/>
  </r>
  <r>
    <x v="0"/>
    <x v="0"/>
    <x v="0"/>
    <x v="1"/>
    <x v="0"/>
    <x v="5"/>
    <x v="4"/>
    <x v="2"/>
    <x v="1"/>
    <n v="0.395620490889773"/>
    <x v="2"/>
    <n v="144.748546431279"/>
    <n v="-2894.97092862559"/>
    <x v="3"/>
    <x v="0"/>
    <n v="698.004050073788"/>
    <n v="778.599509610811"/>
    <n v="2.70053628667411"/>
    <n v="23.731905768758"/>
    <n v="-0.318360821345028"/>
    <n v="2.42522960500826"/>
    <n v="-13960.0810014758"/>
    <n v="-15571.9901922162"/>
    <n v="-54.0107257334822"/>
    <n v="-474.63811537516"/>
    <n v="6.36721642690056"/>
    <n v="-48.5045921001652"/>
    <n v="2094.50708915965"/>
    <n v="1229.15004153554"/>
    <n v="657.599244627822"/>
    <n v="272.875875658456"/>
    <n v="-285.330729276191"/>
    <n v="-735.351716847099"/>
    <n v="-1538.84221283216"/>
    <n v="-3310.72503474882"/>
    <n v="536.455158932502"/>
    <n v="269.321225128251"/>
    <n v="107.918253737239"/>
    <n v="53.9859837720064"/>
    <n v="-54.0334915887547"/>
    <n v="-108.108814340878"/>
    <n v="-270.53572681712"/>
    <n v="-541.669448664482"/>
  </r>
  <r>
    <x v="0"/>
    <x v="0"/>
    <x v="0"/>
    <x v="1"/>
    <x v="0"/>
    <x v="2"/>
    <x v="3"/>
    <x v="1"/>
    <x v="2"/>
    <n v="0.329180705557916"/>
    <x v="3"/>
    <n v="118.82692093538"/>
    <n v="-5941.34604676898"/>
    <x v="0"/>
    <x v="0"/>
    <n v="-486.294353745829"/>
    <n v="786.130025342905"/>
    <n v="3.55909522942809"/>
    <n v="-20.0987565597655"/>
    <n v="-0.231017163612255"/>
    <n v="-4.16124492999954"/>
    <n v="24314.7176872914"/>
    <n v="-39306.5012671452"/>
    <n v="-177.954761471404"/>
    <n v="1004.93782798828"/>
    <n v="11.5508581806127"/>
    <n v="208.062246499977"/>
    <n v="-6521.22602572198"/>
    <n v="-2840.11967609597"/>
    <n v="-1316.20327543676"/>
    <n v="-502.166463153998"/>
    <n v="470.731495233142"/>
    <n v="1120.07072922192"/>
    <n v="2060.40077462697"/>
    <n v="3479.70873436599"/>
    <n v="1784.06515420782"/>
    <n v="890.966814128811"/>
    <n v="356.106475872923"/>
    <n v="178.004504354303"/>
    <n v="-177.904011201571"/>
    <n v="-355.704510831615"/>
    <n v="-888.454866164656"/>
    <n v="-1774.02227658251"/>
  </r>
  <r>
    <x v="0"/>
    <x v="0"/>
    <x v="0"/>
    <x v="1"/>
    <x v="0"/>
    <x v="2"/>
    <x v="5"/>
    <x v="2"/>
    <x v="2"/>
    <n v="0.299360467292827"/>
    <x v="3"/>
    <n v="59.4860515213175"/>
    <n v="-2974.30257606587"/>
    <x v="2"/>
    <x v="0"/>
    <n v="398.387211641648"/>
    <n v="823.025812183264"/>
    <n v="3.38858790816654"/>
    <n v="225.675450979363"/>
    <n v="-0.196492807204371"/>
    <n v="2.33052578603295"/>
    <n v="-19919.3605820824"/>
    <n v="-41151.2906091632"/>
    <n v="-169.429395408327"/>
    <n v="-11283.7725489682"/>
    <n v="9.82464036021855"/>
    <n v="-116.526289301648"/>
    <n v="2468.99966034067"/>
    <n v="1591.22348978594"/>
    <n v="894.076929859691"/>
    <n v="381.976046011548"/>
    <n v="-414.87902725957"/>
    <n v="-1099.13036731176"/>
    <n v="-2403.12110822386"/>
    <n v="-5590.57569074902"/>
    <n v="1610.20797633653"/>
    <n v="830.17800279948"/>
    <n v="336.435948563596"/>
    <n v="168.845076950433"/>
    <n v="-169.974608094824"/>
    <n v="-340.967966722101"/>
    <n v="-859.123494070551"/>
    <n v="-1735.62066209254"/>
  </r>
  <r>
    <x v="0"/>
    <x v="0"/>
    <x v="0"/>
    <x v="1"/>
    <x v="0"/>
    <x v="5"/>
    <x v="2"/>
    <x v="1"/>
    <x v="2"/>
    <n v="0.390758523359959"/>
    <x v="3"/>
    <n v="90.8579594596563"/>
    <n v="-1817.15918919313"/>
    <x v="0"/>
    <x v="0"/>
    <n v="-354.963485996957"/>
    <n v="604.178158490913"/>
    <n v="3.24701528929426"/>
    <n v="46.0324784399687"/>
    <n v="-0.250823838032773"/>
    <n v="-3.06578583040027"/>
    <n v="7099.26971993914"/>
    <n v="-12083.5631698183"/>
    <n v="-64.9403057858852"/>
    <n v="-920.649568799374"/>
    <n v="5.01647676065547"/>
    <n v="61.3157166080055"/>
    <n v="-1972.85019931897"/>
    <n v="-840.072214870336"/>
    <n v="-386.358289557037"/>
    <n v="-146.895291252347"/>
    <n v="137.228915621354"/>
    <n v="325.95935426424"/>
    <n v="598.721686424063"/>
    <n v="1012.44214588567"/>
    <n v="642.338427766737"/>
    <n v="323.282960683025"/>
    <n v="129.680563896674"/>
    <n v="64.8923292798429"/>
    <n v="-64.9844790802729"/>
    <n v="-130.050183648732"/>
    <n v="-325.638379750243"/>
    <n v="-652.446350817382"/>
  </r>
  <r>
    <x v="0"/>
    <x v="0"/>
    <x v="0"/>
    <x v="1"/>
    <x v="0"/>
    <x v="2"/>
    <x v="9"/>
    <x v="1"/>
    <x v="2"/>
    <n v="0.345438751397063"/>
    <x v="3"/>
    <n v="107.057418406985"/>
    <n v="-5352.87092034925"/>
    <x v="0"/>
    <x v="0"/>
    <n v="-438.098261795614"/>
    <n v="733.42709911916"/>
    <n v="3.48448709487581"/>
    <n v="-10.5397675733442"/>
    <n v="-0.237644052288247"/>
    <n v="-3.74887878714664"/>
    <n v="21904.9130897807"/>
    <n v="-36671.354955958"/>
    <n v="-174.22435474379"/>
    <n v="526.988378667208"/>
    <n v="11.8822026144123"/>
    <n v="187.443939357332"/>
    <n v="-5977.72899944128"/>
    <n v="-2577.17649885997"/>
    <n v="-1189.60274461048"/>
    <n v="-452.944193475179"/>
    <n v="423.613872785054"/>
    <n v="1006.51081227582"/>
    <n v="1848.02294570407"/>
    <n v="3114.41442933811"/>
    <n v="1743.34546418982"/>
    <n v="871.61087794546"/>
    <n v="348.543890467604"/>
    <n v="174.249450599172"/>
    <n v="-174.196794901064"/>
    <n v="-348.333787056438"/>
    <n v="-870.320911356961"/>
    <n v="-1738.54516546474"/>
  </r>
  <r>
    <x v="0"/>
    <x v="0"/>
    <x v="0"/>
    <x v="1"/>
    <x v="0"/>
    <x v="2"/>
    <x v="9"/>
    <x v="2"/>
    <x v="2"/>
    <n v="0.345438751397063"/>
    <x v="3"/>
    <n v="137.795799128562"/>
    <n v="-6889.78995642812"/>
    <x v="3"/>
    <x v="0"/>
    <n v="646.87653194467"/>
    <n v="733.42709911916"/>
    <n v="3.48448709487581"/>
    <n v="-10.5397675733442"/>
    <n v="-0.228738960104744"/>
    <n v="3.50080175169433"/>
    <n v="-32343.8265972335"/>
    <n v="-36671.354955958"/>
    <n v="-174.22435474379"/>
    <n v="526.988378667208"/>
    <n v="11.4369480052372"/>
    <n v="-175.040087584717"/>
    <n v="4872.01893796156"/>
    <n v="2847.69746984144"/>
    <n v="1522.83423974023"/>
    <n v="632.030600265091"/>
    <n v="-661.360920955235"/>
    <n v="-1705.92617207489"/>
    <n v="-3576.85102299736"/>
    <n v="-7735.33350806473"/>
    <n v="1743.34546418982"/>
    <n v="871.61087794546"/>
    <n v="348.543890467602"/>
    <n v="174.249450599166"/>
    <n v="-174.196794901064"/>
    <n v="-348.333787056444"/>
    <n v="-870.320911356961"/>
    <n v="-1738.54516546475"/>
  </r>
  <r>
    <x v="1"/>
    <x v="1"/>
    <x v="1"/>
    <x v="0"/>
    <x v="1"/>
    <x v="6"/>
    <x v="0"/>
    <x v="0"/>
    <x v="0"/>
    <n v="0"/>
    <x v="0"/>
    <n v="2892.94347191171"/>
    <n v="57858.8694382341"/>
    <x v="0"/>
    <x v="0"/>
    <n v="2892.94347191171"/>
    <n v="0"/>
    <n v="0"/>
    <n v="0"/>
    <n v="0.174369195567281"/>
    <n v="5.468852042792"/>
    <n v="57858.8694382341"/>
    <n v="0"/>
    <n v="0"/>
    <n v="0"/>
    <n v="3.48738391134562"/>
    <n v="109.37704085584"/>
    <n v="-11571.7738876468"/>
    <n v="-5785.88694382342"/>
    <n v="-2892.9434719117"/>
    <n v="-1157.17738876468"/>
    <n v="1157.17738876469"/>
    <n v="2892.94347191171"/>
    <n v="5785.88694382343"/>
    <n v="11571.7738876468"/>
    <n v="0"/>
    <n v="0"/>
    <n v="0"/>
    <n v="0"/>
    <n v="0"/>
    <n v="0"/>
    <n v="0"/>
    <n v="0"/>
  </r>
  <r>
    <x v="1"/>
    <x v="1"/>
    <x v="1"/>
    <x v="1"/>
    <x v="1"/>
    <x v="5"/>
    <x v="10"/>
    <x v="2"/>
    <x v="0"/>
    <n v="0.397567985636796"/>
    <x v="4"/>
    <n v="161.846547474074"/>
    <n v="-3236.93094948148"/>
    <x v="1"/>
    <x v="0"/>
    <n v="1349.3160827409"/>
    <n v="3326.50379927525"/>
    <n v="5.00018014321532"/>
    <n v="27.2568052079209"/>
    <n v="-1.43076047966012"/>
    <n v="2.24480542283317"/>
    <n v="-26986.3216548179"/>
    <n v="-66530.0759855049"/>
    <n v="-100.003602864306"/>
    <n v="-545.136104158418"/>
    <n v="28.6152095932024"/>
    <n v="-44.8961084566634"/>
    <n v="2947.48447816611"/>
    <n v="2041.1756678003"/>
    <n v="1182.74680095752"/>
    <n v="513.052991503482"/>
    <n v="-566.219114053506"/>
    <n v="-1513.1467225149"/>
    <n v="-3336.49062079121"/>
    <n v="-7749.17111618935"/>
    <n v="996.011904227103"/>
    <n v="499.195880467341"/>
    <n v="199.889829308181"/>
    <n v="99.9753269848952"/>
    <n v="-100.029886183252"/>
    <n v="-200.108614499895"/>
    <n v="-500.587638321003"/>
    <n v="-1001.94855970529"/>
  </r>
  <r>
    <x v="1"/>
    <x v="1"/>
    <x v="1"/>
    <x v="1"/>
    <x v="1"/>
    <x v="8"/>
    <x v="11"/>
    <x v="2"/>
    <x v="0"/>
    <n v="0.426433353154432"/>
    <x v="4"/>
    <n v="256.612369412429"/>
    <n v="-7698.37108237286"/>
    <x v="0"/>
    <x v="0"/>
    <n v="1739.51059346193"/>
    <n v="3011.49382440883"/>
    <n v="4.85533683609369"/>
    <n v="20.8364439453267"/>
    <n v="-1.48487901663424"/>
    <n v="2.80328705368263"/>
    <n v="-52185.317803858"/>
    <n v="-90344.8147322648"/>
    <n v="-145.660105082811"/>
    <n v="-625.093318359802"/>
    <n v="44.5463704990272"/>
    <n v="-84.0986116104788"/>
    <n v="6606.62558432808"/>
    <n v="4262.83705230638"/>
    <n v="2375.53742447074"/>
    <n v="1007.02052474727"/>
    <n v="-1079.24574198858"/>
    <n v="-2825.28480034944"/>
    <n v="-6038.19477757795"/>
    <n v="-13339.3339800034"/>
    <n v="1451.96470610035"/>
    <n v="727.353156545673"/>
    <n v="291.185275077607"/>
    <n v="145.627637562279"/>
    <n v="-145.690196672458"/>
    <n v="-291.436110135519"/>
    <n v="-728.947404937733"/>
    <n v="-1458.74117700415"/>
  </r>
  <r>
    <x v="1"/>
    <x v="1"/>
    <x v="1"/>
    <x v="1"/>
    <x v="1"/>
    <x v="5"/>
    <x v="10"/>
    <x v="1"/>
    <x v="0"/>
    <n v="0.397567985636796"/>
    <x v="4"/>
    <n v="248.485474171602"/>
    <n v="-4969.70948343204"/>
    <x v="0"/>
    <x v="0"/>
    <n v="-1543.62738917081"/>
    <n v="3326.50379927525"/>
    <n v="5.00018014321532"/>
    <n v="27.2568052079209"/>
    <n v="-1.42553840736602"/>
    <n v="-3.38782979645552"/>
    <n v="30872.5477834162"/>
    <n v="-66530.0759855049"/>
    <n v="-100.003602864306"/>
    <n v="-545.136104158418"/>
    <n v="28.5107681473205"/>
    <n v="67.7565959291104"/>
    <n v="-8624.28940948072"/>
    <n v="-3744.71127602312"/>
    <n v="-1710.19667095419"/>
    <n v="-644.124397261194"/>
    <n v="590.958274711179"/>
    <n v="1379.79674939681"/>
    <n v="2449.39632303221"/>
    <n v="3822.60277145748"/>
    <n v="996.011904227103"/>
    <n v="499.195880467341"/>
    <n v="199.889829308181"/>
    <n v="99.9753269848952"/>
    <n v="-100.029886183252"/>
    <n v="-200.108614499895"/>
    <n v="-500.587638321003"/>
    <n v="-1001.94855970529"/>
  </r>
  <r>
    <x v="1"/>
    <x v="1"/>
    <x v="1"/>
    <x v="1"/>
    <x v="1"/>
    <x v="3"/>
    <x v="12"/>
    <x v="1"/>
    <x v="0"/>
    <n v="0.50139327707893"/>
    <x v="4"/>
    <n v="101.565863259488"/>
    <n v="-2539.1465814872"/>
    <x v="0"/>
    <x v="0"/>
    <n v="-703.506563172971"/>
    <n v="2077.49872092497"/>
    <n v="3.93827005671332"/>
    <n v="261.415617729688"/>
    <n v="-1.42476382321394"/>
    <n v="-1.52191773763944"/>
    <n v="17587.6640793243"/>
    <n v="-51937.4680231242"/>
    <n v="-98.456751417833"/>
    <n v="-6535.39044324221"/>
    <n v="35.6190955803485"/>
    <n v="38.0479434409861"/>
    <n v="-6113.52199524805"/>
    <n v="-2349.14011577754"/>
    <n v="-1018.26489882294"/>
    <n v="-373.108978823453"/>
    <n v="331.558020253843"/>
    <n v="758.545663967561"/>
    <n v="1310.24611319232"/>
    <n v="1977.49027620403"/>
    <n v="944.576941444609"/>
    <n v="483.282314970631"/>
    <n v="195.555906206033"/>
    <n v="98.1237739830021"/>
    <n v="-98.7775167414156"/>
    <n v="-198.17332413335"/>
    <n v="-499.748840585204"/>
    <n v="-1012.01646119635"/>
  </r>
  <r>
    <x v="1"/>
    <x v="1"/>
    <x v="1"/>
    <x v="1"/>
    <x v="1"/>
    <x v="2"/>
    <x v="13"/>
    <x v="2"/>
    <x v="0"/>
    <n v="0.388708147833382"/>
    <x v="4"/>
    <n v="125.754308993694"/>
    <n v="-6287.71544968471"/>
    <x v="1"/>
    <x v="0"/>
    <n v="1150.08822037932"/>
    <n v="3301.21278255178"/>
    <n v="4.85158208960886"/>
    <n v="138.956183903207"/>
    <n v="-1.35897788830726"/>
    <n v="1.9364120516605"/>
    <n v="-57504.4110189659"/>
    <n v="-165060.639127589"/>
    <n v="-242.579104480443"/>
    <n v="-6947.80919516037"/>
    <n v="67.948894415363"/>
    <n v="-96.8206025830248"/>
    <n v="5840.29444237306"/>
    <n v="4177.44277992252"/>
    <n v="2469.30603946645"/>
    <n v="1084.37808040239"/>
    <n v="-1216.27160428683"/>
    <n v="-3288.59770335422"/>
    <n v="-7384.85467635809"/>
    <n v="-17683.7460445551"/>
    <n v="2378.73287434167"/>
    <n v="1202.88033190872"/>
    <n v="483.689922961713"/>
    <n v="242.222114736131"/>
    <n v="-242.9173440363"/>
    <n v="-486.476233130668"/>
    <n v="-1220.53401237738"/>
    <n v="-2452.96447767954"/>
  </r>
  <r>
    <x v="1"/>
    <x v="1"/>
    <x v="1"/>
    <x v="1"/>
    <x v="1"/>
    <x v="0"/>
    <x v="14"/>
    <x v="1"/>
    <x v="0"/>
    <n v="0.534273608820262"/>
    <x v="4"/>
    <n v="88.1744728303631"/>
    <n v="2204.36182075908"/>
    <x v="0"/>
    <x v="0"/>
    <n v="-599.394193708109"/>
    <n v="1780.3983327482"/>
    <n v="3.59639282870533"/>
    <n v="320.808723126751"/>
    <n v="-1.38704608099957"/>
    <n v="-1.29978734222341"/>
    <n v="-14984.8548427027"/>
    <n v="44509.9583187051"/>
    <n v="89.9098207176332"/>
    <n v="8020.21807816877"/>
    <n v="-34.6761520249892"/>
    <n v="-32.4946835555853"/>
    <n v="5302.71068864088"/>
    <n v="2011.61835627993"/>
    <n v="868.998981781982"/>
    <n v="318.040232881137"/>
    <n v="-282.424750819672"/>
    <n v="-646.161201165451"/>
    <n v="-1117.12612466569"/>
    <n v="-1692.27341465424"/>
    <n v="-851.311875815421"/>
    <n v="-438.63576171743"/>
    <n v="-178.161263922888"/>
    <n v="-89.5021169220513"/>
    <n v="90.3043287769179"/>
    <n v="181.372393190225"/>
    <n v="458.805486172579"/>
    <n v="933.44063300313"/>
  </r>
  <r>
    <x v="1"/>
    <x v="1"/>
    <x v="1"/>
    <x v="1"/>
    <x v="1"/>
    <x v="5"/>
    <x v="10"/>
    <x v="1"/>
    <x v="0"/>
    <n v="0.397567985636796"/>
    <x v="4"/>
    <n v="248.485474171602"/>
    <n v="-4969.70948343204"/>
    <x v="0"/>
    <x v="0"/>
    <n v="-1543.62738917081"/>
    <n v="3326.50379927525"/>
    <n v="5.00018014321532"/>
    <n v="27.2568052079209"/>
    <n v="-1.42553840736602"/>
    <n v="-3.38782979645552"/>
    <n v="30872.5477834162"/>
    <n v="-66530.0759855049"/>
    <n v="-100.003602864306"/>
    <n v="-545.136104158418"/>
    <n v="28.5107681473205"/>
    <n v="67.7565959291104"/>
    <n v="-8624.28940948072"/>
    <n v="-3744.71127602312"/>
    <n v="-1710.19667095419"/>
    <n v="-644.124397261194"/>
    <n v="590.958274711179"/>
    <n v="1379.79674939681"/>
    <n v="2449.39632303221"/>
    <n v="3822.60277145748"/>
    <n v="996.011904227103"/>
    <n v="499.195880467341"/>
    <n v="199.889829308181"/>
    <n v="99.9753269848952"/>
    <n v="-100.029886183252"/>
    <n v="-200.108614499895"/>
    <n v="-500.587638321003"/>
    <n v="-1001.94855970529"/>
  </r>
  <r>
    <x v="1"/>
    <x v="1"/>
    <x v="1"/>
    <x v="1"/>
    <x v="1"/>
    <x v="9"/>
    <x v="12"/>
    <x v="1"/>
    <x v="0"/>
    <n v="0.50139327707893"/>
    <x v="4"/>
    <n v="101.565863259488"/>
    <n v="-1015.65863259488"/>
    <x v="4"/>
    <x v="0"/>
    <n v="-703.506563172971"/>
    <n v="2077.49872092497"/>
    <n v="3.93827005671332"/>
    <n v="261.415617729688"/>
    <n v="-1.42476382321394"/>
    <n v="-1.52191773763944"/>
    <n v="7035.06563172971"/>
    <n v="-20774.9872092497"/>
    <n v="-39.3827005671332"/>
    <n v="-2614.15617729688"/>
    <n v="14.2476382321394"/>
    <n v="15.2191773763944"/>
    <n v="-2445.40879809922"/>
    <n v="-939.656046311014"/>
    <n v="-407.305959529176"/>
    <n v="-149.243591529381"/>
    <n v="132.623208101537"/>
    <n v="303.418265587025"/>
    <n v="524.09844527693"/>
    <n v="790.996110481612"/>
    <n v="377.830776577844"/>
    <n v="193.312925988253"/>
    <n v="78.2223624824133"/>
    <n v="39.2495095932009"/>
    <n v="-39.5110066965663"/>
    <n v="-79.26932965334"/>
    <n v="-199.899536234082"/>
    <n v="-404.80658447854"/>
  </r>
  <r>
    <x v="1"/>
    <x v="1"/>
    <x v="1"/>
    <x v="1"/>
    <x v="1"/>
    <x v="9"/>
    <x v="13"/>
    <x v="2"/>
    <x v="0"/>
    <n v="0.388708147833382"/>
    <x v="4"/>
    <n v="125.754308993694"/>
    <n v="-1257.54308993694"/>
    <x v="0"/>
    <x v="0"/>
    <n v="1150.08822037932"/>
    <n v="3301.21278255178"/>
    <n v="4.85158208960886"/>
    <n v="138.956183903207"/>
    <n v="-1.35897788830726"/>
    <n v="1.9364120516605"/>
    <n v="-11500.8822037932"/>
    <n v="-33012.1278255178"/>
    <n v="-48.5158208960886"/>
    <n v="-1389.56183903207"/>
    <n v="13.5897788830726"/>
    <n v="-19.364120516605"/>
    <n v="1168.05888847461"/>
    <n v="835.488555984504"/>
    <n v="493.86120789329"/>
    <n v="216.875616080478"/>
    <n v="-243.254320857366"/>
    <n v="-657.719540670844"/>
    <n v="-1476.97093527162"/>
    <n v="-3536.74920891101"/>
    <n v="475.746574868333"/>
    <n v="240.576066381744"/>
    <n v="96.7379845923426"/>
    <n v="48.4444229472263"/>
    <n v="-48.58346880726"/>
    <n v="-97.2952466261336"/>
    <n v="-244.106802475476"/>
    <n v="-490.592895535908"/>
  </r>
  <r>
    <x v="1"/>
    <x v="1"/>
    <x v="1"/>
    <x v="1"/>
    <x v="1"/>
    <x v="3"/>
    <x v="15"/>
    <x v="2"/>
    <x v="0"/>
    <n v="0.382879148340354"/>
    <x v="4"/>
    <n v="96.6879826614101"/>
    <n v="-2417.19956653525"/>
    <x v="0"/>
    <x v="0"/>
    <n v="961.312546678582"/>
    <n v="3155.42433905997"/>
    <n v="4.56778557083987"/>
    <n v="310.389377575498"/>
    <n v="-1.26149820883751"/>
    <n v="1.63449575115575"/>
    <n v="-24032.8136669646"/>
    <n v="-78885.6084764992"/>
    <n v="-114.194639270997"/>
    <n v="-7759.73443938744"/>
    <n v="31.5374552209377"/>
    <n v="-40.8623937788937"/>
    <n v="2278.80150630674"/>
    <n v="1677.96453157346"/>
    <n v="1011.10256678561"/>
    <n v="449.476165721399"/>
    <n v="-512.510897091548"/>
    <n v="-1402.67231101705"/>
    <n v="-3211.20724394529"/>
    <n v="-7950.23498408942"/>
    <n v="1090.71766689515"/>
    <n v="559.9173025597"/>
    <n v="226.756737442565"/>
    <n v="113.796813444566"/>
    <n v="-114.573226549555"/>
    <n v="-229.86767580154"/>
    <n v="-579.594577071092"/>
    <n v="-1172.92502224465"/>
  </r>
  <r>
    <x v="1"/>
    <x v="1"/>
    <x v="1"/>
    <x v="1"/>
    <x v="1"/>
    <x v="7"/>
    <x v="16"/>
    <x v="2"/>
    <x v="0"/>
    <n v="0.379493250665508"/>
    <x v="4"/>
    <n v="73.5703081827932"/>
    <n v="3678.51540913966"/>
    <x v="2"/>
    <x v="0"/>
    <n v="788.500749384038"/>
    <n v="2912.28060811997"/>
    <n v="4.17852973166927"/>
    <n v="513.072657346532"/>
    <n v="-1.14464086502373"/>
    <n v="1.35151234090098"/>
    <n v="39425.0374692019"/>
    <n v="145614.030405999"/>
    <n v="208.926486583464"/>
    <n v="25653.6328673266"/>
    <n v="-57.2320432511863"/>
    <n v="67.5756170450492"/>
    <n v="-3506.74781673072"/>
    <n v="-2649.19686822644"/>
    <n v="-1625.68745996295"/>
    <n v="-731.352008283773"/>
    <n v="847.718069368671"/>
    <n v="2348.90875050692"/>
    <n v="5486.1220584584"/>
    <n v="14075.1614422332"/>
    <n v="-1924.44203640073"/>
    <n v="-1008.49949991178"/>
    <n v="-412.478567297592"/>
    <n v="-207.613982773944"/>
    <n v="210.180551326664"/>
    <n v="422.759321798867"/>
    <n v="1073.39219600716"/>
    <n v="2193.37589869855"/>
  </r>
  <r>
    <x v="1"/>
    <x v="1"/>
    <x v="1"/>
    <x v="1"/>
    <x v="1"/>
    <x v="5"/>
    <x v="13"/>
    <x v="1"/>
    <x v="0"/>
    <n v="0.388708147833382"/>
    <x v="4"/>
    <n v="299.03216238875"/>
    <n v="-5980.643247775"/>
    <x v="0"/>
    <x v="0"/>
    <n v="-1742.85525153239"/>
    <n v="3301.21278255178"/>
    <n v="4.85158208960886"/>
    <n v="138.956183903207"/>
    <n v="-1.34853374371907"/>
    <n v="-3.86000634412489"/>
    <n v="34857.1050306478"/>
    <n v="-66024.2556510356"/>
    <n v="-97.0316417921771"/>
    <n v="-2779.12367806415"/>
    <n v="26.9706748743813"/>
    <n v="77.2001268824979"/>
    <n v="-9235.6561106976"/>
    <n v="-4114.90983185441"/>
    <n v="-1905.22105612512"/>
    <n v="-723.426156603723"/>
    <n v="670.668747049954"/>
    <n v="1577.50439057003"/>
    <n v="2831.94507328019"/>
    <n v="4498.27546982481"/>
    <n v="951.493149736662"/>
    <n v="481.152132763491"/>
    <n v="193.475969184683"/>
    <n v="96.8888458944502"/>
    <n v="-97.1669376145201"/>
    <n v="-194.590493252267"/>
    <n v="-488.213604950952"/>
    <n v="-981.185791071816"/>
  </r>
  <r>
    <x v="1"/>
    <x v="1"/>
    <x v="1"/>
    <x v="1"/>
    <x v="1"/>
    <x v="7"/>
    <x v="14"/>
    <x v="1"/>
    <x v="0"/>
    <n v="0.534273608820262"/>
    <x v="4"/>
    <n v="88.1744728303631"/>
    <n v="4408.72364151816"/>
    <x v="0"/>
    <x v="0"/>
    <n v="-599.394193708109"/>
    <n v="1780.3983327482"/>
    <n v="3.59639282870533"/>
    <n v="320.808723126751"/>
    <n v="-1.38704608099957"/>
    <n v="-1.29978734222341"/>
    <n v="-29969.7096854054"/>
    <n v="89019.9166374101"/>
    <n v="179.819641435266"/>
    <n v="16040.4361563375"/>
    <n v="-69.3523040499784"/>
    <n v="-64.9893671111706"/>
    <n v="10605.4213772818"/>
    <n v="4023.23671255986"/>
    <n v="1737.99796356396"/>
    <n v="636.080465762274"/>
    <n v="-564.849501639344"/>
    <n v="-1292.3224023309"/>
    <n v="-2234.25224933138"/>
    <n v="-3384.54682930848"/>
    <n v="-1702.62375163084"/>
    <n v="-877.27152343486"/>
    <n v="-356.322527845776"/>
    <n v="-179.004233844103"/>
    <n v="180.608657553836"/>
    <n v="362.744786380449"/>
    <n v="917.610972345159"/>
    <n v="1866.88126600626"/>
  </r>
  <r>
    <x v="1"/>
    <x v="1"/>
    <x v="1"/>
    <x v="1"/>
    <x v="1"/>
    <x v="10"/>
    <x v="14"/>
    <x v="1"/>
    <x v="1"/>
    <n v="0.484705436893715"/>
    <x v="5"/>
    <n v="165.119888613171"/>
    <n v="1651.19888613171"/>
    <x v="1"/>
    <x v="0"/>
    <n v="-724.71081192219"/>
    <n v="1430.16860990663"/>
    <n v="6.0774619256677"/>
    <n v="291.421840291693"/>
    <n v="-0.908165562866603"/>
    <n v="-3.90062772837418"/>
    <n v="-7247.1081192219"/>
    <n v="14301.6860990663"/>
    <n v="60.774619256677"/>
    <n v="2914.21840291693"/>
    <n v="-9.08165562866603"/>
    <n v="-39.0062772837418"/>
    <n v="2138.9273728458"/>
    <n v="882.616686794708"/>
    <n v="399.963988785806"/>
    <n v="150.780932757694"/>
    <n v="-139.338488182937"/>
    <n v="-328.413306981365"/>
    <n v="-595.938199377426"/>
    <n v="-986.439820859936"/>
    <n v="-589.269589424108"/>
    <n v="-299.789258599709"/>
    <n v="-120.939715060118"/>
    <n v="-60.6256332632893"/>
    <n v="60.91716866198"/>
    <n v="122.107220991663"/>
    <n v="307.146292335142"/>
    <n v="619.58184858403"/>
  </r>
  <r>
    <x v="1"/>
    <x v="1"/>
    <x v="1"/>
    <x v="1"/>
    <x v="1"/>
    <x v="5"/>
    <x v="16"/>
    <x v="2"/>
    <x v="1"/>
    <n v="0.329530886145138"/>
    <x v="5"/>
    <n v="127.339747876812"/>
    <n v="-2546.79495753624"/>
    <x v="0"/>
    <x v="0"/>
    <n v="981.98027679182"/>
    <n v="2419.4771496618"/>
    <n v="6.98996119790437"/>
    <n v="543.895837460334"/>
    <n v="-0.714481242071857"/>
    <n v="3.74636944181921"/>
    <n v="-19639.6055358364"/>
    <n v="-48389.542993236"/>
    <n v="-139.799223958087"/>
    <n v="-10877.9167492067"/>
    <n v="14.2896248414371"/>
    <n v="-74.9273888363842"/>
    <n v="2231.04463562866"/>
    <n v="1502.55589312988"/>
    <n v="863.300298857844"/>
    <n v="373.562728375837"/>
    <n v="-412.24713542699"/>
    <n v="-1104.18910957849"/>
    <n v="-2453.66740425643"/>
    <n v="-5851.33099958814"/>
    <n v="1321.79515580475"/>
    <n v="683.079804024278"/>
    <n v="277.286775318983"/>
    <n v="139.238776471291"/>
    <n v="-140.327417841324"/>
    <n v="-281.651563201226"/>
    <n v="-710.813880477983"/>
    <n v="-1439.63324184987"/>
  </r>
  <r>
    <x v="1"/>
    <x v="1"/>
    <x v="1"/>
    <x v="1"/>
    <x v="1"/>
    <x v="11"/>
    <x v="11"/>
    <x v="1"/>
    <x v="1"/>
    <n v="0.376696844291189"/>
    <x v="5"/>
    <n v="239.634197160307"/>
    <n v="-9585.36788641229"/>
    <x v="0"/>
    <x v="0"/>
    <n v="-1156.37886549155"/>
    <n v="2231.19047236859"/>
    <n v="7.36861290918412"/>
    <n v="-0.500933213821834"/>
    <n v="-0.849148235922401"/>
    <n v="-6.11950931573418"/>
    <n v="46255.1546196621"/>
    <n v="-89247.6188947435"/>
    <n v="-294.744516367365"/>
    <n v="20.0373285528733"/>
    <n v="33.9659294368961"/>
    <n v="244.780372629367"/>
    <n v="-13118.6425971282"/>
    <n v="-5568.03178445708"/>
    <n v="-2542.77256928472"/>
    <n v="-961.264550634105"/>
    <n v="889.890493593493"/>
    <n v="2097.47501946995"/>
    <n v="3798.21151375304"/>
    <n v="6224.95594441286"/>
    <n v="2944.84671482131"/>
    <n v="1473.451439271"/>
    <n v="589.475313701596"/>
    <n v="294.743348133325"/>
    <n v="-294.74142881576"/>
    <n v="-589.468652219111"/>
    <n v="-1473.45499484293"/>
    <n v="-2945.55244861761"/>
  </r>
  <r>
    <x v="1"/>
    <x v="1"/>
    <x v="1"/>
    <x v="1"/>
    <x v="1"/>
    <x v="2"/>
    <x v="13"/>
    <x v="2"/>
    <x v="1"/>
    <n v="0.338820958617779"/>
    <x v="5"/>
    <n v="187.759303064546"/>
    <n v="-9387.96515322731"/>
    <x v="0"/>
    <x v="0"/>
    <n v="1272.48673726323"/>
    <n v="2531.49016053461"/>
    <n v="7.51975384481151"/>
    <n v="119.07783415721"/>
    <n v="-0.787858046354273"/>
    <n v="4.75496957456957"/>
    <n v="-63624.3368631614"/>
    <n v="-126574.508026731"/>
    <n v="-375.987692240575"/>
    <n v="-5953.89170786049"/>
    <n v="39.3929023177136"/>
    <n v="-237.748478728478"/>
    <n v="7897.99114309244"/>
    <n v="5103.58888341181"/>
    <n v="2864.24614050345"/>
    <n v="1221.7711175685"/>
    <n v="-1322.96529900763"/>
    <n v="-3494.57066880316"/>
    <n v="-7594.74831603897"/>
    <n v="-17406.5562849835"/>
    <n v="3714.44944069549"/>
    <n v="1870.8507546338"/>
    <n v="750.688398145292"/>
    <n v="375.678306183909"/>
    <n v="-376.274308823326"/>
    <n v="-753.079794173505"/>
    <n v="-1886.12647922076"/>
    <n v="-3780.65500296148"/>
  </r>
  <r>
    <x v="1"/>
    <x v="1"/>
    <x v="1"/>
    <x v="1"/>
    <x v="1"/>
    <x v="3"/>
    <x v="17"/>
    <x v="1"/>
    <x v="1"/>
    <n v="0.360210795270696"/>
    <x v="5"/>
    <n v="272.402772687319"/>
    <n v="-6810.06931718297"/>
    <x v="0"/>
    <x v="0"/>
    <n v="-1299.91880333425"/>
    <n v="2388.82336944407"/>
    <n v="7.54393394558836"/>
    <n v="-29.7727212062789"/>
    <n v="-0.828462986774989"/>
    <n v="-6.8923685524233"/>
    <n v="32497.9700833562"/>
    <n v="-59720.5842361017"/>
    <n v="-188.598348639709"/>
    <n v="744.318030156973"/>
    <n v="20.7115746693747"/>
    <n v="172.309213810582"/>
    <n v="-8985.06084926592"/>
    <n v="-3869.00233958899"/>
    <n v="-1777.48578971384"/>
    <n v="-674.076377966065"/>
    <n v="626.321887310883"/>
    <n v="1479.74098183493"/>
    <n v="2688.29688753315"/>
    <n v="4424.42554450369"/>
    <n v="1889.36420013518"/>
    <n v="943.879596343078"/>
    <n v="377.342840590302"/>
    <n v="188.635224611653"/>
    <n v="-188.56079302538"/>
    <n v="-377.045116846654"/>
    <n v="-942.01893688969"/>
    <n v="-1881.92319827681"/>
  </r>
  <r>
    <x v="1"/>
    <x v="1"/>
    <x v="1"/>
    <x v="1"/>
    <x v="1"/>
    <x v="5"/>
    <x v="18"/>
    <x v="2"/>
    <x v="1"/>
    <n v="0.328118060060689"/>
    <x v="5"/>
    <n v="105.227220365078"/>
    <n v="-2104.54440730155"/>
    <x v="2"/>
    <x v="0"/>
    <n v="854.500375194606"/>
    <n v="2291.88557777655"/>
    <n v="6.59295605182345"/>
    <n v="803.622130393212"/>
    <n v="-0.671731574875848"/>
    <n v="3.28448506226643"/>
    <n v="-17090.0075038921"/>
    <n v="-45837.711555531"/>
    <n v="-131.859121036469"/>
    <n v="-16072.4426078642"/>
    <n v="13.434631497517"/>
    <n v="-65.6897012453285"/>
    <n v="1869.14514417902"/>
    <n v="1280.27239252021"/>
    <n v="743.162895840439"/>
    <n v="323.655224383131"/>
    <n v="-360.300322414066"/>
    <n v="-971.37676646134"/>
    <n v="-2181.69346883843"/>
    <n v="-5306.54946213663"/>
    <n v="1209.0247922212"/>
    <n v="636.046457509981"/>
    <n v="260.317081125479"/>
    <n v="131.032750262891"/>
    <n v="-132.641086434435"/>
    <n v="-266.763553551316"/>
    <n v="-676.917768337385"/>
    <n v="-1381.17941846122"/>
  </r>
  <r>
    <x v="1"/>
    <x v="1"/>
    <x v="1"/>
    <x v="1"/>
    <x v="1"/>
    <x v="9"/>
    <x v="17"/>
    <x v="1"/>
    <x v="1"/>
    <n v="0.360210795270696"/>
    <x v="5"/>
    <n v="272.402772687319"/>
    <n v="-2724.02772687319"/>
    <x v="0"/>
    <x v="0"/>
    <n v="-1299.91880333425"/>
    <n v="2388.82336944407"/>
    <n v="7.54393394558836"/>
    <n v="-29.7727212062789"/>
    <n v="-0.828462986774989"/>
    <n v="-6.8923685524233"/>
    <n v="12999.1880333425"/>
    <n v="-23888.2336944407"/>
    <n v="-75.4393394558836"/>
    <n v="297.727212062789"/>
    <n v="8.28462986774989"/>
    <n v="68.923685524233"/>
    <n v="-3594.02433970637"/>
    <n v="-1547.60093583559"/>
    <n v="-710.994315885537"/>
    <n v="-269.630551186426"/>
    <n v="250.528754924353"/>
    <n v="591.89639273397"/>
    <n v="1075.31875501326"/>
    <n v="1769.77021780147"/>
    <n v="755.745680054072"/>
    <n v="377.551838537231"/>
    <n v="150.937136236121"/>
    <n v="75.4540898446612"/>
    <n v="-75.4243172101519"/>
    <n v="-150.818046738661"/>
    <n v="-376.807574755876"/>
    <n v="-752.769279310726"/>
  </r>
  <r>
    <x v="1"/>
    <x v="1"/>
    <x v="1"/>
    <x v="1"/>
    <x v="1"/>
    <x v="6"/>
    <x v="19"/>
    <x v="2"/>
    <x v="1"/>
    <n v="0.328225348335383"/>
    <x v="5"/>
    <n v="87.2763946199109"/>
    <n v="1745.52789239822"/>
    <x v="0"/>
    <x v="0"/>
    <n v="740.830942178555"/>
    <n v="2136.46793064241"/>
    <n v="6.14788322842721"/>
    <n v="1059.08087131506"/>
    <n v="-0.627121038566015"/>
    <n v="2.86489664683241"/>
    <n v="14816.6188435711"/>
    <n v="42729.3586128482"/>
    <n v="122.957664568544"/>
    <n v="21181.6174263012"/>
    <n v="-12.5424207713203"/>
    <n v="57.2979329366482"/>
    <n v="-1566.98586529142"/>
    <n v="-1089.02201203021"/>
    <n v="-637.97185621887"/>
    <n v="-279.478860769616"/>
    <n v="313.640506016018"/>
    <n v="850.769694726566"/>
    <n v="1930.2634044499"/>
    <n v="4785.93010605918"/>
    <n v="-1089.30352819812"/>
    <n v="-584.51169665263"/>
    <n v="-241.452336028922"/>
    <n v="-121.870887003133"/>
    <n v="123.990251634427"/>
    <n v="249.94424374758"/>
    <n v="638.221972182441"/>
    <n v="1313.40863187363"/>
  </r>
  <r>
    <x v="1"/>
    <x v="1"/>
    <x v="1"/>
    <x v="1"/>
    <x v="1"/>
    <x v="9"/>
    <x v="15"/>
    <x v="2"/>
    <x v="1"/>
    <n v="0.332951278808709"/>
    <x v="5"/>
    <n v="154.782218412209"/>
    <n v="-1547.82218412209"/>
    <x v="3"/>
    <x v="0"/>
    <n v="1123.44758159948"/>
    <n v="2504.68066059071"/>
    <n v="7.3112252401194"/>
    <n v="304.408509146437"/>
    <n v="-0.754037598939226"/>
    <n v="4.24620433177981"/>
    <n v="-11234.4758159948"/>
    <n v="-25046.8066059071"/>
    <n v="-73.112252401194"/>
    <n v="-3044.08509146437"/>
    <n v="7.54037598939226"/>
    <n v="-42.4620433177981"/>
    <n v="1331.91026472148"/>
    <n v="879.601321526836"/>
    <n v="499.655282883955"/>
    <n v="214.69524951168"/>
    <n v="-234.718831283142"/>
    <n v="-624.349834314949"/>
    <n v="-1372.02266556893"/>
    <n v="-3206.65670436936"/>
    <n v="709.166487505133"/>
    <n v="361.047519822857"/>
    <n v="145.574270847308"/>
    <n v="72.955016460362"/>
    <n v="-73.2596923852725"/>
    <n v="-146.796193191691"/>
    <n v="-368.827928831652"/>
    <n v="-742.494546117855"/>
  </r>
  <r>
    <x v="1"/>
    <x v="1"/>
    <x v="1"/>
    <x v="1"/>
    <x v="1"/>
    <x v="5"/>
    <x v="20"/>
    <x v="1"/>
    <x v="1"/>
    <n v="0.397417918157917"/>
    <x v="5"/>
    <n v="213.381279332085"/>
    <n v="-4267.6255866417"/>
    <x v="0"/>
    <x v="0"/>
    <n v="-1025.54590764858"/>
    <n v="2038.33349223746"/>
    <n v="7.10198577969596"/>
    <n v="68.9414045761532"/>
    <n v="-0.865761967603474"/>
    <n v="-5.43091369635359"/>
    <n v="20510.9181529716"/>
    <n v="-40766.6698447493"/>
    <n v="-142.039715593919"/>
    <n v="-1378.82809152306"/>
    <n v="17.3152393520695"/>
    <n v="108.618273927072"/>
    <n v="-5933.01759819432"/>
    <n v="-2488.41145220649"/>
    <n v="-1131.37859418231"/>
    <n v="-426.782103675623"/>
    <n v="394.175615294087"/>
    <n v="927.814085422399"/>
    <n v="1677.45500305331"/>
    <n v="2746.00330432163"/>
    <n v="1409.94334071231"/>
    <n v="708.087695123033"/>
    <n v="283.780634513139"/>
    <n v="141.967961278747"/>
    <n v="-142.105966602489"/>
    <n v="-284.334129481886"/>
    <n v="-711.612443869176"/>
    <n v="-1425.03319575383"/>
  </r>
  <r>
    <x v="1"/>
    <x v="1"/>
    <x v="1"/>
    <x v="1"/>
    <x v="1"/>
    <x v="6"/>
    <x v="20"/>
    <x v="1"/>
    <x v="1"/>
    <n v="0.397417918157917"/>
    <x v="5"/>
    <n v="213.381279332085"/>
    <n v="4267.6255866417"/>
    <x v="2"/>
    <x v="0"/>
    <n v="-1025.54590764858"/>
    <n v="2038.33349223746"/>
    <n v="7.10198577969596"/>
    <n v="68.9414045761532"/>
    <n v="-0.865761967603474"/>
    <n v="-5.43091369635359"/>
    <n v="-20510.9181529716"/>
    <n v="40766.6698447493"/>
    <n v="142.039715593919"/>
    <n v="1378.82809152306"/>
    <n v="-17.3152393520695"/>
    <n v="-108.618273927072"/>
    <n v="5933.01759819432"/>
    <n v="2488.41145220649"/>
    <n v="1131.37859418231"/>
    <n v="426.782103675623"/>
    <n v="-394.175615294087"/>
    <n v="-927.814085422399"/>
    <n v="-1677.45500305331"/>
    <n v="-2746.00330432163"/>
    <n v="-1409.94334071231"/>
    <n v="-708.087695123033"/>
    <n v="-283.780634513139"/>
    <n v="-141.967961278747"/>
    <n v="142.105966602489"/>
    <n v="284.334129481886"/>
    <n v="711.612443869176"/>
    <n v="1425.03319575383"/>
  </r>
  <r>
    <x v="1"/>
    <x v="1"/>
    <x v="1"/>
    <x v="1"/>
    <x v="1"/>
    <x v="5"/>
    <x v="18"/>
    <x v="1"/>
    <x v="2"/>
    <n v="0.298157631768942"/>
    <x v="6"/>
    <n v="559.088472776965"/>
    <n v="-11181.7694555393"/>
    <x v="0"/>
    <x v="0"/>
    <n v="-1910.57409744634"/>
    <n v="2101.32869545549"/>
    <n v="8.61689446787328"/>
    <n v="853.187771262445"/>
    <n v="-0.457794324174812"/>
    <n v="-16.9831590445493"/>
    <n v="38211.4819489268"/>
    <n v="-42026.5739091098"/>
    <n v="-172.337889357466"/>
    <n v="-17063.7554252489"/>
    <n v="9.15588648349625"/>
    <n v="339.663180890986"/>
    <n v="-9150.09078125728"/>
    <n v="-4225.07485668667"/>
    <n v="-2013.95742841323"/>
    <n v="-780.94651022137"/>
    <n v="747.343779795892"/>
    <n v="1804.5459258371"/>
    <n v="3395.94860257141"/>
    <n v="5961.9856573078"/>
    <n v="1599.478769415"/>
    <n v="836.316311781729"/>
    <n v="341.027465346951"/>
    <n v="171.4561152946"/>
    <n v="-173.164070431312"/>
    <n v="-347.878295738983"/>
    <n v="-879.980206879063"/>
    <n v="-1787.08708704969"/>
  </r>
  <r>
    <x v="1"/>
    <x v="1"/>
    <x v="1"/>
    <x v="1"/>
    <x v="1"/>
    <x v="5"/>
    <x v="20"/>
    <x v="1"/>
    <x v="2"/>
    <n v="0.368588340870641"/>
    <x v="6"/>
    <n v="255.606436619941"/>
    <n v="-5112.12873239881"/>
    <x v="0"/>
    <x v="0"/>
    <n v="-1026.6800601483"/>
    <n v="1749.13180910297"/>
    <n v="8.86696479242811"/>
    <n v="48.7185835285553"/>
    <n v="-0.625102020743966"/>
    <n v="-8.81791536133778"/>
    <n v="20533.601202966"/>
    <n v="-34982.6361820594"/>
    <n v="-177.339295848562"/>
    <n v="-974.371670571105"/>
    <n v="12.5020404148793"/>
    <n v="176.358307226756"/>
    <n v="-5676.70215344213"/>
    <n v="-2427.09162588933"/>
    <n v="-1117.23666442524"/>
    <n v="-424.866853537392"/>
    <n v="396.884251088666"/>
    <n v="942.461344663693"/>
    <n v="1729.69462535926"/>
    <n v="2917.17037680875"/>
    <n v="1764.14508411399"/>
    <n v="885.005730589287"/>
    <n v="354.455673401892"/>
    <n v="177.287154012183"/>
    <n v="-177.384742958475"/>
    <n v="-354.847855642611"/>
    <n v="-887.538140492361"/>
    <n v="-1775.5193477272"/>
  </r>
  <r>
    <x v="1"/>
    <x v="1"/>
    <x v="1"/>
    <x v="1"/>
    <x v="1"/>
    <x v="12"/>
    <x v="12"/>
    <x v="1"/>
    <x v="2"/>
    <n v="0.423278196490016"/>
    <x v="6"/>
    <n v="224.955563301008"/>
    <n v="1124.77781650504"/>
    <x v="3"/>
    <x v="0"/>
    <n v="-837.031910410591"/>
    <n v="1400.87852160992"/>
    <n v="8.15524903376935"/>
    <n v="205.150673685529"/>
    <n v="-0.665349641875428"/>
    <n v="-7.30298235346881"/>
    <n v="-4185.15955205296"/>
    <n v="7004.3926080496"/>
    <n v="40.7762451688467"/>
    <n v="1025.75336842764"/>
    <n v="-3.32674820937714"/>
    <n v="-36.514911767344"/>
    <n v="1163.69241755809"/>
    <n v="494.523356326479"/>
    <n v="227.51658251974"/>
    <n v="86.5527552752349"/>
    <n v="-80.9490608804953"/>
    <n v="-192.487756293015"/>
    <n v="-354.335940575202"/>
    <n v="-602.391821186711"/>
    <n v="-400.565965380858"/>
    <n v="-202.370841770667"/>
    <n v="-81.333686578713"/>
    <n v="-40.7232869635448"/>
    <n v="40.8259298644964"/>
    <n v="81.7450704852553"/>
    <n v="204.977936402023"/>
    <n v="411.532148675071"/>
  </r>
  <r>
    <x v="2"/>
    <x v="2"/>
    <x v="2"/>
    <x v="0"/>
    <x v="2"/>
    <x v="9"/>
    <x v="0"/>
    <x v="0"/>
    <x v="0"/>
    <m/>
    <x v="0"/>
    <n v="10012.5316261693"/>
    <n v="-100125.316261693"/>
    <x v="0"/>
    <x v="0"/>
    <n v="10012.5316261693"/>
    <n v="0"/>
    <n v="0"/>
    <n v="0"/>
    <n v="0.137157967481771"/>
    <n v="18.9277995124844"/>
    <n v="-100125.316261693"/>
    <n v="0"/>
    <n v="0"/>
    <n v="0"/>
    <n v="-1.37157967481771"/>
    <n v="-189.277995124844"/>
    <n v="20025.0632523385"/>
    <n v="10012.5316261693"/>
    <n v="5006.26581308463"/>
    <n v="2002.50632523384"/>
    <n v="-2002.50632523386"/>
    <n v="-5006.26581308465"/>
    <n v="-10012.5316261693"/>
    <n v="-20025.0632523386"/>
    <n v="0"/>
    <n v="0"/>
    <n v="0"/>
    <n v="0"/>
    <n v="0"/>
    <n v="0"/>
    <n v="0"/>
    <n v="0"/>
  </r>
  <r>
    <x v="2"/>
    <x v="2"/>
    <x v="2"/>
    <x v="1"/>
    <x v="2"/>
    <x v="5"/>
    <x v="21"/>
    <x v="2"/>
    <x v="0"/>
    <n v="0.41"/>
    <x v="7"/>
    <n v="711.117231527427"/>
    <n v="-14222.3446305485"/>
    <x v="0"/>
    <x v="0"/>
    <n v="5361.82442884835"/>
    <n v="11159.2982599402"/>
    <n v="17.2984409739018"/>
    <n v="-33.5186914487454"/>
    <n v="-5.12965055161181"/>
    <n v="8.79174785246969"/>
    <n v="-107236.488576967"/>
    <n v="-223185.965198804"/>
    <n v="-345.968819478036"/>
    <n v="670.373828974908"/>
    <n v="102.593011032236"/>
    <n v="-175.834957049394"/>
    <n v="12617.4731117768"/>
    <n v="8438.80412225041"/>
    <n v="4793.37506988572"/>
    <n v="2054.64771923836"/>
    <n v="-2233.03163315291"/>
    <n v="-5902.88815863549"/>
    <n v="-12801.1897311309"/>
    <n v="-28939.0714374174"/>
    <n v="3462.76934324364"/>
    <n v="1730.64824749159"/>
    <n v="692.069550338019"/>
    <n v="346.002067785412"/>
    <n v="-345.93503048156"/>
    <n v="-691.801402070378"/>
    <n v="-1728.97236229037"/>
    <n v="-3456.06639484566"/>
  </r>
  <r>
    <x v="2"/>
    <x v="2"/>
    <x v="2"/>
    <x v="1"/>
    <x v="2"/>
    <x v="9"/>
    <x v="22"/>
    <x v="1"/>
    <x v="0"/>
    <n v="0.472167740835595"/>
    <x v="7"/>
    <n v="411.894489242258"/>
    <n v="-4118.94489242258"/>
    <x v="0"/>
    <x v="0"/>
    <n v="-2873.99851907485"/>
    <n v="8307.15075015131"/>
    <n v="14.8297771819779"/>
    <n v="629.782328103114"/>
    <n v="-5.068373833729"/>
    <n v="-6.21168815270905"/>
    <n v="28739.9851907485"/>
    <n v="-83071.5075015131"/>
    <n v="-148.297771819779"/>
    <n v="-6297.82328103114"/>
    <n v="50.68373833729"/>
    <n v="62.1168815270905"/>
    <n v="-9714.44182514595"/>
    <n v="-3800.49710889326"/>
    <n v="-1657.24841599244"/>
    <n v="-608.84858885398"/>
    <n v="542.40475863839"/>
    <n v="1242.4221892112"/>
    <n v="2148.05279440682"/>
    <n v="3238.9776989924"/>
    <n v="1443.24453323326"/>
    <n v="732.693103899183"/>
    <n v="295.280353346548"/>
    <n v="147.976061291738"/>
    <n v="-148.606096523772"/>
    <n v="-297.803533272536"/>
    <n v="-748.597032064663"/>
    <n v="-1508.83983012755"/>
  </r>
  <r>
    <x v="2"/>
    <x v="2"/>
    <x v="2"/>
    <x v="1"/>
    <x v="2"/>
    <x v="5"/>
    <x v="21"/>
    <x v="1"/>
    <x v="0"/>
    <n v="0.41"/>
    <x v="7"/>
    <n v="711.117231527427"/>
    <n v="-14222.3446305485"/>
    <x v="1"/>
    <x v="0"/>
    <n v="-4650.70719732092"/>
    <n v="11159.2982599402"/>
    <n v="17.2984409739018"/>
    <n v="-33.5186914487454"/>
    <n v="-5.12965055161181"/>
    <n v="-10.1360516600147"/>
    <n v="93014.1439464185"/>
    <n v="-223185.965198804"/>
    <n v="-345.968819478036"/>
    <n v="670.373828974908"/>
    <n v="102.593011032236"/>
    <n v="202.721033200294"/>
    <n v="-27432.6533929003"/>
    <n v="-11586.2591300881"/>
    <n v="-5219.15655628354"/>
    <n v="-1950.36493122932"/>
    <n v="1771.98101731481"/>
    <n v="4109.64346753381"/>
    <n v="7223.87352120774"/>
    <n v="11111.0550672596"/>
    <n v="3462.76934324364"/>
    <n v="1730.64824749159"/>
    <n v="692.069550338019"/>
    <n v="346.002067785412"/>
    <n v="-345.93503048156"/>
    <n v="-691.801402070378"/>
    <n v="-1728.97236229037"/>
    <n v="-3456.06639484566"/>
  </r>
  <r>
    <x v="2"/>
    <x v="2"/>
    <x v="2"/>
    <x v="1"/>
    <x v="2"/>
    <x v="5"/>
    <x v="23"/>
    <x v="2"/>
    <x v="0"/>
    <n v="0.397537825839525"/>
    <x v="7"/>
    <n v="559.760408633843"/>
    <n v="-11195.2081726769"/>
    <x v="0"/>
    <x v="0"/>
    <n v="4668.01776038632"/>
    <n v="11513.4787700228"/>
    <n v="17.3049856957711"/>
    <n v="95.079000839661"/>
    <n v="-4.97739465041487"/>
    <n v="7.76629471975125"/>
    <n v="-93360.3552077263"/>
    <n v="-230269.575400456"/>
    <n v="-346.099713915422"/>
    <n v="-1901.58001679322"/>
    <n v="99.5478930082973"/>
    <n v="-155.325894395025"/>
    <n v="10194.7951388265"/>
    <n v="7060.72434239582"/>
    <n v="4091.52808752911"/>
    <n v="1774.88855148265"/>
    <n v="-1958.90361243404"/>
    <n v="-5235.08424835964"/>
    <n v="-11543.9459585434"/>
    <n v="-26813.6212131259"/>
    <n v="3446.97063745517"/>
    <n v="1727.6319350692"/>
    <n v="691.790058979796"/>
    <n v="346.001088862795"/>
    <n v="-346.191405567333"/>
    <n v="-692.553234907355"/>
    <n v="-1732.4865543239"/>
    <n v="-3467.67586270031"/>
  </r>
  <r>
    <x v="2"/>
    <x v="2"/>
    <x v="2"/>
    <x v="1"/>
    <x v="2"/>
    <x v="5"/>
    <x v="23"/>
    <x v="1"/>
    <x v="0"/>
    <n v="0.397537825839525"/>
    <x v="7"/>
    <n v="860.476036200891"/>
    <n v="-17209.5207240178"/>
    <x v="0"/>
    <x v="0"/>
    <n v="-5344.51386578296"/>
    <n v="11513.4787700228"/>
    <n v="17.3049856957711"/>
    <n v="95.079000839661"/>
    <n v="-4.97327525825641"/>
    <n v="-11.7299809105996"/>
    <n v="106890.277315659"/>
    <n v="-230269.575400456"/>
    <n v="-346.099713915422"/>
    <n v="-1901.58001679322"/>
    <n v="99.4655051651283"/>
    <n v="234.599618211992"/>
    <n v="-29855.3313658505"/>
    <n v="-12964.3389099427"/>
    <n v="-5921.00353864014"/>
    <n v="-2230.12409898503"/>
    <n v="2046.10903803368"/>
    <n v="4777.44737780966"/>
    <n v="8481.1172937952"/>
    <n v="13236.5052915512"/>
    <n v="3446.97063745518"/>
    <n v="1727.6319350692"/>
    <n v="691.790058979786"/>
    <n v="346.001088862795"/>
    <n v="-346.191405567333"/>
    <n v="-692.553234907355"/>
    <n v="-1732.4865543239"/>
    <n v="-3467.67586270031"/>
  </r>
  <r>
    <x v="2"/>
    <x v="2"/>
    <x v="2"/>
    <x v="1"/>
    <x v="2"/>
    <x v="7"/>
    <x v="24"/>
    <x v="1"/>
    <x v="0"/>
    <n v="0.534139247868658"/>
    <x v="7"/>
    <n v="305.331077413167"/>
    <n v="15266.5538706584"/>
    <x v="0"/>
    <x v="0"/>
    <n v="-2075.77649810887"/>
    <n v="6165.75903169509"/>
    <n v="12.4516601933864"/>
    <n v="1109.6768406322"/>
    <n v="-4.81532492627763"/>
    <n v="-4.50127185509645"/>
    <n v="-103788.824905443"/>
    <n v="308287.951584754"/>
    <n v="622.583009669318"/>
    <n v="55483.8420316099"/>
    <n v="-240.766246313882"/>
    <n v="-225.063592754822"/>
    <n v="36726.0127085466"/>
    <n v="13932.8147861539"/>
    <n v="6018.88873318737"/>
    <n v="2202.82507867903"/>
    <n v="-1956.14282396044"/>
    <n v="-4475.46055648937"/>
    <n v="-7737.42164593128"/>
    <n v="-11720.7778151649"/>
    <n v="-5895.21233091664"/>
    <n v="-3037.41323509631"/>
    <n v="-1233.69317547481"/>
    <n v="-619.762492729194"/>
    <n v="625.312193133141"/>
    <n v="1255.9077804076"/>
    <n v="3176.94824194866"/>
    <n v="6463.39404264359"/>
  </r>
  <r>
    <x v="2"/>
    <x v="2"/>
    <x v="2"/>
    <x v="1"/>
    <x v="2"/>
    <x v="5"/>
    <x v="22"/>
    <x v="1"/>
    <x v="0"/>
    <n v="0.472167740835595"/>
    <x v="7"/>
    <n v="411.894489242258"/>
    <n v="-8237.88978484517"/>
    <x v="1"/>
    <x v="0"/>
    <n v="-2873.99851907485"/>
    <n v="8307.15075015131"/>
    <n v="14.8297771819779"/>
    <n v="629.782328103114"/>
    <n v="-5.068373833729"/>
    <n v="-6.21168815270905"/>
    <n v="57479.9703814969"/>
    <n v="-166143.015003026"/>
    <n v="-296.595543639558"/>
    <n v="-12595.6465620623"/>
    <n v="101.36747667458"/>
    <n v="124.233763054181"/>
    <n v="-19428.8836502919"/>
    <n v="-7600.99421778653"/>
    <n v="-3314.49683198488"/>
    <n v="-1217.69717770796"/>
    <n v="1084.80951727678"/>
    <n v="2484.8443784224"/>
    <n v="4296.10558881365"/>
    <n v="6477.9553979848"/>
    <n v="2886.48906646651"/>
    <n v="1465.38620779837"/>
    <n v="590.560706693095"/>
    <n v="295.952122583476"/>
    <n v="-297.212193047544"/>
    <n v="-595.607066545072"/>
    <n v="-1497.19406412933"/>
    <n v="-3017.6796602551"/>
  </r>
  <r>
    <x v="2"/>
    <x v="2"/>
    <x v="2"/>
    <x v="1"/>
    <x v="2"/>
    <x v="5"/>
    <x v="22"/>
    <x v="1"/>
    <x v="0"/>
    <n v="0.472167740835595"/>
    <x v="7"/>
    <n v="411.894489242258"/>
    <n v="-8237.88978484517"/>
    <x v="0"/>
    <x v="0"/>
    <n v="-2873.99851907485"/>
    <n v="8307.15075015131"/>
    <n v="14.8297771819779"/>
    <n v="629.782328103114"/>
    <n v="-5.068373833729"/>
    <n v="-6.21168815270905"/>
    <n v="57479.9703814969"/>
    <n v="-166143.015003026"/>
    <n v="-296.595543639558"/>
    <n v="-12595.6465620623"/>
    <n v="101.36747667458"/>
    <n v="124.233763054181"/>
    <n v="-19428.8836502919"/>
    <n v="-7600.99421778653"/>
    <n v="-3314.49683198488"/>
    <n v="-1217.69717770796"/>
    <n v="1084.80951727678"/>
    <n v="2484.8443784224"/>
    <n v="4296.10558881365"/>
    <n v="6477.9553979848"/>
    <n v="2886.48906646651"/>
    <n v="1465.38620779837"/>
    <n v="590.560706693095"/>
    <n v="295.952122583476"/>
    <n v="-297.212193047544"/>
    <n v="-595.607066545072"/>
    <n v="-1497.19406412933"/>
    <n v="-3017.6796602551"/>
  </r>
  <r>
    <x v="2"/>
    <x v="2"/>
    <x v="2"/>
    <x v="1"/>
    <x v="2"/>
    <x v="3"/>
    <x v="21"/>
    <x v="2"/>
    <x v="0"/>
    <n v="0.41"/>
    <x v="7"/>
    <n v="711.117231527427"/>
    <n v="-17777.9307881857"/>
    <x v="0"/>
    <x v="0"/>
    <n v="5361.82442884835"/>
    <n v="11159.2982599402"/>
    <n v="17.2984409739018"/>
    <n v="-33.5186914487454"/>
    <n v="-5.12965055161181"/>
    <n v="8.79174785246969"/>
    <n v="-134045.610721209"/>
    <n v="-278982.456498505"/>
    <n v="-432.461024347546"/>
    <n v="837.967286218635"/>
    <n v="128.241263790295"/>
    <n v="-219.793696311742"/>
    <n v="15771.841389721"/>
    <n v="10548.505152813"/>
    <n v="5991.71883735716"/>
    <n v="2568.30964904796"/>
    <n v="-2791.28954144114"/>
    <n v="-7378.61019829436"/>
    <n v="-16001.4871639136"/>
    <n v="-36173.8392967718"/>
    <n v="4328.46167905454"/>
    <n v="2163.31030936449"/>
    <n v="865.086937922524"/>
    <n v="432.502584731765"/>
    <n v="-432.41878810195"/>
    <n v="-864.751752587972"/>
    <n v="-2161.21545286296"/>
    <n v="-4320.08299355707"/>
  </r>
  <r>
    <x v="2"/>
    <x v="2"/>
    <x v="2"/>
    <x v="1"/>
    <x v="2"/>
    <x v="10"/>
    <x v="24"/>
    <x v="1"/>
    <x v="0"/>
    <n v="0.534139247868658"/>
    <x v="7"/>
    <n v="305.331077413167"/>
    <n v="3053.31077413167"/>
    <x v="2"/>
    <x v="0"/>
    <n v="-2075.77649810887"/>
    <n v="6165.75903169509"/>
    <n v="12.4516601933864"/>
    <n v="1109.6768406322"/>
    <n v="-4.81532492627763"/>
    <n v="-4.50127185509645"/>
    <n v="-20757.7649810887"/>
    <n v="61657.5903169509"/>
    <n v="124.516601933864"/>
    <n v="11096.768406322"/>
    <n v="-48.1532492627763"/>
    <n v="-45.0127185509645"/>
    <n v="7345.20254170932"/>
    <n v="2786.56295723079"/>
    <n v="1203.77774663747"/>
    <n v="440.565015735806"/>
    <n v="-391.228564792089"/>
    <n v="-895.092111297875"/>
    <n v="-1547.48432918626"/>
    <n v="-2344.15556303298"/>
    <n v="-1179.04246618333"/>
    <n v="-607.482647019263"/>
    <n v="-246.738635094962"/>
    <n v="-123.952498545839"/>
    <n v="125.062438626628"/>
    <n v="251.181556081519"/>
    <n v="635.389648389732"/>
    <n v="1292.67880852872"/>
  </r>
  <r>
    <x v="2"/>
    <x v="2"/>
    <x v="2"/>
    <x v="1"/>
    <x v="2"/>
    <x v="3"/>
    <x v="21"/>
    <x v="1"/>
    <x v="1"/>
    <n v="0.36"/>
    <x v="7"/>
    <n v="948.640343253894"/>
    <n v="-23716.0085813473"/>
    <x v="0"/>
    <x v="0"/>
    <n v="-4525.70884206508"/>
    <n v="8309.64450519697"/>
    <n v="26.2266040273614"/>
    <n v="-103.469341916166"/>
    <n v="-2.9374978798829"/>
    <n v="-23.997147113727"/>
    <n v="113142.721051627"/>
    <n v="-207741.112629924"/>
    <n v="-655.665100684035"/>
    <n v="2586.73354790414"/>
    <n v="73.4374469970725"/>
    <n v="599.928677843175"/>
    <n v="-31269.0214542023"/>
    <n v="-13467.5940604798"/>
    <n v="-6187.84663731312"/>
    <n v="-2346.74214831766"/>
    <n v="2180.6259902226"/>
    <n v="5152.13711109184"/>
    <n v="9360.62185967435"/>
    <n v="15407.0959740742"/>
    <n v="6568.40078661335"/>
    <n v="3281.41113677789"/>
    <n v="1311.83809807085"/>
    <n v="655.793256457491"/>
    <n v="-655.534583808048"/>
    <n v="-1310.80341593697"/>
    <n v="-3274.94474372493"/>
    <n v="-6542.54050324221"/>
  </r>
  <r>
    <x v="2"/>
    <x v="2"/>
    <x v="2"/>
    <x v="1"/>
    <x v="2"/>
    <x v="9"/>
    <x v="22"/>
    <x v="1"/>
    <x v="1"/>
    <n v="0.422167740835595"/>
    <x v="7"/>
    <n v="670.858439175631"/>
    <n v="-6708.58439175631"/>
    <x v="0"/>
    <x v="0"/>
    <n v="-3166.20021453871"/>
    <n v="6368.54321271582"/>
    <n v="23.5712306895439"/>
    <n v="526.63278215647"/>
    <n v="-3.10050178615477"/>
    <n v="-16.8199831395697"/>
    <n v="31662.0021453871"/>
    <n v="-63685.4321271582"/>
    <n v="-235.712306895439"/>
    <n v="-5266.3278215647"/>
    <n v="31.0050178615477"/>
    <n v="168.199831395697"/>
    <n v="-9278.23257861272"/>
    <n v="-3857.95176010867"/>
    <n v="-1749.37260386578"/>
    <n v="-659.171294810494"/>
    <n v="608.227655545047"/>
    <n v="1431.1319046878"/>
    <n v="2587.37349794225"/>
    <n v="4242.26289869745"/>
    <n v="2320.90637591045"/>
    <n v="1170.89212249347"/>
    <n v="470.306477504273"/>
    <n v="235.441058394008"/>
    <n v="-235.96802155706"/>
    <n v="-472.41830251096"/>
    <n v="-1184.26688641172"/>
    <n v="-2377.04144703951"/>
  </r>
  <r>
    <x v="2"/>
    <x v="2"/>
    <x v="2"/>
    <x v="1"/>
    <x v="2"/>
    <x v="13"/>
    <x v="22"/>
    <x v="1"/>
    <x v="1"/>
    <n v="0.422167740835595"/>
    <x v="7"/>
    <n v="670.858439175631"/>
    <n v="-10062.8765876345"/>
    <x v="1"/>
    <x v="0"/>
    <n v="-3166.20021453871"/>
    <n v="6368.54321271582"/>
    <n v="23.5712306895439"/>
    <n v="526.63278215647"/>
    <n v="-3.10050178615477"/>
    <n v="-16.8199831395697"/>
    <n v="47493.0032180806"/>
    <n v="-95528.1481907373"/>
    <n v="-353.568460343159"/>
    <n v="-7899.49173234705"/>
    <n v="46.5075267923216"/>
    <n v="252.299747093546"/>
    <n v="-13917.3488679191"/>
    <n v="-5786.927640163"/>
    <n v="-2624.05890579867"/>
    <n v="-988.756942215741"/>
    <n v="912.341483317571"/>
    <n v="2146.69785703171"/>
    <n v="3881.06024691337"/>
    <n v="6363.39434804618"/>
    <n v="3481.35956386568"/>
    <n v="1756.3381837402"/>
    <n v="705.45971625641"/>
    <n v="353.161587591012"/>
    <n v="-353.95203233559"/>
    <n v="-708.627453766439"/>
    <n v="-1776.40032961759"/>
    <n v="-3565.56217055927"/>
  </r>
  <r>
    <x v="2"/>
    <x v="2"/>
    <x v="2"/>
    <x v="1"/>
    <x v="2"/>
    <x v="5"/>
    <x v="25"/>
    <x v="2"/>
    <x v="1"/>
    <n v="0.329501010054712"/>
    <x v="7"/>
    <n v="441.493240942919"/>
    <n v="-8829.86481885838"/>
    <x v="0"/>
    <x v="0"/>
    <n v="3407.03584579749"/>
    <n v="8404.50222342067"/>
    <n v="24.2787241347874"/>
    <n v="1901.87617477328"/>
    <n v="-2.49390968652564"/>
    <n v="12.9996388158009"/>
    <n v="-68140.7169159498"/>
    <n v="-168090.044468413"/>
    <n v="-485.574482695747"/>
    <n v="-38037.5234954655"/>
    <n v="49.8781937305128"/>
    <n v="-259.992776316017"/>
    <n v="7736.7026944953"/>
    <n v="5211.71319449863"/>
    <n v="2994.83248305126"/>
    <n v="1296.02097218448"/>
    <n v="-1430.39843776464"/>
    <n v="-3831.60478636826"/>
    <n v="-8515.58248744702"/>
    <n v="-20312.6107249479"/>
    <n v="4589.39433187187"/>
    <n v="2372.22517747823"/>
    <n v="963.066045481646"/>
    <n v="483.614783670955"/>
    <n v="-487.421502419529"/>
    <n v="-978.328607987705"/>
    <n v="-2469.20161696159"/>
    <n v="-5001.3891090053"/>
  </r>
  <r>
    <x v="2"/>
    <x v="2"/>
    <x v="2"/>
    <x v="1"/>
    <x v="2"/>
    <x v="9"/>
    <x v="25"/>
    <x v="1"/>
    <x v="1"/>
    <n v="0.329501010054712"/>
    <x v="7"/>
    <n v="1641.85941605198"/>
    <n v="-16418.5941605198"/>
    <x v="4"/>
    <x v="0"/>
    <n v="-6593.02218158656"/>
    <n v="8404.50222342067"/>
    <n v="24.2787241347874"/>
    <n v="1901.87617477328"/>
    <n v="-2.47746631426387"/>
    <n v="-36.0981111129361"/>
    <n v="65930.2218158656"/>
    <n v="-84045.0222342067"/>
    <n v="-242.787241347874"/>
    <n v="-19018.7617477327"/>
    <n v="24.7746631426387"/>
    <n v="360.981111129361"/>
    <n v="-16131.7647075205"/>
    <n v="-7394.20143013474"/>
    <n v="-3502.6127721664"/>
    <n v="-1352.00111938459"/>
    <n v="1284.81238659449"/>
    <n v="3084.22662050789"/>
    <n v="5742.26678366054"/>
    <n v="9843.81069229412"/>
    <n v="2294.69716593594"/>
    <n v="1186.1125887391"/>
    <n v="481.533022740805"/>
    <n v="241.807391835464"/>
    <n v="-243.710751209774"/>
    <n v="-489.164303993857"/>
    <n v="-1234.6008084808"/>
    <n v="-2500.69455450265"/>
  </r>
  <r>
    <x v="2"/>
    <x v="2"/>
    <x v="2"/>
    <x v="1"/>
    <x v="2"/>
    <x v="13"/>
    <x v="23"/>
    <x v="2"/>
    <x v="1"/>
    <n v="0.347537825839525"/>
    <x v="7"/>
    <n v="787.175710266901"/>
    <n v="-11807.6356540035"/>
    <x v="0"/>
    <x v="0"/>
    <n v="4945.95624495012"/>
    <n v="8668.16274799229"/>
    <n v="26.4110854615707"/>
    <n v="25.0978644453897"/>
    <n v="-2.85760777714729"/>
    <n v="18.2302708369676"/>
    <n v="-74189.3436742518"/>
    <n v="-130022.441219884"/>
    <n v="-396.16628192356"/>
    <n v="-376.467966680846"/>
    <n v="42.8641166572093"/>
    <n v="-273.454062554513"/>
    <n v="9660.08989669834"/>
    <n v="6098.44354864416"/>
    <n v="3380.53568811626"/>
    <n v="1431.48188553274"/>
    <n v="-1535.44070666956"/>
    <n v="-4028.34247435665"/>
    <n v="-8662.26265931715"/>
    <n v="-19493.2116692853"/>
    <n v="3955.25762776742"/>
    <n v="1979.87471043075"/>
    <n v="792.228467212672"/>
    <n v="396.143943055295"/>
    <n v="-396.181745580643"/>
    <n v="-792.381552138727"/>
    <n v="-1980.91514397824"/>
    <n v="-3960.71559614077"/>
  </r>
  <r>
    <x v="2"/>
    <x v="2"/>
    <x v="2"/>
    <x v="1"/>
    <x v="2"/>
    <x v="5"/>
    <x v="21"/>
    <x v="1"/>
    <x v="1"/>
    <n v="0.36"/>
    <x v="7"/>
    <n v="948.640343253894"/>
    <n v="-18972.8068650779"/>
    <x v="0"/>
    <x v="0"/>
    <n v="-4525.70884206508"/>
    <n v="8309.64450519697"/>
    <n v="26.2266040273614"/>
    <n v="-103.469341916166"/>
    <n v="-2.9374978798829"/>
    <n v="-23.997147113727"/>
    <n v="90514.1768413016"/>
    <n v="-166192.890103939"/>
    <n v="-524.532080547228"/>
    <n v="2069.38683832331"/>
    <n v="58.749957597658"/>
    <n v="479.94294227454"/>
    <n v="-25015.2171633619"/>
    <n v="-10774.0752483839"/>
    <n v="-4950.2773098505"/>
    <n v="-1877.39371865413"/>
    <n v="1744.50079217808"/>
    <n v="4121.70968887347"/>
    <n v="7488.49748773948"/>
    <n v="12325.6767792594"/>
    <n v="5254.72062929068"/>
    <n v="2625.12890942231"/>
    <n v="1049.47047845668"/>
    <n v="524.634605165993"/>
    <n v="-524.427667046439"/>
    <n v="-1048.64273274958"/>
    <n v="-2619.95579497994"/>
    <n v="-5234.03240259377"/>
  </r>
  <r>
    <x v="2"/>
    <x v="2"/>
    <x v="2"/>
    <x v="1"/>
    <x v="2"/>
    <x v="5"/>
    <x v="26"/>
    <x v="2"/>
    <x v="1"/>
    <n v="0.328110573204544"/>
    <x v="7"/>
    <n v="364.844930700792"/>
    <n v="-7296.89861401584"/>
    <x v="2"/>
    <x v="0"/>
    <n v="2964.5690777484"/>
    <n v="7959.45502800685"/>
    <n v="22.8960556855682"/>
    <n v="2804.9522115217"/>
    <n v="-2.34263898521039"/>
    <n v="11.3960510555511"/>
    <n v="-59291.3815549679"/>
    <n v="-159189.100560137"/>
    <n v="-457.921113711363"/>
    <n v="-56099.0442304339"/>
    <n v="46.8527797042078"/>
    <n v="-227.921021111023"/>
    <n v="6481.73489998043"/>
    <n v="4440.57113379536"/>
    <n v="2577.95368324735"/>
    <n v="1122.81545251961"/>
    <n v="-1250.07971865776"/>
    <n v="-3370.51636540289"/>
    <n v="-7571.13744316434"/>
    <n v="-18419.9960371713"/>
    <n v="4196.92048715757"/>
    <n v="2208.46921940783"/>
    <n v="903.971509158482"/>
    <n v="455.036836680083"/>
    <n v="-460.650544504488"/>
    <n v="-926.47206723801"/>
    <n v="-2351.12083874108"/>
    <n v="-4797.71424197571"/>
  </r>
  <r>
    <x v="2"/>
    <x v="2"/>
    <x v="2"/>
    <x v="1"/>
    <x v="2"/>
    <x v="12"/>
    <x v="24"/>
    <x v="1"/>
    <x v="1"/>
    <n v="0.484139247868658"/>
    <x v="7"/>
    <n v="574.493025765585"/>
    <n v="2872.46512882793"/>
    <x v="0"/>
    <x v="0"/>
    <n v="-2523.31672181815"/>
    <n v="4981.28795346357"/>
    <n v="21.1431189322263"/>
    <n v="1009.97184909196"/>
    <n v="-3.19094701297551"/>
    <n v="-13.5794399894082"/>
    <n v="-12616.5836090908"/>
    <n v="24906.4397673178"/>
    <n v="105.715594661131"/>
    <n v="5049.85924545978"/>
    <n v="-15.9547350648776"/>
    <n v="-67.8971999470409"/>
    <n v="3723.80303245229"/>
    <n v="1536.62744599451"/>
    <n v="696.322194953184"/>
    <n v="262.499774660066"/>
    <n v="-242.572738781219"/>
    <n v="-571.717358502535"/>
    <n v="-1037.3909942437"/>
    <n v="-1716.99106226133"/>
    <n v="-1025.12360689642"/>
    <n v="-521.499776705339"/>
    <n v="-210.374895171396"/>
    <n v="-105.457415593432"/>
    <n v="105.962599010443"/>
    <n v="212.398001607012"/>
    <n v="534.248755060712"/>
    <n v="1077.65738578285"/>
  </r>
  <r>
    <x v="2"/>
    <x v="2"/>
    <x v="2"/>
    <x v="1"/>
    <x v="2"/>
    <x v="5"/>
    <x v="26"/>
    <x v="2"/>
    <x v="1"/>
    <n v="0.328110573204544"/>
    <x v="7"/>
    <n v="364.844930700792"/>
    <n v="-7296.89861401584"/>
    <x v="0"/>
    <x v="0"/>
    <n v="2964.5690777484"/>
    <n v="7959.45502800685"/>
    <n v="22.8960556855682"/>
    <n v="2804.9522115217"/>
    <n v="-2.34263898521039"/>
    <n v="11.3960510555511"/>
    <n v="-59291.3815549679"/>
    <n v="-159189.100560137"/>
    <n v="-457.921113711363"/>
    <n v="-56099.0442304339"/>
    <n v="46.8527797042078"/>
    <n v="-227.921021111023"/>
    <n v="6481.73489998043"/>
    <n v="4440.57113379536"/>
    <n v="2577.95368324735"/>
    <n v="1122.81545251961"/>
    <n v="-1250.07971865776"/>
    <n v="-3370.51636540289"/>
    <n v="-7571.13744316434"/>
    <n v="-18419.9960371713"/>
    <n v="4196.92048715757"/>
    <n v="2208.46921940783"/>
    <n v="903.971509158482"/>
    <n v="455.036836680083"/>
    <n v="-460.650544504488"/>
    <n v="-926.47206723801"/>
    <n v="-2351.12083874108"/>
    <n v="-4797.71424197571"/>
  </r>
  <r>
    <x v="2"/>
    <x v="2"/>
    <x v="2"/>
    <x v="1"/>
    <x v="2"/>
    <x v="9"/>
    <x v="27"/>
    <x v="1"/>
    <x v="2"/>
    <n v="0.347524525934635"/>
    <x v="8"/>
    <n v="974.854722926656"/>
    <n v="-9748.54722926656"/>
    <x v="3"/>
    <x v="0"/>
    <n v="-3985.29667958972"/>
    <n v="6690.34445688195"/>
    <n v="31.9775208337011"/>
    <n v="-76.0830901660431"/>
    <n v="-2.16641178124834"/>
    <n v="-34.1095343022359"/>
    <n v="39852.9667958972"/>
    <n v="-66903.4445688195"/>
    <n v="-319.775208337011"/>
    <n v="760.830901660431"/>
    <n v="21.6641178124834"/>
    <n v="341.095343022359"/>
    <n v="-10893.3437258733"/>
    <n v="-4691.79284549671"/>
    <n v="-2164.91041063094"/>
    <n v="-824.151349788526"/>
    <n v="770.640355147948"/>
    <n v="1830.85386217103"/>
    <n v="3361.16459999603"/>
    <n v="5664.06746088957"/>
    <n v="3198.31788958208"/>
    <n v="1599.4711682909"/>
    <n v="639.681229059174"/>
    <n v="319.810633083503"/>
    <n v="-319.734646182023"/>
    <n v="-639.378439468328"/>
    <n v="-1597.63040156697"/>
    <n v="-3191.75540244394"/>
  </r>
  <r>
    <x v="2"/>
    <x v="2"/>
    <x v="2"/>
    <x v="1"/>
    <x v="2"/>
    <x v="14"/>
    <x v="28"/>
    <x v="1"/>
    <x v="2"/>
    <n v="0.57529131582784"/>
    <x v="8"/>
    <n v="713.626867886662"/>
    <n v="-3568.13433943331"/>
    <x v="0"/>
    <x v="0"/>
    <n v="-2066.16418965915"/>
    <n v="2990.24100465183"/>
    <n v="23.6594619306486"/>
    <n v="1143.69904000085"/>
    <n v="-2.68255573742471"/>
    <n v="-19.1158234368219"/>
    <n v="10330.8209482958"/>
    <n v="-14951.2050232592"/>
    <n v="-118.297309653243"/>
    <n v="-5718.49520000427"/>
    <n v="13.4127786871236"/>
    <n v="95.5791171841096"/>
    <n v="-2783.15978839271"/>
    <n v="-1196.81428035725"/>
    <n v="-555.653343423644"/>
    <n v="-212.706207786857"/>
    <n v="200.742979455105"/>
    <n v="480.809008256174"/>
    <n v="896.385271219623"/>
    <n v="1565.11766064213"/>
    <n v="1147.56704403499"/>
    <n v="583.550394056506"/>
    <n v="235.402654018629"/>
    <n v="118.005436848007"/>
    <n v="-118.577449778893"/>
    <n v="-237.692668114034"/>
    <n v="-597.949215198605"/>
    <n v="-1206.41611300434"/>
  </r>
  <r>
    <x v="2"/>
    <x v="2"/>
    <x v="2"/>
    <x v="1"/>
    <x v="2"/>
    <x v="9"/>
    <x v="27"/>
    <x v="1"/>
    <x v="2"/>
    <n v="0.347524525934635"/>
    <x v="8"/>
    <n v="974.854722926656"/>
    <n v="-9748.54722926656"/>
    <x v="2"/>
    <x v="0"/>
    <n v="-3985.29667958972"/>
    <n v="6690.34445688195"/>
    <n v="31.9775208337011"/>
    <n v="-76.0830901660431"/>
    <n v="-2.16641178124834"/>
    <n v="-34.1095343022359"/>
    <n v="39852.9667958972"/>
    <n v="-66903.4445688195"/>
    <n v="-319.775208337011"/>
    <n v="760.830901660431"/>
    <n v="21.6641178124834"/>
    <n v="341.095343022359"/>
    <n v="-10893.3437258733"/>
    <n v="-4691.79284549671"/>
    <n v="-2164.91041063094"/>
    <n v="-824.151349788526"/>
    <n v="770.640355147948"/>
    <n v="1830.85386217103"/>
    <n v="3361.16459999603"/>
    <n v="5664.06746088957"/>
    <n v="3198.31788958208"/>
    <n v="1599.4711682909"/>
    <n v="639.681229059174"/>
    <n v="319.810633083503"/>
    <n v="-319.734646182023"/>
    <n v="-639.378439468328"/>
    <n v="-1597.63040156697"/>
    <n v="-3191.75540244394"/>
  </r>
  <r>
    <x v="2"/>
    <x v="2"/>
    <x v="2"/>
    <x v="1"/>
    <x v="2"/>
    <x v="9"/>
    <x v="29"/>
    <x v="1"/>
    <x v="2"/>
    <n v="0.422857492616098"/>
    <x v="8"/>
    <n v="785.709590984099"/>
    <n v="-7857.09590984099"/>
    <x v="0"/>
    <x v="0"/>
    <n v="-2925.47711052572"/>
    <n v="4897.58635606828"/>
    <n v="28.4830823389512"/>
    <n v="712.941056930588"/>
    <n v="-2.36307768422154"/>
    <n v="-25.5207633446292"/>
    <n v="29254.7711052572"/>
    <n v="-48975.8635606828"/>
    <n v="-284.830823389512"/>
    <n v="-7129.41056930588"/>
    <n v="23.6307768422154"/>
    <n v="255.207633446292"/>
    <n v="-8134.58162975773"/>
    <n v="-3456.89434297422"/>
    <n v="-1590.40166504358"/>
    <n v="-605.01981207723"/>
    <n v="565.83789464546"/>
    <n v="1345.4756950087"/>
    <n v="2476.7023880878"/>
    <n v="4210.22464579347"/>
    <n v="2798.2520693995"/>
    <n v="1413.65246347763"/>
    <n v="568.140647319483"/>
    <n v="284.462714977394"/>
    <n v="-285.176127241034"/>
    <n v="-570.999961580392"/>
    <n v="-1431.77387714071"/>
    <n v="-2874.48916352065"/>
  </r>
  <r>
    <x v="2"/>
    <x v="2"/>
    <x v="2"/>
    <x v="1"/>
    <x v="2"/>
    <x v="9"/>
    <x v="29"/>
    <x v="1"/>
    <x v="2"/>
    <n v="0.422857492616098"/>
    <x v="8"/>
    <n v="785.709590984099"/>
    <n v="-7857.09590984099"/>
    <x v="0"/>
    <x v="0"/>
    <n v="-2925.47711052572"/>
    <n v="4897.58635606828"/>
    <n v="28.4830823389512"/>
    <n v="712.941056930588"/>
    <n v="-2.36307768422154"/>
    <n v="-25.5207633446292"/>
    <n v="29254.7711052572"/>
    <n v="-48975.8635606828"/>
    <n v="-284.830823389512"/>
    <n v="-7129.41056930588"/>
    <n v="23.6307768422154"/>
    <n v="255.207633446292"/>
    <n v="-8134.58162975773"/>
    <n v="-3456.89434297422"/>
    <n v="-1590.40166504358"/>
    <n v="-605.01981207723"/>
    <n v="565.83789464546"/>
    <n v="1345.4756950087"/>
    <n v="2476.7023880878"/>
    <n v="4210.22464579347"/>
    <n v="2798.2520693995"/>
    <n v="1413.65246347763"/>
    <n v="568.140647319483"/>
    <n v="284.462714977394"/>
    <n v="-285.176127241034"/>
    <n v="-570.999961580392"/>
    <n v="-1431.77387714071"/>
    <n v="-2874.4891635206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3">
  <r>
    <x v="0"/>
    <x v="0"/>
    <x v="0"/>
    <x v="0"/>
    <x v="0"/>
    <x v="0"/>
    <x v="0"/>
    <x v="0"/>
    <x v="0"/>
    <n v="0"/>
    <x v="0"/>
    <n v="1095.78890315673"/>
    <n v="27394.7225789183"/>
    <x v="0"/>
    <x v="0"/>
    <n v="1095.78890315673"/>
    <n v="0"/>
    <n v="0.060043227570232"/>
    <n v="2.10151296495812"/>
    <n v="27394.7225789183"/>
    <n v="0"/>
    <n v="1.5010806892558"/>
    <n v="52.5378241239529"/>
    <n v="-5478.94451578367"/>
    <n v="-2739.47225789183"/>
    <n v="-1369.73612894592"/>
    <n v="-547.894451578367"/>
    <n v="547.894451578367"/>
    <n v="1369.73612894591"/>
    <n v="2739.47225789183"/>
    <n v="5478.94451578367"/>
    <n v="0"/>
    <n v="0"/>
    <n v="0"/>
    <n v="0"/>
    <n v="0"/>
    <n v="0"/>
    <n v="0"/>
    <n v="0"/>
  </r>
  <r>
    <x v="0"/>
    <x v="0"/>
    <x v="0"/>
    <x v="1"/>
    <x v="0"/>
    <x v="1"/>
    <x v="1"/>
    <x v="1"/>
    <x v="0"/>
    <n v="0.532477423753828"/>
    <x v="1"/>
    <n v="34.158393268925"/>
    <n v="6831.67865378501"/>
    <x v="0"/>
    <x v="0"/>
    <n v="-230.204782720196"/>
    <n v="1.38332488703694"/>
    <n v="-0.530782045615045"/>
    <n v="-0.506997871759959"/>
    <n v="-46040.9565440393"/>
    <n v="276.664977407389"/>
    <n v="-106.156409123009"/>
    <n v="-101.399574351992"/>
    <n v="16198.9757681041"/>
    <n v="6162.7650295897"/>
    <n v="2666.16666293531"/>
    <n v="976.623636855868"/>
    <n v="-868.232606936942"/>
    <n v="-1988.03884461531"/>
    <n v="-3441.38021643816"/>
    <n v="-5224.20518327231"/>
    <n v="-2623.36576832062"/>
    <n v="-1350.63863031742"/>
    <n v="-548.365906670153"/>
    <n v="-275.444815259277"/>
    <n v="277.845232743186"/>
    <n v="557.97456167403"/>
    <n v="1410.99940957801"/>
    <n v="2869.25164348228"/>
  </r>
  <r>
    <x v="0"/>
    <x v="0"/>
    <x v="0"/>
    <x v="1"/>
    <x v="0"/>
    <x v="2"/>
    <x v="2"/>
    <x v="1"/>
    <x v="0"/>
    <n v="0.470752933734236"/>
    <x v="1"/>
    <n v="46.0268783677242"/>
    <n v="-2301.34391838621"/>
    <x v="0"/>
    <x v="0"/>
    <n v="-318.231472231288"/>
    <n v="1.6437326455358"/>
    <n v="-0.559168238565386"/>
    <n v="-0.698577658683037"/>
    <n v="15911.5736115644"/>
    <n v="-82.1866322767901"/>
    <n v="27.9584119282693"/>
    <n v="34.9288829341519"/>
    <n v="-5347.79076140372"/>
    <n v="-2097.82511957332"/>
    <n v="-916.139782285998"/>
    <n v="-336.880318611838"/>
    <n v="300.47446701611"/>
    <n v="688.860298180572"/>
    <n v="1192.62407875641"/>
    <n v="1802.5252735541"/>
    <n v="800.768944058089"/>
    <n v="406.26899336666"/>
    <n v="163.676344803005"/>
    <n v="82.0161960401975"/>
    <n v="-82.3499058753924"/>
    <n v="-165.012821192491"/>
    <n v="-414.6941952281"/>
    <n v="-835.537056527639"/>
  </r>
  <r>
    <x v="0"/>
    <x v="0"/>
    <x v="0"/>
    <x v="1"/>
    <x v="0"/>
    <x v="0"/>
    <x v="3"/>
    <x v="1"/>
    <x v="0"/>
    <n v="0.409177465079528"/>
    <x v="1"/>
    <n v="79.2471880855514"/>
    <n v="1981.17970213879"/>
    <x v="1"/>
    <x v="0"/>
    <n v="-512.975437264753"/>
    <n v="1.90831956906754"/>
    <n v="-0.568004269299331"/>
    <n v="-1.13576941848004"/>
    <n v="-12824.3859316188"/>
    <n v="47.7079892266884"/>
    <n v="-14.2001067324833"/>
    <n v="-28.3942354620009"/>
    <n v="3764.51158809554"/>
    <n v="1593.15085600028"/>
    <n v="718.576875703911"/>
    <n v="268.752599885639"/>
    <n v="-244.456605715817"/>
    <n v="-567.457516165943"/>
    <n v="-998.93511470772"/>
    <n v="-1540.55626414425"/>
    <n v="-477.502825036078"/>
    <n v="-238.65066666045"/>
    <n v="-95.4341670933189"/>
    <n v="-47.7125756521787"/>
    <n v="47.7033245081657"/>
    <n v="95.3971634322983"/>
    <n v="238.419434308231"/>
    <n v="476.578504795202"/>
  </r>
  <r>
    <x v="0"/>
    <x v="0"/>
    <x v="0"/>
    <x v="1"/>
    <x v="0"/>
    <x v="3"/>
    <x v="4"/>
    <x v="1"/>
    <x v="0"/>
    <n v="0.445950982359596"/>
    <x v="1"/>
    <n v="54.6471232929364"/>
    <n v="-1366.17808232341"/>
    <x v="0"/>
    <x v="0"/>
    <n v="-375.311371733371"/>
    <n v="1.76323100551036"/>
    <n v="-0.569260638420017"/>
    <n v="-0.824577935666891"/>
    <n v="9382.78429333428"/>
    <n v="-44.0807751377591"/>
    <n v="14.2315159605004"/>
    <n v="20.6144483916723"/>
    <n v="-3037.00283328791"/>
    <n v="-1218.35018181043"/>
    <n v="-536.651469935308"/>
    <n v="-198.170390316284"/>
    <n v="177.563200599926"/>
    <n v="408.16653705446"/>
    <n v="708.911247581579"/>
    <n v="1074.33373024724"/>
    <n v="435.251309514169"/>
    <n v="219.201752366072"/>
    <n v="87.9840232866556"/>
    <n v="44.0375225495842"/>
    <n v="-44.1219075225291"/>
    <n v="-88.3220930450094"/>
    <n v="-221.338123151925"/>
    <n v="-444.146682097779"/>
  </r>
  <r>
    <x v="0"/>
    <x v="0"/>
    <x v="0"/>
    <x v="1"/>
    <x v="0"/>
    <x v="0"/>
    <x v="5"/>
    <x v="2"/>
    <x v="0"/>
    <n v="0.379359911885529"/>
    <x v="1"/>
    <n v="27.8459768307278"/>
    <n v="696.149420768194"/>
    <x v="0"/>
    <x v="0"/>
    <n v="297.070867025804"/>
    <n v="1.58992286629653"/>
    <n v="-0.422659341431097"/>
    <n v="0.516321707223434"/>
    <n v="7426.77167564511"/>
    <n v="39.7480716574132"/>
    <n v="-10.5664835357774"/>
    <n v="12.9080426805859"/>
    <n v="-662.988990519096"/>
    <n v="-499.972573341133"/>
    <n v="-306.506588383991"/>
    <n v="-137.814417291097"/>
    <n v="159.644725817645"/>
    <n v="442.194974297574"/>
    <n v="1032.38634333889"/>
    <n v="2648.42004710756"/>
    <n v="-365.681922213388"/>
    <n v="-191.766190974985"/>
    <n v="-78.4586013276183"/>
    <n v="-39.4946751380587"/>
    <n v="39.9902107830997"/>
    <n v="80.443522355651"/>
    <n v="204.294342240453"/>
    <n v="417.589568881473"/>
  </r>
  <r>
    <x v="0"/>
    <x v="0"/>
    <x v="0"/>
    <x v="1"/>
    <x v="0"/>
    <x v="0"/>
    <x v="3"/>
    <x v="2"/>
    <x v="0"/>
    <n v="0.409177465079528"/>
    <x v="1"/>
    <n v="77.35419320654"/>
    <n v="1933.8548301635"/>
    <x v="0"/>
    <x v="0"/>
    <n v="582.81346589198"/>
    <n v="1.90831956906754"/>
    <n v="-0.541041866053464"/>
    <n v="0.969373947615912"/>
    <n v="14570.3366472995"/>
    <n v="47.7079892266884"/>
    <n v="-13.5260466513366"/>
    <n v="24.2343486903978"/>
    <n v="-1714.43292768813"/>
    <n v="-1146.32140189156"/>
    <n v="-651.159253242007"/>
    <n v="-279.141851692725"/>
    <n v="303.437845862551"/>
    <n v="802.278612779971"/>
    <n v="1740.53714318411"/>
    <n v="3938.38825163942"/>
    <n v="-477.502825036076"/>
    <n v="-238.650666660449"/>
    <n v="-95.4341670933175"/>
    <n v="-47.7125756521772"/>
    <n v="47.7033245081657"/>
    <n v="95.3971634322997"/>
    <n v="238.419434308236"/>
    <n v="476.578504795205"/>
  </r>
  <r>
    <x v="0"/>
    <x v="0"/>
    <x v="0"/>
    <x v="1"/>
    <x v="0"/>
    <x v="2"/>
    <x v="4"/>
    <x v="1"/>
    <x v="0"/>
    <n v="0.445950982359596"/>
    <x v="1"/>
    <n v="54.6471232929364"/>
    <n v="-2732.35616464682"/>
    <x v="0"/>
    <x v="0"/>
    <n v="-375.311371733371"/>
    <n v="1.76323100551036"/>
    <n v="-0.569260638420017"/>
    <n v="-0.824577935666891"/>
    <n v="18765.5685866686"/>
    <n v="-88.1615502755182"/>
    <n v="28.4630319210009"/>
    <n v="41.2288967833445"/>
    <n v="-6074.00566657582"/>
    <n v="-2436.70036362087"/>
    <n v="-1073.30293987062"/>
    <n v="-396.340780632568"/>
    <n v="355.126401199851"/>
    <n v="816.33307410892"/>
    <n v="1417.82249516316"/>
    <n v="2148.66746049449"/>
    <n v="870.502619028338"/>
    <n v="438.403504732145"/>
    <n v="175.968046573311"/>
    <n v="88.0750450991684"/>
    <n v="-88.2438150450582"/>
    <n v="-176.644186090019"/>
    <n v="-442.67624630385"/>
    <n v="-888.293364195559"/>
  </r>
  <r>
    <x v="0"/>
    <x v="0"/>
    <x v="0"/>
    <x v="1"/>
    <x v="0"/>
    <x v="2"/>
    <x v="4"/>
    <x v="1"/>
    <x v="0"/>
    <n v="0.445950982359596"/>
    <x v="1"/>
    <n v="54.6471232929364"/>
    <n v="-2732.35616464682"/>
    <x v="1"/>
    <x v="0"/>
    <n v="-375.311371733371"/>
    <n v="1.76323100551036"/>
    <n v="-0.569260638420017"/>
    <n v="-0.824577935666891"/>
    <n v="18765.5685866686"/>
    <n v="-88.1615502755182"/>
    <n v="28.4630319210009"/>
    <n v="41.2288967833445"/>
    <n v="-6074.00566657582"/>
    <n v="-2436.70036362087"/>
    <n v="-1073.30293987062"/>
    <n v="-396.340780632568"/>
    <n v="355.126401199851"/>
    <n v="816.33307410892"/>
    <n v="1417.82249516316"/>
    <n v="2148.66746049449"/>
    <n v="870.502619028338"/>
    <n v="438.403504732145"/>
    <n v="175.968046573311"/>
    <n v="88.0750450991684"/>
    <n v="-88.2438150450582"/>
    <n v="-176.644186090019"/>
    <n v="-442.67624630385"/>
    <n v="-888.293364195559"/>
  </r>
  <r>
    <x v="0"/>
    <x v="0"/>
    <x v="0"/>
    <x v="1"/>
    <x v="0"/>
    <x v="2"/>
    <x v="3"/>
    <x v="2"/>
    <x v="0"/>
    <n v="0.409177465079528"/>
    <x v="1"/>
    <n v="77.35419320654"/>
    <n v="-3867.709660327"/>
    <x v="1"/>
    <x v="0"/>
    <n v="582.81346589198"/>
    <n v="1.90831956906754"/>
    <n v="-0.541041866053464"/>
    <n v="0.969373947615912"/>
    <n v="-29140.673294599"/>
    <n v="-95.4159784533768"/>
    <n v="27.0520933026732"/>
    <n v="-48.4686973807956"/>
    <n v="3428.86585537625"/>
    <n v="2292.64280378311"/>
    <n v="1302.31850648401"/>
    <n v="558.28370338545"/>
    <n v="-606.875691725102"/>
    <n v="-1604.55722555994"/>
    <n v="-3481.07428636823"/>
    <n v="-7876.77650327884"/>
    <n v="955.005650072152"/>
    <n v="477.301333320898"/>
    <n v="190.868334186635"/>
    <n v="95.4251513043545"/>
    <n v="-95.4066490163314"/>
    <n v="-190.794326864599"/>
    <n v="-476.838868616471"/>
    <n v="-953.15700959041"/>
  </r>
  <r>
    <x v="0"/>
    <x v="0"/>
    <x v="0"/>
    <x v="1"/>
    <x v="0"/>
    <x v="4"/>
    <x v="5"/>
    <x v="2"/>
    <x v="0"/>
    <n v="0.379359911885529"/>
    <x v="1"/>
    <n v="27.8459768307278"/>
    <n v="835.379304921833"/>
    <x v="0"/>
    <x v="0"/>
    <n v="297.070867025804"/>
    <n v="1.58992286629653"/>
    <n v="-0.422659341431097"/>
    <n v="0.516321707223434"/>
    <n v="8912.12601077413"/>
    <n v="47.6976859888958"/>
    <n v="-12.6797802429329"/>
    <n v="15.489651216703"/>
    <n v="-795.586788622915"/>
    <n v="-599.967088009359"/>
    <n v="-367.807906060789"/>
    <n v="-165.377300749317"/>
    <n v="191.573670981174"/>
    <n v="530.633969157089"/>
    <n v="1238.86361200667"/>
    <n v="3178.10405652907"/>
    <n v="-438.818306656065"/>
    <n v="-230.119429169982"/>
    <n v="-94.1503215931419"/>
    <n v="-47.3936101656705"/>
    <n v="47.9882529397196"/>
    <n v="96.5322268267812"/>
    <n v="245.153210688544"/>
    <n v="501.107482657768"/>
  </r>
  <r>
    <x v="0"/>
    <x v="0"/>
    <x v="0"/>
    <x v="1"/>
    <x v="0"/>
    <x v="0"/>
    <x v="1"/>
    <x v="1"/>
    <x v="0"/>
    <n v="0.532477423753828"/>
    <x v="1"/>
    <n v="34.158393268925"/>
    <n v="853.959831723126"/>
    <x v="0"/>
    <x v="0"/>
    <n v="-230.204782720196"/>
    <n v="1.38332488703694"/>
    <n v="-0.530782045615045"/>
    <n v="-0.506997871759959"/>
    <n v="-5755.11956800491"/>
    <n v="34.5831221759236"/>
    <n v="-13.2695511403761"/>
    <n v="-12.674946793999"/>
    <n v="2024.87197101301"/>
    <n v="770.345628698713"/>
    <n v="333.270832866913"/>
    <n v="122.077954606984"/>
    <n v="-108.529075867118"/>
    <n v="-248.504855576914"/>
    <n v="-430.17252705477"/>
    <n v="-653.025647909039"/>
    <n v="-327.920721040078"/>
    <n v="-168.829828789677"/>
    <n v="-68.5457383337692"/>
    <n v="-34.4306019074097"/>
    <n v="34.7306540928983"/>
    <n v="69.7468202092537"/>
    <n v="176.374926197251"/>
    <n v="358.656455435285"/>
  </r>
  <r>
    <x v="0"/>
    <x v="0"/>
    <x v="0"/>
    <x v="1"/>
    <x v="0"/>
    <x v="5"/>
    <x v="2"/>
    <x v="2"/>
    <x v="0"/>
    <n v="0.470752933734236"/>
    <x v="1"/>
    <n v="142.92525431193"/>
    <n v="-2858.50508623859"/>
    <x v="2"/>
    <x v="0"/>
    <n v="777.557430925445"/>
    <n v="1.6437326455358"/>
    <n v="-0.529228561130326"/>
    <n v="1.21710280446428"/>
    <n v="-15551.1486185089"/>
    <n v="-32.874652910716"/>
    <n v="10.5845712226065"/>
    <n v="-24.3420560892855"/>
    <n v="2244.03930806544"/>
    <n v="1352.44775848414"/>
    <n v="729.332990242335"/>
    <n v="303.563433817956"/>
    <n v="-318.12577445625"/>
    <n v="-820.244783884505"/>
    <n v="-1714.5281748109"/>
    <n v="-3662.1455032053"/>
    <n v="320.307577623234"/>
    <n v="162.507597346662"/>
    <n v="65.470537921201"/>
    <n v="32.8064784160779"/>
    <n v="-32.9399623501581"/>
    <n v="-66.0051284769997"/>
    <n v="-165.87767809124"/>
    <n v="-334.214822611057"/>
  </r>
  <r>
    <x v="0"/>
    <x v="0"/>
    <x v="0"/>
    <x v="1"/>
    <x v="0"/>
    <x v="2"/>
    <x v="3"/>
    <x v="1"/>
    <x v="1"/>
    <n v="0.358951097846511"/>
    <x v="2"/>
    <n v="104.775944850261"/>
    <n v="-5238.79724251303"/>
    <x v="0"/>
    <x v="0"/>
    <n v="-497.440261253058"/>
    <n v="2.87152744825548"/>
    <n v="-0.322613336626661"/>
    <n v="-2.65635093651053"/>
    <n v="24872.0130626529"/>
    <n v="-143.576372412774"/>
    <n v="16.130666831333"/>
    <n v="132.817546825526"/>
    <n v="-6855.14163898482"/>
    <n v="-2956.54383414551"/>
    <n v="-1359.35396485098"/>
    <n v="-515.744316973297"/>
    <n v="479.488976635048"/>
    <n v="1133.31306012398"/>
    <n v="2060.28652854962"/>
    <n v="3394.68190696906"/>
    <n v="1438.32066173412"/>
    <n v="718.554717721901"/>
    <n v="287.26360067698"/>
    <n v="143.604351978902"/>
    <n v="-143.547862953579"/>
    <n v="-287.037649670285"/>
    <n v="-717.142749494374"/>
    <n v="-1432.67617677198"/>
  </r>
  <r>
    <x v="0"/>
    <x v="0"/>
    <x v="0"/>
    <x v="1"/>
    <x v="0"/>
    <x v="6"/>
    <x v="4"/>
    <x v="2"/>
    <x v="1"/>
    <n v="0.395610782103149"/>
    <x v="2"/>
    <n v="145.063763633192"/>
    <n v="2901.27527266385"/>
    <x v="0"/>
    <x v="0"/>
    <n v="697.823090875654"/>
    <n v="2.70915382462463"/>
    <n v="-0.317327225043395"/>
    <n v="2.43819867632976"/>
    <n v="13956.4618175131"/>
    <n v="54.1830764924926"/>
    <n v="-6.3465445008679"/>
    <n v="48.7639735265953"/>
    <n v="-2095.91875912354"/>
    <n v="-1229.31000427649"/>
    <n v="-657.543173724952"/>
    <n v="-272.822784525242"/>
    <n v="285.240104698921"/>
    <n v="735.062124805377"/>
    <n v="1538.08349778365"/>
    <n v="3308.71854277611"/>
    <n v="-538.204670172745"/>
    <n v="-270.189066329558"/>
    <n v="-108.263899361593"/>
    <n v="-54.158568390983"/>
    <n v="54.2056124015994"/>
    <n v="108.452603137196"/>
    <n v="271.391891808823"/>
    <n v="543.371187593143"/>
  </r>
  <r>
    <x v="0"/>
    <x v="0"/>
    <x v="0"/>
    <x v="1"/>
    <x v="0"/>
    <x v="0"/>
    <x v="6"/>
    <x v="1"/>
    <x v="1"/>
    <n v="0.518358163469171"/>
    <x v="2"/>
    <n v="59.7734810604333"/>
    <n v="1494.33702651083"/>
    <x v="1"/>
    <x v="0"/>
    <n v="-249.678640154619"/>
    <n v="2.19345817241809"/>
    <n v="-0.354068453743866"/>
    <n v="-1.36498058946913"/>
    <n v="-6241.96600386547"/>
    <n v="54.8364543104522"/>
    <n v="-8.85171134359665"/>
    <n v="-34.1245147367283"/>
    <n v="1832.956016452"/>
    <n v="757.103040705723"/>
    <n v="343.680666905166"/>
    <n v="129.737589629305"/>
    <n v="-120.142831638533"/>
    <n v="-283.664803284259"/>
    <n v="-516.366333198342"/>
    <n v="-860.570934143446"/>
    <n v="-529.034776809688"/>
    <n v="-269.853430099"/>
    <n v="-109.022312433454"/>
    <n v="-54.6770802312004"/>
    <n v="54.9895869609045"/>
    <n v="110.273535724175"/>
    <n v="277.726208583901"/>
    <n v="561.294672098106"/>
  </r>
  <r>
    <x v="0"/>
    <x v="0"/>
    <x v="0"/>
    <x v="1"/>
    <x v="0"/>
    <x v="0"/>
    <x v="6"/>
    <x v="1"/>
    <x v="1"/>
    <n v="0.518358163469171"/>
    <x v="2"/>
    <n v="59.7734810604333"/>
    <n v="1494.33702651083"/>
    <x v="0"/>
    <x v="0"/>
    <n v="-249.678640154619"/>
    <n v="2.19345817241809"/>
    <n v="-0.354068453743866"/>
    <n v="-1.36498058946913"/>
    <n v="-6241.96600386547"/>
    <n v="54.8364543104522"/>
    <n v="-8.85171134359665"/>
    <n v="-34.1245147367283"/>
    <n v="1832.956016452"/>
    <n v="757.103040705723"/>
    <n v="343.680666905166"/>
    <n v="129.737589629305"/>
    <n v="-120.142831638533"/>
    <n v="-283.664803284259"/>
    <n v="-516.366333198342"/>
    <n v="-860.570934143446"/>
    <n v="-529.034776809688"/>
    <n v="-269.853430099"/>
    <n v="-109.022312433454"/>
    <n v="-54.6770802312004"/>
    <n v="54.9895869609045"/>
    <n v="110.273535724175"/>
    <n v="277.726208583901"/>
    <n v="561.294672098106"/>
  </r>
  <r>
    <x v="0"/>
    <x v="0"/>
    <x v="0"/>
    <x v="1"/>
    <x v="0"/>
    <x v="7"/>
    <x v="7"/>
    <x v="2"/>
    <x v="1"/>
    <n v="0.329696504305095"/>
    <x v="2"/>
    <n v="27.2566255668702"/>
    <n v="1362.83127834351"/>
    <x v="0"/>
    <x v="0"/>
    <n v="240.218681404614"/>
    <n v="2.14592245703443"/>
    <n v="-0.215310667583881"/>
    <n v="0.939366876434981"/>
    <n v="12010.9340702307"/>
    <n v="107.296122851722"/>
    <n v="-10.765533379194"/>
    <n v="46.9683438217491"/>
    <n v="-1233.35055346607"/>
    <n v="-867.744045348115"/>
    <n v="-512.505261697736"/>
    <n v="-225.718989703783"/>
    <n v="255.214129109217"/>
    <n v="696.304326479577"/>
    <n v="1595.32252903781"/>
    <n v="4031.88018895719"/>
    <n v="-913.803537580763"/>
    <n v="-501.447955300395"/>
    <n v="-209.382812994862"/>
    <n v="-106.024339631132"/>
    <n v="108.510130614185"/>
    <n v="219.339129862742"/>
    <n v="564.249202044263"/>
    <n v="1173.08735195315"/>
  </r>
  <r>
    <x v="0"/>
    <x v="0"/>
    <x v="0"/>
    <x v="1"/>
    <x v="0"/>
    <x v="7"/>
    <x v="8"/>
    <x v="2"/>
    <x v="1"/>
    <n v="0.328308187401436"/>
    <x v="2"/>
    <n v="32.6883031169228"/>
    <n v="1634.41515584614"/>
    <x v="0"/>
    <x v="0"/>
    <n v="277.569402246532"/>
    <n v="2.32326806711387"/>
    <n v="-0.231732562996119"/>
    <n v="1.08016046465389"/>
    <n v="13878.4701123266"/>
    <n v="116.163403355694"/>
    <n v="-11.5866281498059"/>
    <n v="54.0080232326947"/>
    <n v="-1467.0060772861"/>
    <n v="-1019.63508406589"/>
    <n v="-597.423488820068"/>
    <n v="-261.753289721868"/>
    <n v="293.818969192337"/>
    <n v="797.173516651479"/>
    <n v="1809.41027071248"/>
    <n v="4490.67518744105"/>
    <n v="-1026.11279307268"/>
    <n v="-551.523954455348"/>
    <n v="-228.006058332568"/>
    <n v="-115.111069719721"/>
    <n v="117.163599409683"/>
    <n v="236.229936978994"/>
    <n v="603.528401249172"/>
    <n v="1242.92789949989"/>
  </r>
  <r>
    <x v="0"/>
    <x v="0"/>
    <x v="0"/>
    <x v="1"/>
    <x v="0"/>
    <x v="8"/>
    <x v="5"/>
    <x v="2"/>
    <x v="1"/>
    <n v="0.329321336763364"/>
    <x v="2"/>
    <n v="47.6618300998731"/>
    <n v="-1429.85490299619"/>
    <x v="0"/>
    <x v="0"/>
    <n v="368.158199628261"/>
    <n v="2.64629767765133"/>
    <n v="-0.263644705147284"/>
    <n v="1.41369631490604"/>
    <n v="-11044.7459888478"/>
    <n v="-79.38893032954"/>
    <n v="7.90934115441852"/>
    <n v="-42.4108894471812"/>
    <n v="1252.88462474889"/>
    <n v="844.245556005877"/>
    <n v="485.261842340844"/>
    <n v="210.038824245251"/>
    <n v="-231.884398710372"/>
    <n v="-621.298047605168"/>
    <n v="-1381.4088234081"/>
    <n v="-3298.21936069453"/>
    <n v="748.883170476011"/>
    <n v="387.532625725685"/>
    <n v="157.410120912095"/>
    <n v="79.0572775575907"/>
    <n v="-79.7015935864391"/>
    <n v="-159.993376723209"/>
    <n v="-403.944094086765"/>
    <n v="-818.568253187464"/>
  </r>
  <r>
    <x v="0"/>
    <x v="0"/>
    <x v="0"/>
    <x v="1"/>
    <x v="0"/>
    <x v="8"/>
    <x v="2"/>
    <x v="1"/>
    <x v="1"/>
    <n v="0.420362008739494"/>
    <x v="2"/>
    <n v="73.9464199202764"/>
    <n v="-2218.39259760829"/>
    <x v="2"/>
    <x v="0"/>
    <n v="-348.205993489093"/>
    <n v="2.58744993525213"/>
    <n v="-0.339515415213876"/>
    <n v="-1.86209694681941"/>
    <n v="10446.1798046728"/>
    <n v="-77.623498057564"/>
    <n v="10.1854624564163"/>
    <n v="55.8629084045823"/>
    <n v="-3055.50040543731"/>
    <n v="-1271.76720189377"/>
    <n v="-576.934230997789"/>
    <n v="-217.445072586409"/>
    <n v="200.701280611592"/>
    <n v="472.340665753026"/>
    <n v="854.226190675855"/>
    <n v="1401.31277877827"/>
    <n v="764.829427553407"/>
    <n v="385.708436005143"/>
    <n v="154.896312102229"/>
    <n v="77.5384691467582"/>
    <n v="-77.7035750037982"/>
    <n v="-155.558007384368"/>
    <n v="-389.900347130101"/>
    <n v="-782.441852152508"/>
  </r>
  <r>
    <x v="0"/>
    <x v="0"/>
    <x v="0"/>
    <x v="1"/>
    <x v="0"/>
    <x v="2"/>
    <x v="3"/>
    <x v="2"/>
    <x v="1"/>
    <n v="0.358951097846511"/>
    <x v="2"/>
    <n v="102.368571809939"/>
    <n v="-5118.42859049696"/>
    <x v="0"/>
    <x v="0"/>
    <n v="592.898307991236"/>
    <n v="2.87152744825548"/>
    <n v="-0.307776124981135"/>
    <n v="2.16370650753942"/>
    <n v="-29644.9153995618"/>
    <n v="-143.576372412774"/>
    <n v="15.3888062490568"/>
    <n v="-108.185325376971"/>
    <n v="4048.24405345812"/>
    <n v="2495.14901207596"/>
    <n v="1366.49245825976"/>
    <n v="574.594252270998"/>
    <n v="-610.849592609236"/>
    <n v="-1592.53336298675"/>
    <n v="-3391.40631767184"/>
    <n v="-7508.70378547388"/>
    <n v="1438.32066173412"/>
    <n v="718.554717721904"/>
    <n v="287.263600676985"/>
    <n v="143.604351978905"/>
    <n v="-143.547862953577"/>
    <n v="-287.037649670279"/>
    <n v="-717.14274949438"/>
    <n v="-1432.67617677199"/>
  </r>
  <r>
    <x v="0"/>
    <x v="0"/>
    <x v="0"/>
    <x v="1"/>
    <x v="0"/>
    <x v="5"/>
    <x v="4"/>
    <x v="1"/>
    <x v="1"/>
    <n v="0.395610782103149"/>
    <x v="2"/>
    <n v="81.9063801364369"/>
    <n v="-1638.12760272874"/>
    <x v="0"/>
    <x v="0"/>
    <n v="-392.515478368639"/>
    <n v="2.70915382462463"/>
    <n v="-0.334858878738389"/>
    <n v="-2.09265532107719"/>
    <n v="7850.30956737279"/>
    <n v="-54.1830764924926"/>
    <n v="6.69717757476778"/>
    <n v="41.8531064215437"/>
    <n v="-2265.43551785364"/>
    <n v="-951.367134212093"/>
    <n v="-432.795395519341"/>
    <n v="-163.312643172476"/>
    <n v="150.895322998792"/>
    <n v="355.276444438916"/>
    <n v="642.593640704931"/>
    <n v="1052.63573420106"/>
    <n v="538.204670172748"/>
    <n v="270.189066329558"/>
    <n v="108.263899361593"/>
    <n v="54.158568390983"/>
    <n v="-54.2056124015994"/>
    <n v="-108.452603137193"/>
    <n v="-271.391891808822"/>
    <n v="-543.371187593143"/>
  </r>
  <r>
    <x v="0"/>
    <x v="0"/>
    <x v="0"/>
    <x v="1"/>
    <x v="0"/>
    <x v="5"/>
    <x v="4"/>
    <x v="2"/>
    <x v="1"/>
    <n v="0.395610782103149"/>
    <x v="2"/>
    <n v="145.063763633192"/>
    <n v="-2901.27527266385"/>
    <x v="3"/>
    <x v="0"/>
    <n v="697.823090875654"/>
    <n v="2.70915382462463"/>
    <n v="-0.317327225043395"/>
    <n v="2.43819867632976"/>
    <n v="-13956.4618175131"/>
    <n v="-54.1830764924926"/>
    <n v="6.3465445008679"/>
    <n v="-48.7639735265953"/>
    <n v="2095.91875912354"/>
    <n v="1229.31000427649"/>
    <n v="657.543173724952"/>
    <n v="272.822784525242"/>
    <n v="-285.240104698921"/>
    <n v="-735.062124805377"/>
    <n v="-1538.08349778365"/>
    <n v="-3308.71854277611"/>
    <n v="538.204670172745"/>
    <n v="270.189066329558"/>
    <n v="108.263899361593"/>
    <n v="54.158568390983"/>
    <n v="-54.2056124015994"/>
    <n v="-108.452603137196"/>
    <n v="-271.391891808823"/>
    <n v="-543.371187593143"/>
  </r>
  <r>
    <x v="0"/>
    <x v="0"/>
    <x v="0"/>
    <x v="1"/>
    <x v="0"/>
    <x v="2"/>
    <x v="3"/>
    <x v="1"/>
    <x v="2"/>
    <n v="0.329177465079528"/>
    <x v="3"/>
    <n v="119.056534270773"/>
    <n v="-5952.82671353866"/>
    <x v="0"/>
    <x v="0"/>
    <n v="-486.157123908574"/>
    <n v="3.56586286695663"/>
    <n v="-0.230518815887778"/>
    <n v="-4.17846142085467"/>
    <n v="24307.8561954287"/>
    <n v="-178.293143347832"/>
    <n v="11.5259407943889"/>
    <n v="208.923071042734"/>
    <n v="-6516.76649523697"/>
    <n v="-2838.60951142669"/>
    <n v="-1315.65394773392"/>
    <n v="-501.996494287411"/>
    <n v="470.626367536127"/>
    <n v="1119.92415174813"/>
    <n v="2060.46603270963"/>
    <n v="3480.99945428459"/>
    <n v="1787.47557470977"/>
    <n v="892.66574570043"/>
    <n v="356.784398577693"/>
    <n v="178.343178907647"/>
    <n v="-178.242094539576"/>
    <n v="-356.380068740319"/>
    <n v="-890.139020632751"/>
    <n v="-1777.37363058829"/>
  </r>
  <r>
    <x v="0"/>
    <x v="0"/>
    <x v="0"/>
    <x v="1"/>
    <x v="0"/>
    <x v="2"/>
    <x v="5"/>
    <x v="2"/>
    <x v="2"/>
    <n v="0.299359911885529"/>
    <x v="3"/>
    <n v="59.6821820816538"/>
    <n v="-2984.10910408269"/>
    <x v="2"/>
    <x v="0"/>
    <n v="398.830803570654"/>
    <n v="3.39645534415657"/>
    <n v="-0.196145413348609"/>
    <n v="2.34151924973228"/>
    <n v="-19941.5401785327"/>
    <n v="-169.822767207829"/>
    <n v="9.80727066743047"/>
    <n v="-117.075962486614"/>
    <n v="2474.88528345584"/>
    <n v="1593.98409053833"/>
    <n v="895.340588072969"/>
    <n v="382.445945391518"/>
    <n v="-415.294581930152"/>
    <n v="-1100.05770546092"/>
    <n v="-2404.58266301557"/>
    <n v="-5591.92287226468"/>
    <n v="1614.28640099375"/>
    <n v="832.177772639025"/>
    <n v="337.22768138114"/>
    <n v="169.239674906527"/>
    <n v="-170.366793243966"/>
    <n v="-341.7500373536"/>
    <n v="-861.062402816111"/>
    <n v="-1739.44949469114"/>
  </r>
  <r>
    <x v="0"/>
    <x v="0"/>
    <x v="0"/>
    <x v="1"/>
    <x v="0"/>
    <x v="5"/>
    <x v="2"/>
    <x v="1"/>
    <x v="2"/>
    <n v="0.390752933734236"/>
    <x v="3"/>
    <n v="91.1067158000829"/>
    <n v="-1822.13431600166"/>
    <x v="0"/>
    <x v="0"/>
    <n v="-355.047572040059"/>
    <n v="3.25368383898334"/>
    <n v="-0.250322929762599"/>
    <n v="-3.08029809686893"/>
    <n v="7100.95144080119"/>
    <n v="-65.0736767796669"/>
    <n v="5.00645859525199"/>
    <n v="61.6059619373786"/>
    <n v="-1972.07145196525"/>
    <n v="-839.980305368608"/>
    <n v="-386.380815420291"/>
    <n v="-146.919444897788"/>
    <n v="137.271510855259"/>
    <n v="326.096926869785"/>
    <n v="599.086792717526"/>
    <n v="1013.43357624986"/>
    <n v="643.702019448137"/>
    <n v="323.956852169044"/>
    <n v="129.948400133798"/>
    <n v="65.025971540814"/>
    <n v="-65.117582955487"/>
    <n v="-130.315864650167"/>
    <n v="-326.298726159938"/>
    <n v="-653.754645924154"/>
  </r>
  <r>
    <x v="0"/>
    <x v="0"/>
    <x v="0"/>
    <x v="1"/>
    <x v="0"/>
    <x v="2"/>
    <x v="9"/>
    <x v="1"/>
    <x v="2"/>
    <n v="0.345434684424757"/>
    <x v="3"/>
    <n v="107.293390034258"/>
    <n v="-5364.6695017129"/>
    <x v="0"/>
    <x v="0"/>
    <n v="-438.048460292733"/>
    <n v="3.49117788615935"/>
    <n v="-0.237136670227745"/>
    <n v="-3.76509989814799"/>
    <n v="21902.4230146367"/>
    <n v="-174.558894307967"/>
    <n v="11.8568335113872"/>
    <n v="188.2549949074"/>
    <n v="-5974.10077548038"/>
    <n v="-2576.1343871255"/>
    <n v="-1189.28401210856"/>
    <n v="-452.863925487563"/>
    <n v="423.593514572946"/>
    <n v="1006.56474162397"/>
    <n v="1848.44606043698"/>
    <n v="3116.2389770822"/>
    <n v="1746.72735620384"/>
    <n v="873.292694423023"/>
    <n v="349.214436337348"/>
    <n v="174.584357746923"/>
    <n v="-174.530964772492"/>
    <n v="-349.001382640566"/>
    <n v="-871.984235846765"/>
    <n v="-1741.85227077489"/>
  </r>
  <r>
    <x v="0"/>
    <x v="0"/>
    <x v="0"/>
    <x v="1"/>
    <x v="0"/>
    <x v="2"/>
    <x v="9"/>
    <x v="2"/>
    <x v="2"/>
    <n v="0.345434684424757"/>
    <x v="3"/>
    <n v="138.022866080718"/>
    <n v="-6901.1433040359"/>
    <x v="3"/>
    <x v="0"/>
    <n v="646.866884402677"/>
    <n v="3.49117788615935"/>
    <n v="-0.22823241216596"/>
    <n v="3.51311486622284"/>
    <n v="-32343.3442201339"/>
    <n v="-174.558894307967"/>
    <n v="11.411620608298"/>
    <n v="-175.655743311142"/>
    <n v="4875.05267147372"/>
    <n v="2848.44233635155"/>
    <n v="1523.00434962996"/>
    <n v="632.051419207846"/>
    <n v="-661.321830122469"/>
    <n v="-1705.72362011456"/>
    <n v="-3576.13066304006"/>
    <n v="-7732.91446987191"/>
    <n v="1746.72735620383"/>
    <n v="873.292694423017"/>
    <n v="349.214436337346"/>
    <n v="174.58435774692"/>
    <n v="-174.530964772495"/>
    <n v="-349.001382640566"/>
    <n v="-871.98423584677"/>
    <n v="-1741.8522707749"/>
  </r>
  <r>
    <x v="1"/>
    <x v="1"/>
    <x v="1"/>
    <x v="0"/>
    <x v="1"/>
    <x v="6"/>
    <x v="0"/>
    <x v="0"/>
    <x v="0"/>
    <n v="0"/>
    <x v="0"/>
    <n v="2892.769107971"/>
    <n v="57855.3821594199"/>
    <x v="0"/>
    <x v="0"/>
    <n v="2892.769107971"/>
    <n v="0"/>
    <n v="0.174358685959896"/>
    <n v="5.54777637145123"/>
    <n v="57855.3821594199"/>
    <n v="0"/>
    <n v="3.48717371919791"/>
    <n v="110.955527429025"/>
    <n v="-11571.076431884"/>
    <n v="-5785.538215942"/>
    <n v="-2892.769107971"/>
    <n v="-1157.1076431884"/>
    <n v="1157.10764318839"/>
    <n v="2892.769107971"/>
    <n v="5785.538215942"/>
    <n v="11571.076431884"/>
    <n v="0"/>
    <n v="0"/>
    <n v="0"/>
    <n v="0"/>
    <n v="0"/>
    <n v="0"/>
    <n v="0"/>
    <n v="0"/>
  </r>
  <r>
    <x v="1"/>
    <x v="1"/>
    <x v="1"/>
    <x v="1"/>
    <x v="1"/>
    <x v="5"/>
    <x v="10"/>
    <x v="2"/>
    <x v="0"/>
    <n v="0.397567985636796"/>
    <x v="4"/>
    <n v="163.272151082452"/>
    <n v="-3265.44302164903"/>
    <x v="1"/>
    <x v="0"/>
    <n v="1351.359799689"/>
    <n v="5.03675518628893"/>
    <n v="-1.42048223423785"/>
    <n v="2.2785242576016"/>
    <n v="-27027.19599378"/>
    <n v="-100.735103725779"/>
    <n v="28.409644684757"/>
    <n v="-45.570485152032"/>
    <n v="2966.99307628313"/>
    <n v="2049.3352995871"/>
    <n v="1185.91279929356"/>
    <n v="514.056271711211"/>
    <n v="-566.847109837372"/>
    <n v="-1514.00932060017"/>
    <n v="-3336.00919873033"/>
    <n v="-7741.64278562941"/>
    <n v="1003.38003073171"/>
    <n v="502.865697347611"/>
    <n v="201.354731161246"/>
    <n v="100.707297800604"/>
    <n v="-100.760926286553"/>
    <n v="-201.569789837777"/>
    <n v="-504.234001883187"/>
    <n v="-1009.22041549137"/>
  </r>
  <r>
    <x v="1"/>
    <x v="1"/>
    <x v="1"/>
    <x v="1"/>
    <x v="1"/>
    <x v="8"/>
    <x v="11"/>
    <x v="2"/>
    <x v="0"/>
    <n v="0.426433353154432"/>
    <x v="4"/>
    <n v="258.091859405527"/>
    <n v="-7742.7557821658"/>
    <x v="0"/>
    <x v="0"/>
    <n v="1738.84040995001"/>
    <n v="4.89073402329661"/>
    <n v="-1.47413814186637"/>
    <n v="2.83979174077024"/>
    <n v="-52165.2122985002"/>
    <n v="-146.722020698898"/>
    <n v="44.2241442559912"/>
    <n v="-85.1937522231071"/>
    <n v="6627.3010132961"/>
    <n v="4267.66987588814"/>
    <n v="2376.22054939379"/>
    <n v="1006.8814551024"/>
    <n v="-1078.59472915069"/>
    <n v="-2822.80681183147"/>
    <n v="-6030.9246759636"/>
    <n v="-13319.5834571292"/>
    <n v="1462.65567630855"/>
    <n v="732.679651823285"/>
    <n v="293.311737974875"/>
    <n v="146.690205644279"/>
    <n v="-146.751469672963"/>
    <n v="-293.557388686672"/>
    <n v="-734.241320022993"/>
    <n v="-1469.29915460342"/>
  </r>
  <r>
    <x v="1"/>
    <x v="1"/>
    <x v="1"/>
    <x v="1"/>
    <x v="1"/>
    <x v="5"/>
    <x v="10"/>
    <x v="1"/>
    <x v="0"/>
    <n v="0.397567985636796"/>
    <x v="4"/>
    <n v="249.90585586506"/>
    <n v="-4998.1171173012"/>
    <x v="0"/>
    <x v="0"/>
    <n v="-1541.409308282"/>
    <n v="5.03675518628893"/>
    <n v="-1.41526047668931"/>
    <n v="-3.43539894493956"/>
    <n v="30828.1861656399"/>
    <n v="-100.735103725779"/>
    <n v="28.3052095337861"/>
    <n v="68.7079788987912"/>
    <n v="-8604.08335560085"/>
    <n v="-3736.2029163549"/>
    <n v="-1706.85630867744"/>
    <n v="-643.051371477191"/>
    <n v="590.26053335102"/>
    <n v="1378.75978737083"/>
    <n v="2449.52901721166"/>
    <n v="3829.43364625457"/>
    <n v="1003.38003073171"/>
    <n v="502.865697347611"/>
    <n v="201.354731161246"/>
    <n v="100.707297800604"/>
    <n v="-100.760926286553"/>
    <n v="-201.569789837777"/>
    <n v="-504.234001883187"/>
    <n v="-1009.22041549137"/>
  </r>
  <r>
    <x v="1"/>
    <x v="1"/>
    <x v="1"/>
    <x v="1"/>
    <x v="1"/>
    <x v="3"/>
    <x v="12"/>
    <x v="1"/>
    <x v="0"/>
    <n v="0.50139327707893"/>
    <x v="4"/>
    <n v="102.987095630395"/>
    <n v="-2574.67739075987"/>
    <x v="0"/>
    <x v="0"/>
    <n v="-706.567010791463"/>
    <n v="3.9759021521199"/>
    <n v="-1.41771442247423"/>
    <n v="-1.55256951916521"/>
    <n v="17664.1752697866"/>
    <n v="-99.3975538029976"/>
    <n v="35.4428605618558"/>
    <n v="38.8142379791302"/>
    <n v="-6111.92496983771"/>
    <n v="-2353.27079652348"/>
    <n v="-1021.33130202182"/>
    <n v="-374.529938331096"/>
    <n v="333.181277673737"/>
    <n v="762.879019714092"/>
    <n v="1319.47057729762"/>
    <n v="1996.09009562496"/>
    <n v="954.192895007603"/>
    <n v="488.036512421621"/>
    <n v="197.445353629288"/>
    <n v="99.0665213001194"/>
    <n v="-99.7164055811936"/>
    <n v="-200.047337048645"/>
    <n v="-504.406552564259"/>
    <n v="-1021.24658207523"/>
  </r>
  <r>
    <x v="1"/>
    <x v="1"/>
    <x v="1"/>
    <x v="1"/>
    <x v="1"/>
    <x v="2"/>
    <x v="13"/>
    <x v="2"/>
    <x v="0"/>
    <n v="0.388708147833382"/>
    <x v="4"/>
    <n v="127.108832431624"/>
    <n v="-6355.44162158122"/>
    <x v="1"/>
    <x v="0"/>
    <n v="1153.45412913149"/>
    <n v="4.89020114451614"/>
    <n v="-1.35009652387185"/>
    <n v="1.96833344572577"/>
    <n v="-57672.7064565744"/>
    <n v="-244.510057225807"/>
    <n v="67.5048261935923"/>
    <n v="-98.4166722862883"/>
    <n v="5891.71907732506"/>
    <n v="4202.24426813302"/>
    <n v="2480.09601909194"/>
    <n v="1088.15332786281"/>
    <n v="-1219.19972018776"/>
    <n v="-3294.19559752109"/>
    <n v="-7390.26616134183"/>
    <n v="-17675.1056152532"/>
    <n v="2398.39347932098"/>
    <n v="1212.61406672647"/>
    <n v="487.563771363756"/>
    <n v="244.156000794953"/>
    <n v="-244.845461250588"/>
    <n v="-490.326979026713"/>
    <n v="-1230.12216050025"/>
    <n v="-2472.02513579166"/>
  </r>
  <r>
    <x v="1"/>
    <x v="1"/>
    <x v="1"/>
    <x v="1"/>
    <x v="1"/>
    <x v="0"/>
    <x v="14"/>
    <x v="1"/>
    <x v="0"/>
    <n v="0.534273608820262"/>
    <x v="4"/>
    <n v="89.5587987056687"/>
    <n v="2238.96996764172"/>
    <x v="0"/>
    <x v="0"/>
    <n v="-602.821078716893"/>
    <n v="3.63448799443552"/>
    <n v="-1.3816098047069"/>
    <n v="-1.3278518197145"/>
    <n v="-15070.5269679223"/>
    <n v="90.8621998608881"/>
    <n v="-34.5402451176724"/>
    <n v="-33.1962954928625"/>
    <n v="5305.9685684657"/>
    <n v="2017.54298584569"/>
    <n v="872.739605263195"/>
    <n v="319.677975702311"/>
    <n v="-284.199609424562"/>
    <n v="-650.765949868639"/>
    <n v="-1126.599919137"/>
    <n v="-1710.66752651694"/>
    <n v="-861.022148980669"/>
    <n v="-443.444750009937"/>
    <n v="-180.073538895704"/>
    <n v="-90.4563719118357"/>
    <n v="91.2548408416285"/>
    <n v="183.269704272172"/>
    <n v="463.521301452559"/>
    <n v="942.783809397972"/>
  </r>
  <r>
    <x v="1"/>
    <x v="1"/>
    <x v="1"/>
    <x v="1"/>
    <x v="1"/>
    <x v="5"/>
    <x v="10"/>
    <x v="1"/>
    <x v="0"/>
    <n v="0.397567985636796"/>
    <x v="4"/>
    <n v="249.90585586506"/>
    <n v="-4998.1171173012"/>
    <x v="0"/>
    <x v="0"/>
    <n v="-1541.409308282"/>
    <n v="5.03675518628893"/>
    <n v="-1.41526047668931"/>
    <n v="-3.43539894493956"/>
    <n v="30828.1861656399"/>
    <n v="-100.735103725779"/>
    <n v="28.3052095337861"/>
    <n v="68.7079788987912"/>
    <n v="-8604.08335560085"/>
    <n v="-3736.2029163549"/>
    <n v="-1706.85630867744"/>
    <n v="-643.051371477191"/>
    <n v="590.26053335102"/>
    <n v="1378.75978737083"/>
    <n v="2449.52901721166"/>
    <n v="3829.43364625457"/>
    <n v="1003.38003073171"/>
    <n v="502.865697347611"/>
    <n v="201.354731161246"/>
    <n v="100.707297800604"/>
    <n v="-100.760926286553"/>
    <n v="-201.569789837777"/>
    <n v="-504.234001883187"/>
    <n v="-1009.22041549137"/>
  </r>
  <r>
    <x v="1"/>
    <x v="1"/>
    <x v="1"/>
    <x v="1"/>
    <x v="1"/>
    <x v="9"/>
    <x v="12"/>
    <x v="1"/>
    <x v="0"/>
    <n v="0.50139327707893"/>
    <x v="4"/>
    <n v="102.987095630395"/>
    <n v="-1029.87095630395"/>
    <x v="4"/>
    <x v="0"/>
    <n v="-706.567010791463"/>
    <n v="3.9759021521199"/>
    <n v="-1.41771442247423"/>
    <n v="-1.55256951916521"/>
    <n v="7065.67010791463"/>
    <n v="-39.759021521199"/>
    <n v="14.1771442247423"/>
    <n v="15.5256951916521"/>
    <n v="-2444.76998793508"/>
    <n v="-941.308318609392"/>
    <n v="-408.53252080873"/>
    <n v="-149.811975332439"/>
    <n v="133.272511069495"/>
    <n v="305.151607885637"/>
    <n v="527.788230919047"/>
    <n v="798.436038249982"/>
    <n v="381.677158003041"/>
    <n v="195.214604968648"/>
    <n v="78.9781414517154"/>
    <n v="39.6266085200477"/>
    <n v="-39.8865622324774"/>
    <n v="-80.0189348194579"/>
    <n v="-201.762621025704"/>
    <n v="-408.498632830092"/>
  </r>
  <r>
    <x v="1"/>
    <x v="1"/>
    <x v="1"/>
    <x v="1"/>
    <x v="1"/>
    <x v="9"/>
    <x v="13"/>
    <x v="2"/>
    <x v="0"/>
    <n v="0.388708147833382"/>
    <x v="4"/>
    <n v="127.108832431624"/>
    <n v="-1271.08832431624"/>
    <x v="0"/>
    <x v="0"/>
    <n v="1153.45412913149"/>
    <n v="4.89020114451614"/>
    <n v="-1.35009652387185"/>
    <n v="1.96833344572577"/>
    <n v="-11534.5412913149"/>
    <n v="-48.9020114451614"/>
    <n v="13.5009652387185"/>
    <n v="-19.6833344572577"/>
    <n v="1178.34381546501"/>
    <n v="840.448853626603"/>
    <n v="496.019203818388"/>
    <n v="217.630665572561"/>
    <n v="-243.839944037552"/>
    <n v="-658.839119504219"/>
    <n v="-1478.05323226837"/>
    <n v="-3535.02112305064"/>
    <n v="479.678695864196"/>
    <n v="242.522813345295"/>
    <n v="97.5127542727512"/>
    <n v="48.8312001589907"/>
    <n v="-48.9690922501177"/>
    <n v="-98.0653958053426"/>
    <n v="-246.024432100051"/>
    <n v="-494.405027158332"/>
  </r>
  <r>
    <x v="1"/>
    <x v="1"/>
    <x v="1"/>
    <x v="1"/>
    <x v="1"/>
    <x v="3"/>
    <x v="15"/>
    <x v="2"/>
    <x v="0"/>
    <n v="0.382879148340354"/>
    <x v="4"/>
    <n v="97.9460240801047"/>
    <n v="-2448.65060200262"/>
    <x v="0"/>
    <x v="0"/>
    <n v="965.782146688572"/>
    <n v="4.60904320844893"/>
    <n v="-1.25460107425292"/>
    <n v="1.66434324883816"/>
    <n v="-24144.5536672143"/>
    <n v="-115.226080211223"/>
    <n v="31.365026856323"/>
    <n v="-41.6085812209539"/>
    <n v="2304.43811858593"/>
    <n v="1691.70317940324"/>
    <n v="1017.55566431179"/>
    <n v="451.869097735863"/>
    <n v="-514.565422986266"/>
    <n v="-1407.05134978533"/>
    <n v="-3217.19626007737"/>
    <n v="-7951.63202400791"/>
    <n v="1101.30944690108"/>
    <n v="565.138884225723"/>
    <n v="228.829462046454"/>
    <n v="114.830678465302"/>
    <n v="-115.602314023838"/>
    <n v="-231.921279702874"/>
    <n v="-584.696207135832"/>
    <n v="-1183.03147738255"/>
  </r>
  <r>
    <x v="1"/>
    <x v="1"/>
    <x v="1"/>
    <x v="1"/>
    <x v="1"/>
    <x v="7"/>
    <x v="16"/>
    <x v="2"/>
    <x v="0"/>
    <n v="0.379493250665508"/>
    <x v="4"/>
    <n v="74.7126607455402"/>
    <n v="3735.63303727701"/>
    <x v="2"/>
    <x v="0"/>
    <n v="793.771253452707"/>
    <n v="4.22247396727772"/>
    <n v="-1.14006846519936"/>
    <n v="1.37901647916443"/>
    <n v="39688.5626726353"/>
    <n v="211.123698363886"/>
    <n v="-57.0034232599681"/>
    <n v="68.9508239582215"/>
    <n v="-3555.65798185448"/>
    <n v="-2677.64522534897"/>
    <n v="-1639.8448812502"/>
    <n v="-736.823014836074"/>
    <n v="852.73404593741"/>
    <n v="2360.27147545465"/>
    <n v="5504.04288108433"/>
    <n v="14089.8204224371"/>
    <n v="-1946.9663820136"/>
    <n v="-1019.62713955585"/>
    <n v="-416.895491468569"/>
    <n v="-209.81679529051"/>
    <n v="212.372223321347"/>
    <n v="427.131726865463"/>
    <n v="1084.24358814461"/>
    <n v="2214.8310851343"/>
  </r>
  <r>
    <x v="1"/>
    <x v="1"/>
    <x v="1"/>
    <x v="1"/>
    <x v="1"/>
    <x v="5"/>
    <x v="13"/>
    <x v="1"/>
    <x v="0"/>
    <n v="0.388708147833382"/>
    <x v="4"/>
    <n v="300.37624199684"/>
    <n v="-6007.52483993681"/>
    <x v="0"/>
    <x v="0"/>
    <n v="-1739.31497883951"/>
    <n v="4.89020114451614"/>
    <n v="-1.33965300877476"/>
    <n v="-3.91173658790533"/>
    <n v="34786.2995767902"/>
    <n v="-97.8040228903228"/>
    <n v="26.7930601754953"/>
    <n v="78.2347317581065"/>
    <n v="-9214.38880095396"/>
    <n v="-4104.64050868879"/>
    <n v="-1900.73070033422"/>
    <n v="-721.846312043276"/>
    <n v="669.427755113288"/>
    <n v="1575.09086896256"/>
    <n v="2829.43175140526"/>
    <n v="4501.0341857827"/>
    <n v="959.357391728395"/>
    <n v="485.045626690585"/>
    <n v="195.025508545505"/>
    <n v="97.6624003179813"/>
    <n v="-97.9381845002354"/>
    <n v="-196.130791610685"/>
    <n v="-492.048864200101"/>
    <n v="-988.810054316664"/>
  </r>
  <r>
    <x v="1"/>
    <x v="1"/>
    <x v="1"/>
    <x v="1"/>
    <x v="1"/>
    <x v="7"/>
    <x v="14"/>
    <x v="1"/>
    <x v="0"/>
    <n v="0.534273608820262"/>
    <x v="4"/>
    <n v="89.5587987056687"/>
    <n v="4477.93993528343"/>
    <x v="0"/>
    <x v="0"/>
    <n v="-602.821078716893"/>
    <n v="3.63448799443552"/>
    <n v="-1.3816098047069"/>
    <n v="-1.3278518197145"/>
    <n v="-30141.0539358446"/>
    <n v="181.724399721776"/>
    <n v="-69.0804902353448"/>
    <n v="-66.3925909857251"/>
    <n v="10611.9371369314"/>
    <n v="4035.08597169138"/>
    <n v="1745.47921052639"/>
    <n v="639.355951404622"/>
    <n v="-568.399218849123"/>
    <n v="-1301.53189973728"/>
    <n v="-2253.19983827401"/>
    <n v="-3421.33505303388"/>
    <n v="-1722.04429796134"/>
    <n v="-886.889500019873"/>
    <n v="-360.147077791407"/>
    <n v="-180.912743823671"/>
    <n v="182.509681683257"/>
    <n v="366.539408544344"/>
    <n v="927.042602905118"/>
    <n v="1885.56761879594"/>
  </r>
  <r>
    <x v="1"/>
    <x v="1"/>
    <x v="1"/>
    <x v="1"/>
    <x v="1"/>
    <x v="10"/>
    <x v="14"/>
    <x v="1"/>
    <x v="1"/>
    <n v="0.484708136945667"/>
    <x v="5"/>
    <n v="166.028539397892"/>
    <n v="1660.28539397892"/>
    <x v="1"/>
    <x v="0"/>
    <n v="-725.652530609001"/>
    <n v="6.10042887459315"/>
    <n v="-0.905850308831783"/>
    <n v="-3.93316855537287"/>
    <n v="-7256.52530609001"/>
    <n v="61.0042887459315"/>
    <n v="-9.05850308831783"/>
    <n v="-39.3316855537287"/>
    <n v="2138.77696532093"/>
    <n v="883.123392910757"/>
    <n v="400.336416851977"/>
    <n v="150.954531027386"/>
    <n v="-139.540252024981"/>
    <n v="-328.961973817931"/>
    <n v="-597.152384490213"/>
    <n v="-989.136436244332"/>
    <n v="-591.626880035743"/>
    <n v="-300.952116021804"/>
    <n v="-121.401318390622"/>
    <n v="-60.8558642786079"/>
    <n v="61.1462854221179"/>
    <n v="122.564365987037"/>
    <n v="308.281228434441"/>
    <n v="621.826693180263"/>
  </r>
  <r>
    <x v="1"/>
    <x v="1"/>
    <x v="1"/>
    <x v="1"/>
    <x v="1"/>
    <x v="5"/>
    <x v="16"/>
    <x v="2"/>
    <x v="1"/>
    <n v="0.329531122960377"/>
    <x v="5"/>
    <n v="128.053521146373"/>
    <n v="-2561.07042292746"/>
    <x v="0"/>
    <x v="0"/>
    <n v="983.995822499383"/>
    <n v="7.01696901491219"/>
    <n v="-0.712735349019863"/>
    <n v="3.77552631555712"/>
    <n v="-19679.9164499877"/>
    <n v="-140.339380298244"/>
    <n v="14.2547069803973"/>
    <n v="-75.5105263111423"/>
    <n v="2240.8266670517"/>
    <n v="1507.40470554195"/>
    <n v="865.564836423848"/>
    <n v="374.412579889834"/>
    <n v="-413.005377556947"/>
    <n v="-1105.88817460085"/>
    <n v="-2456.3514586598"/>
    <n v="-5853.7778178765"/>
    <n v="1327.38806465524"/>
    <n v="685.824839100633"/>
    <n v="278.373834497222"/>
    <n v="139.780592911452"/>
    <n v="-140.865964856248"/>
    <n v="-282.725535425609"/>
    <n v="-713.476732169202"/>
    <n v="-1444.89291333642"/>
  </r>
  <r>
    <x v="1"/>
    <x v="1"/>
    <x v="1"/>
    <x v="1"/>
    <x v="1"/>
    <x v="11"/>
    <x v="11"/>
    <x v="1"/>
    <x v="1"/>
    <n v="0.376698493444786"/>
    <x v="5"/>
    <n v="240.483158884428"/>
    <n v="-9619.32635537711"/>
    <x v="0"/>
    <x v="0"/>
    <n v="-1156.29205656574"/>
    <n v="7.39113022146388"/>
    <n v="-0.846345305767003"/>
    <n v="-6.16111807362952"/>
    <n v="46251.6822626297"/>
    <n v="-295.645208858555"/>
    <n v="33.8538122306801"/>
    <n v="246.444722945181"/>
    <n v="-13106.3134937643"/>
    <n v="-5564.6748930398"/>
    <n v="-2541.86090714291"/>
    <n v="-961.07954154626"/>
    <n v="889.932158810507"/>
    <n v="2097.97096416527"/>
    <n v="3800.35513087579"/>
    <n v="6232.58337369784"/>
    <n v="2953.92980383279"/>
    <n v="1477.97365195192"/>
    <n v="591.279689706871"/>
    <n v="295.644788225673"/>
    <n v="-295.641373258659"/>
    <n v="-591.267042754298"/>
    <n v="-1477.93967057148"/>
    <n v="-2954.48343618635"/>
  </r>
  <r>
    <x v="1"/>
    <x v="1"/>
    <x v="1"/>
    <x v="1"/>
    <x v="1"/>
    <x v="2"/>
    <x v="13"/>
    <x v="2"/>
    <x v="1"/>
    <n v="0.338821665827469"/>
    <x v="5"/>
    <n v="188.546474370463"/>
    <n v="-9427.32371852316"/>
    <x v="0"/>
    <x v="0"/>
    <n v="1273.73144096832"/>
    <n v="7.54403097293947"/>
    <n v="-0.785422683505916"/>
    <n v="4.78670629102066"/>
    <n v="-63686.5720484158"/>
    <n v="-377.201548646973"/>
    <n v="39.2711341752958"/>
    <n v="-239.335314551033"/>
    <n v="7920.57114978212"/>
    <n v="5113.15377648576"/>
    <n v="2868.2636694161"/>
    <n v="1223.16556829065"/>
    <n v="-1324.05613107566"/>
    <n v="-3496.71184060146"/>
    <n v="-7597.10254469776"/>
    <n v="-17404.4794317244"/>
    <n v="3726.80445457206"/>
    <n v="1876.96882899547"/>
    <n v="753.12353833333"/>
    <n v="376.893991993234"/>
    <n v="-377.486385400766"/>
    <n v="-755.500477264025"/>
    <n v="-1892.15330002753"/>
    <n v="-3792.63133435551"/>
  </r>
  <r>
    <x v="1"/>
    <x v="1"/>
    <x v="1"/>
    <x v="1"/>
    <x v="1"/>
    <x v="3"/>
    <x v="17"/>
    <x v="1"/>
    <x v="1"/>
    <n v="0.360212115158093"/>
    <x v="5"/>
    <n v="273.230841335071"/>
    <n v="-6830.77103337678"/>
    <x v="0"/>
    <x v="0"/>
    <n v="-1299.40953064489"/>
    <n v="7.56666883148183"/>
    <n v="-0.82568411175061"/>
    <n v="-6.93685205174721"/>
    <n v="32485.2382661222"/>
    <n v="-189.166720787046"/>
    <n v="20.6421027937653"/>
    <n v="173.42130129368"/>
    <n v="-8975.52829404974"/>
    <n v="-3865.79642095344"/>
    <n v="-1776.36151159291"/>
    <n v="-673.744177008689"/>
    <n v="626.143276960954"/>
    <n v="1479.56865909491"/>
    <n v="2688.7862117505"/>
    <n v="4427.97567467813"/>
    <n v="1895.0793417439"/>
    <n v="946.729705497916"/>
    <n v="378.480942248598"/>
    <n v="189.203939228247"/>
    <n v="-189.128816456531"/>
    <n v="-378.180453802617"/>
    <n v="-944.851768382296"/>
    <n v="-1887.56925398474"/>
  </r>
  <r>
    <x v="1"/>
    <x v="1"/>
    <x v="1"/>
    <x v="1"/>
    <x v="1"/>
    <x v="5"/>
    <x v="18"/>
    <x v="2"/>
    <x v="1"/>
    <n v="0.328118121866187"/>
    <x v="5"/>
    <n v="105.898323720493"/>
    <n v="-2117.96647440985"/>
    <x v="2"/>
    <x v="0"/>
    <n v="856.787807627412"/>
    <n v="6.6213905639248"/>
    <n v="-0.670394267861489"/>
    <n v="3.31214265504148"/>
    <n v="-17135.7561525482"/>
    <n v="-132.427811278496"/>
    <n v="13.4078853572298"/>
    <n v="-66.2428531008296"/>
    <n v="1878.87295318067"/>
    <n v="1285.3673544253"/>
    <n v="745.627648325219"/>
    <n v="324.602830645733"/>
    <n v="-361.177493974094"/>
    <n v="-973.406687634019"/>
    <n v="-2185.12253462049"/>
    <n v="-5310.59549819539"/>
    <n v="1214.90740928757"/>
    <n v="638.938710509474"/>
    <n v="261.462104641337"/>
    <n v="131.603334651002"/>
    <n v="-133.207918075602"/>
    <n v="-267.893573574138"/>
    <n v="-679.716627062217"/>
    <n v="-1386.69712585432"/>
  </r>
  <r>
    <x v="1"/>
    <x v="1"/>
    <x v="1"/>
    <x v="1"/>
    <x v="1"/>
    <x v="9"/>
    <x v="17"/>
    <x v="1"/>
    <x v="1"/>
    <n v="0.360212115158093"/>
    <x v="5"/>
    <n v="273.230841335071"/>
    <n v="-2732.30841335071"/>
    <x v="0"/>
    <x v="0"/>
    <n v="-1299.40953064489"/>
    <n v="7.56666883148183"/>
    <n v="-0.82568411175061"/>
    <n v="-6.93685205174721"/>
    <n v="12994.0953064489"/>
    <n v="-75.6666883148183"/>
    <n v="8.2568411175061"/>
    <n v="69.3685205174721"/>
    <n v="-3590.2113176199"/>
    <n v="-1546.31856838138"/>
    <n v="-710.544604637164"/>
    <n v="-269.497670803476"/>
    <n v="250.457310784382"/>
    <n v="591.827463637965"/>
    <n v="1075.5144847002"/>
    <n v="1771.19026987125"/>
    <n v="758.03173669756"/>
    <n v="378.691882199166"/>
    <n v="151.392376899439"/>
    <n v="75.6815756912988"/>
    <n v="-75.6515265826124"/>
    <n v="-151.272181521047"/>
    <n v="-377.940707352918"/>
    <n v="-755.027701593897"/>
  </r>
  <r>
    <x v="1"/>
    <x v="1"/>
    <x v="1"/>
    <x v="1"/>
    <x v="1"/>
    <x v="6"/>
    <x v="19"/>
    <x v="2"/>
    <x v="1"/>
    <n v="0.32822526806959"/>
    <x v="5"/>
    <n v="87.9030050066443"/>
    <n v="1758.06010013289"/>
    <x v="0"/>
    <x v="0"/>
    <n v="743.308999595741"/>
    <n v="6.17757992129292"/>
    <n v="-0.626198557648185"/>
    <n v="2.89096890763958"/>
    <n v="14866.1799919148"/>
    <n v="123.551598425858"/>
    <n v="-12.5239711529637"/>
    <n v="57.8193781527915"/>
    <n v="-1576.46163706298"/>
    <n v="-1094.21216487241"/>
    <n v="-640.555216479537"/>
    <n v="-280.491345173614"/>
    <n v="314.604879715484"/>
    <n v="853.055813275119"/>
    <n v="1934.31127658636"/>
    <n v="4791.44382209506"/>
    <n v="-1095.3895614028"/>
    <n v="-587.524622648364"/>
    <n v="-242.647361918839"/>
    <n v="-122.466620484702"/>
    <n v="124.582376050059"/>
    <n v="251.124870600656"/>
    <n v="641.146623709428"/>
    <n v="1319.17187367281"/>
  </r>
  <r>
    <x v="1"/>
    <x v="1"/>
    <x v="1"/>
    <x v="1"/>
    <x v="1"/>
    <x v="9"/>
    <x v="15"/>
    <x v="2"/>
    <x v="1"/>
    <n v="0.332951731500668"/>
    <x v="5"/>
    <n v="155.535523902709"/>
    <n v="-1555.35523902709"/>
    <x v="3"/>
    <x v="0"/>
    <n v="1125.10804494968"/>
    <n v="7.3367778961712"/>
    <n v="-0.751912955862421"/>
    <n v="4.27674454489211"/>
    <n v="-11251.0804494968"/>
    <n v="-73.367778961712"/>
    <n v="7.51912955862421"/>
    <n v="-42.7674454489211"/>
    <n v="1336.69412327787"/>
    <n v="881.813321132561"/>
    <n v="500.642422975809"/>
    <n v="215.053942447277"/>
    <n v="-235.022763121528"/>
    <n v="-624.998831805083"/>
    <n v="-1372.93879268259"/>
    <n v="-3207.0447160141"/>
    <n v="711.794744507049"/>
    <n v="362.34149057164"/>
    <n v="146.087789706992"/>
    <n v="73.2111483422727"/>
    <n v="-73.514634185467"/>
    <n v="-147.304945316674"/>
    <n v="-370.091825467363"/>
    <n v="-744.998402441977"/>
  </r>
  <r>
    <x v="1"/>
    <x v="1"/>
    <x v="1"/>
    <x v="1"/>
    <x v="1"/>
    <x v="5"/>
    <x v="20"/>
    <x v="1"/>
    <x v="1"/>
    <n v="0.397419884169478"/>
    <x v="5"/>
    <n v="214.247065033629"/>
    <n v="-4284.94130067259"/>
    <x v="0"/>
    <x v="0"/>
    <n v="-1025.82194571867"/>
    <n v="7.12454083108119"/>
    <n v="-0.8630164177004"/>
    <n v="-5.46989344468823"/>
    <n v="20516.4389143734"/>
    <n v="-142.490816621624"/>
    <n v="17.260328354008"/>
    <n v="109.397868893765"/>
    <n v="-5928.43701509783"/>
    <n v="-2487.57641945471"/>
    <n v="-1131.32282061637"/>
    <n v="-426.841266441866"/>
    <n v="394.33448996991"/>
    <n v="928.378758082308"/>
    <n v="1679.06180620628"/>
    <n v="2750.52245408235"/>
    <n v="1414.52007095093"/>
    <n v="710.358643969375"/>
    <n v="284.685236697062"/>
    <n v="142.419657218782"/>
    <n v="-142.556481937409"/>
    <n v="-285.234005344892"/>
    <n v="-713.853680444604"/>
    <n v="-1429.48848250257"/>
  </r>
  <r>
    <x v="1"/>
    <x v="1"/>
    <x v="1"/>
    <x v="1"/>
    <x v="1"/>
    <x v="6"/>
    <x v="20"/>
    <x v="1"/>
    <x v="1"/>
    <n v="0.397419884169478"/>
    <x v="5"/>
    <n v="214.247065033629"/>
    <n v="4284.94130067259"/>
    <x v="2"/>
    <x v="0"/>
    <n v="-1025.82194571867"/>
    <n v="7.12454083108119"/>
    <n v="-0.8630164177004"/>
    <n v="-5.46989344468823"/>
    <n v="-20516.4389143734"/>
    <n v="142.490816621624"/>
    <n v="-17.260328354008"/>
    <n v="-109.397868893765"/>
    <n v="5928.43701509783"/>
    <n v="2487.57641945471"/>
    <n v="1131.32282061637"/>
    <n v="426.841266441866"/>
    <n v="-394.33448996991"/>
    <n v="-928.378758082308"/>
    <n v="-1679.06180620628"/>
    <n v="-2750.52245408235"/>
    <n v="-1414.52007095093"/>
    <n v="-710.358643969375"/>
    <n v="-284.685236697062"/>
    <n v="-142.419657218782"/>
    <n v="142.556481937409"/>
    <n v="285.234005344892"/>
    <n v="713.853680444604"/>
    <n v="1429.48848250257"/>
  </r>
  <r>
    <x v="1"/>
    <x v="1"/>
    <x v="1"/>
    <x v="1"/>
    <x v="1"/>
    <x v="5"/>
    <x v="18"/>
    <x v="1"/>
    <x v="2"/>
    <n v="0.298157846897452"/>
    <x v="6"/>
    <n v="559.54607309465"/>
    <n v="-11190.921461893"/>
    <x v="0"/>
    <x v="0"/>
    <n v="-1909.01798926694"/>
    <n v="8.63870533725339"/>
    <n v="-0.457035515171973"/>
    <n v="-17.0432368141129"/>
    <n v="38180.3597853388"/>
    <n v="-172.774106745068"/>
    <n v="9.14071030343946"/>
    <n v="340.864736282258"/>
    <n v="-9142.89411407376"/>
    <n v="-4221.52225990504"/>
    <n v="-2012.26873330484"/>
    <n v="-780.300912547564"/>
    <n v="746.746766129863"/>
    <n v="1803.15781275821"/>
    <n v="3393.55594568712"/>
    <n v="5958.83369851177"/>
    <n v="1604.03585659833"/>
    <n v="838.543139365438"/>
    <n v="341.906893285036"/>
    <n v="171.894054404329"/>
    <n v="-173.598617552857"/>
    <n v="-348.744148382043"/>
    <n v="-882.12189959178"/>
    <n v="-1791.30180780221"/>
  </r>
  <r>
    <x v="1"/>
    <x v="1"/>
    <x v="1"/>
    <x v="1"/>
    <x v="1"/>
    <x v="5"/>
    <x v="20"/>
    <x v="1"/>
    <x v="2"/>
    <n v="0.36859428532636"/>
    <x v="6"/>
    <n v="256.23614151677"/>
    <n v="-5124.7228303354"/>
    <x v="0"/>
    <x v="0"/>
    <n v="-1026.70870786247"/>
    <n v="8.88434702178573"/>
    <n v="-0.62375681833147"/>
    <n v="-8.85759183681007"/>
    <n v="20534.1741572493"/>
    <n v="-177.686940435715"/>
    <n v="12.4751363666294"/>
    <n v="177.151836736201"/>
    <n v="-5673.59410801461"/>
    <n v="-2426.36963733362"/>
    <n v="-1117.07806977723"/>
    <n v="-424.84923950532"/>
    <n v="396.92346521497"/>
    <n v="942.656811783684"/>
    <n v="1730.37268604862"/>
    <n v="2919.38860404241"/>
    <n v="1767.67764032307"/>
    <n v="886.757409487998"/>
    <n v="355.153079948614"/>
    <n v="177.635325591946"/>
    <n v="-177.731864471207"/>
    <n v="-355.541058944873"/>
    <n v="-889.263416846675"/>
    <n v="-1778.94427974129"/>
  </r>
  <r>
    <x v="1"/>
    <x v="1"/>
    <x v="1"/>
    <x v="1"/>
    <x v="1"/>
    <x v="12"/>
    <x v="12"/>
    <x v="1"/>
    <x v="2"/>
    <n v="0.423285726284429"/>
    <x v="6"/>
    <n v="225.626406687937"/>
    <n v="1128.13203343969"/>
    <x v="3"/>
    <x v="0"/>
    <n v="-837.342096679946"/>
    <n v="8.17262151105285"/>
    <n v="-0.664043640964688"/>
    <n v="-7.33885103695087"/>
    <n v="-4186.71048339973"/>
    <n v="40.8631075552643"/>
    <n v="-3.32021820482344"/>
    <n v="-36.6942551847543"/>
    <n v="1163.33618155718"/>
    <n v="494.527856631729"/>
    <n v="227.558916046917"/>
    <n v="86.5783848433324"/>
    <n v="-80.9851357687938"/>
    <n v="-192.595339106196"/>
    <n v="-354.600875196024"/>
    <n v="-603.063703577732"/>
    <n v="-401.457593909332"/>
    <n v="-202.810598546151"/>
    <n v="-81.5082587505879"/>
    <n v="-40.8103594194586"/>
    <n v="40.9125854701932"/>
    <n v="81.9179742055968"/>
    <n v="205.407219135885"/>
    <n v="412.381206999416"/>
  </r>
  <r>
    <x v="2"/>
    <x v="2"/>
    <x v="2"/>
    <x v="0"/>
    <x v="2"/>
    <x v="9"/>
    <x v="0"/>
    <x v="0"/>
    <x v="0"/>
    <m/>
    <x v="0"/>
    <n v="10012.3944691412"/>
    <n v="-100123.944691412"/>
    <x v="0"/>
    <x v="0"/>
    <n v="10012.3944691412"/>
    <n v="0"/>
    <n v="0.137156088618373"/>
    <n v="19.2018524065722"/>
    <n v="-100123.944691412"/>
    <n v="0"/>
    <n v="-1.37156088618373"/>
    <n v="-192.018524065722"/>
    <n v="20024.7889382825"/>
    <n v="10012.3944691412"/>
    <n v="5006.19723457063"/>
    <n v="2002.47889382827"/>
    <n v="-2002.47889382825"/>
    <n v="-5006.19723457061"/>
    <n v="-10012.3944691412"/>
    <n v="-20024.7889382824"/>
    <n v="0"/>
    <n v="0"/>
    <n v="0"/>
    <n v="0"/>
    <n v="0"/>
    <n v="0"/>
    <n v="0"/>
    <n v="0"/>
  </r>
  <r>
    <x v="2"/>
    <x v="2"/>
    <x v="2"/>
    <x v="1"/>
    <x v="2"/>
    <x v="5"/>
    <x v="21"/>
    <x v="2"/>
    <x v="0"/>
    <n v="0.41"/>
    <x v="7"/>
    <n v="716.228177516687"/>
    <n v="-14324.5635503337"/>
    <x v="0"/>
    <x v="0"/>
    <n v="5364.31132332896"/>
    <n v="17.4220994195104"/>
    <n v="-5.0923749136734"/>
    <n v="8.91413206046189"/>
    <n v="-107286.226466579"/>
    <n v="-348.441988390207"/>
    <n v="101.847498273468"/>
    <n v="-178.282641209238"/>
    <n v="12677.6322587628"/>
    <n v="8459.41242828245"/>
    <n v="4799.92204891709"/>
    <n v="2056.29324309457"/>
    <n v="-2233.38843283231"/>
    <n v="-5901.50561720697"/>
    <n v="-12791.8027402432"/>
    <n v="-28903.0082287057"/>
    <n v="3487.5680580928"/>
    <n v="1743.03158185678"/>
    <n v="697.018756807665"/>
    <n v="348.475959709795"/>
    <n v="-348.407464688426"/>
    <n v="-696.74477770488"/>
    <n v="-1741.31925545062"/>
    <n v="-3480.71936650511"/>
  </r>
  <r>
    <x v="2"/>
    <x v="2"/>
    <x v="2"/>
    <x v="1"/>
    <x v="2"/>
    <x v="9"/>
    <x v="22"/>
    <x v="1"/>
    <x v="0"/>
    <n v="0.472167740835595"/>
    <x v="7"/>
    <n v="416.948175237415"/>
    <n v="-4169.48175237415"/>
    <x v="0"/>
    <x v="0"/>
    <n v="-2882.67009241601"/>
    <n v="14.9580404506212"/>
    <n v="-5.03907707180204"/>
    <n v="-6.32803503385589"/>
    <n v="28826.7009241601"/>
    <n v="-149.580404506212"/>
    <n v="50.3907707180204"/>
    <n v="63.2803503385589"/>
    <n v="-9705.04274988156"/>
    <n v="-3803.07373512445"/>
    <n v="-1660.21071729378"/>
    <n v="-610.379831226333"/>
    <n v="544.3185800742"/>
    <n v="1247.76779091414"/>
    <n v="2160.03716023559"/>
    <n v="3264.53914773965"/>
    <n v="1456.33187860509"/>
    <n v="739.167311141569"/>
    <n v="297.855021538758"/>
    <n v="149.261015995053"/>
    <n v="-149.886462154595"/>
    <n v="-300.359835649665"/>
    <n v="-754.956037998459"/>
    <n v="-1521.46056476416"/>
  </r>
  <r>
    <x v="2"/>
    <x v="2"/>
    <x v="2"/>
    <x v="1"/>
    <x v="2"/>
    <x v="5"/>
    <x v="21"/>
    <x v="1"/>
    <x v="0"/>
    <n v="0.41"/>
    <x v="7"/>
    <n v="716.228177516687"/>
    <n v="-14324.5635503337"/>
    <x v="1"/>
    <x v="0"/>
    <n v="-4648.08314581227"/>
    <n v="17.4220994195104"/>
    <n v="-5.0923749136734"/>
    <n v="-10.2877203461103"/>
    <n v="92961.6629162454"/>
    <n v="-348.441988390207"/>
    <n v="101.847498273468"/>
    <n v="205.754406922207"/>
    <n v="-27371.9456178021"/>
    <n v="-11565.37651"/>
    <n v="-5212.47242022419"/>
    <n v="-1948.66454456196"/>
    <n v="1771.56935482419"/>
    <n v="4110.88885193425"/>
    <n v="7232.98619803929"/>
    <n v="11146.5696478591"/>
    <n v="3487.5680580928"/>
    <n v="1743.03158185678"/>
    <n v="697.018756807665"/>
    <n v="348.475959709795"/>
    <n v="-348.407464688426"/>
    <n v="-696.74477770488"/>
    <n v="-1741.31925545062"/>
    <n v="-3480.71936650511"/>
  </r>
  <r>
    <x v="2"/>
    <x v="2"/>
    <x v="2"/>
    <x v="1"/>
    <x v="2"/>
    <x v="5"/>
    <x v="23"/>
    <x v="2"/>
    <x v="0"/>
    <n v="0.397537825839525"/>
    <x v="7"/>
    <n v="564.720190779767"/>
    <n v="-11294.4038155953"/>
    <x v="0"/>
    <x v="0"/>
    <n v="4675.32255984661"/>
    <n v="17.4324003104459"/>
    <n v="-4.94229162024628"/>
    <n v="7.88334700916929"/>
    <n v="-93506.4511969322"/>
    <n v="-348.648006208918"/>
    <n v="98.8458324049255"/>
    <n v="-157.666940183386"/>
    <n v="10262.8093059497"/>
    <n v="7089.31566217784"/>
    <n v="4102.6892864424"/>
    <n v="1778.44910763026"/>
    <n v="-1961.1739914702"/>
    <n v="-5238.32737229748"/>
    <n v="-11542.8427135853"/>
    <n v="-26788.8499132253"/>
    <n v="3472.63741846733"/>
    <n v="1740.41602192807"/>
    <n v="696.893222328181"/>
    <n v="348.551008313007"/>
    <n v="-348.738102452335"/>
    <n v="-697.643495328193"/>
    <n v="-1745.18943601606"/>
    <n v="-3493.00933170549"/>
  </r>
  <r>
    <x v="2"/>
    <x v="2"/>
    <x v="2"/>
    <x v="1"/>
    <x v="2"/>
    <x v="5"/>
    <x v="23"/>
    <x v="1"/>
    <x v="0"/>
    <n v="0.397537825839525"/>
    <x v="7"/>
    <n v="865.43169898287"/>
    <n v="-17308.6339796574"/>
    <x v="0"/>
    <x v="0"/>
    <n v="-5337.07190929462"/>
    <n v="17.4324003104459"/>
    <n v="-4.93817228451747"/>
    <n v="-11.8952123994363"/>
    <n v="106741.438185892"/>
    <n v="-348.648006208918"/>
    <n v="98.7634456903493"/>
    <n v="237.904247988726"/>
    <n v="-29786.7685706152"/>
    <n v="-12935.4732761046"/>
    <n v="-5909.70518269885"/>
    <n v="-2226.50868002627"/>
    <n v="2043.78379618629"/>
    <n v="4774.06709684374"/>
    <n v="8481.94622469719"/>
    <n v="13260.7279633396"/>
    <n v="3472.63741846733"/>
    <n v="1740.41602192807"/>
    <n v="696.893222328181"/>
    <n v="348.551008313007"/>
    <n v="-348.738102452335"/>
    <n v="-697.643495328193"/>
    <n v="-1745.18943601606"/>
    <n v="-3493.00933170549"/>
  </r>
  <r>
    <x v="2"/>
    <x v="2"/>
    <x v="2"/>
    <x v="1"/>
    <x v="2"/>
    <x v="7"/>
    <x v="24"/>
    <x v="1"/>
    <x v="0"/>
    <n v="0.534139247868658"/>
    <x v="7"/>
    <n v="310.137200331156"/>
    <n v="15506.8600165578"/>
    <x v="0"/>
    <x v="0"/>
    <n v="-2087.73059932911"/>
    <n v="12.5840906420719"/>
    <n v="-4.79693490996331"/>
    <n v="-4.59865057469093"/>
    <n v="-104386.529966456"/>
    <n v="629.204532103596"/>
    <n v="-239.846745498166"/>
    <n v="-229.932528734547"/>
    <n v="36750.156182567"/>
    <n v="13974.4356297865"/>
    <n v="6045.0485564171"/>
    <n v="2214.26025915748"/>
    <n v="-1968.51725529961"/>
    <n v="-4507.54004423948"/>
    <n v="-7803.36036696768"/>
    <n v="-11848.6642259325"/>
    <n v="-5962.70403990101"/>
    <n v="-3070.84350421762"/>
    <n v="-1246.98774315438"/>
    <n v="-626.396874686179"/>
    <n v="631.920913197291"/>
    <n v="1269.09975509159"/>
    <n v="3209.73975933571"/>
    <n v="6528.36980391239"/>
  </r>
  <r>
    <x v="2"/>
    <x v="2"/>
    <x v="2"/>
    <x v="1"/>
    <x v="2"/>
    <x v="5"/>
    <x v="22"/>
    <x v="1"/>
    <x v="0"/>
    <n v="0.472167740835595"/>
    <x v="7"/>
    <n v="416.948175237415"/>
    <n v="-8338.96350474829"/>
    <x v="1"/>
    <x v="0"/>
    <n v="-2882.67009241601"/>
    <n v="14.9580404506212"/>
    <n v="-5.03907707180204"/>
    <n v="-6.32803503385589"/>
    <n v="57653.4018483202"/>
    <n v="-299.160809012424"/>
    <n v="100.781541436041"/>
    <n v="126.560700677118"/>
    <n v="-19410.0854997631"/>
    <n v="-7606.1474702489"/>
    <n v="-3320.42143458756"/>
    <n v="-1220.75966245267"/>
    <n v="1088.6371601484"/>
    <n v="2495.53558182828"/>
    <n v="4320.07432047119"/>
    <n v="6529.07829547929"/>
    <n v="2912.66375721018"/>
    <n v="1478.33462228314"/>
    <n v="595.710043077515"/>
    <n v="298.522031990105"/>
    <n v="-299.772924309191"/>
    <n v="-600.71967129933"/>
    <n v="-1509.91207599692"/>
    <n v="-3042.92112952831"/>
  </r>
  <r>
    <x v="2"/>
    <x v="2"/>
    <x v="2"/>
    <x v="1"/>
    <x v="2"/>
    <x v="5"/>
    <x v="22"/>
    <x v="1"/>
    <x v="0"/>
    <n v="0.472167740835595"/>
    <x v="7"/>
    <n v="416.948175237415"/>
    <n v="-8338.96350474829"/>
    <x v="0"/>
    <x v="0"/>
    <n v="-2882.67009241601"/>
    <n v="14.9580404506212"/>
    <n v="-5.03907707180204"/>
    <n v="-6.32803503385589"/>
    <n v="57653.4018483202"/>
    <n v="-299.160809012424"/>
    <n v="100.781541436041"/>
    <n v="126.560700677118"/>
    <n v="-19410.0854997631"/>
    <n v="-7606.1474702489"/>
    <n v="-3320.42143458756"/>
    <n v="-1220.75966245267"/>
    <n v="1088.6371601484"/>
    <n v="2495.53558182828"/>
    <n v="4320.07432047119"/>
    <n v="6529.07829547929"/>
    <n v="2912.66375721018"/>
    <n v="1478.33462228314"/>
    <n v="595.710043077515"/>
    <n v="298.522031990105"/>
    <n v="-299.772924309191"/>
    <n v="-600.71967129933"/>
    <n v="-1509.91207599692"/>
    <n v="-3042.92112952831"/>
  </r>
  <r>
    <x v="2"/>
    <x v="2"/>
    <x v="2"/>
    <x v="1"/>
    <x v="2"/>
    <x v="3"/>
    <x v="21"/>
    <x v="2"/>
    <x v="0"/>
    <n v="0.41"/>
    <x v="7"/>
    <n v="716.228177516687"/>
    <n v="-17905.7044379172"/>
    <x v="0"/>
    <x v="0"/>
    <n v="5364.31132332896"/>
    <n v="17.4220994195104"/>
    <n v="-5.0923749136734"/>
    <n v="8.91413206046189"/>
    <n v="-134107.783083224"/>
    <n v="-435.552485487759"/>
    <n v="127.309372841835"/>
    <n v="-222.853301511547"/>
    <n v="15847.0403234535"/>
    <n v="10574.2655353531"/>
    <n v="5999.90256114636"/>
    <n v="2570.36655386821"/>
    <n v="-2791.73554104038"/>
    <n v="-7376.88202150871"/>
    <n v="-15989.753425304"/>
    <n v="-36128.7602858822"/>
    <n v="4359.460072616"/>
    <n v="2178.78947732097"/>
    <n v="871.273446009582"/>
    <n v="435.594949637243"/>
    <n v="-435.509330860532"/>
    <n v="-870.9309721311"/>
    <n v="-2176.64906931327"/>
    <n v="-4350.89920813139"/>
  </r>
  <r>
    <x v="2"/>
    <x v="2"/>
    <x v="2"/>
    <x v="1"/>
    <x v="2"/>
    <x v="10"/>
    <x v="24"/>
    <x v="1"/>
    <x v="0"/>
    <n v="0.534139247868658"/>
    <x v="7"/>
    <n v="310.137200331156"/>
    <n v="3101.37200331156"/>
    <x v="2"/>
    <x v="0"/>
    <n v="-2087.73059932911"/>
    <n v="12.5840906420719"/>
    <n v="-4.79693490996331"/>
    <n v="-4.59865057469093"/>
    <n v="-20877.3059932911"/>
    <n v="125.840906420719"/>
    <n v="-47.9693490996331"/>
    <n v="-45.9865057469093"/>
    <n v="7350.0312365134"/>
    <n v="2794.8871259573"/>
    <n v="1209.00971128342"/>
    <n v="442.852051831496"/>
    <n v="-393.703451059921"/>
    <n v="-901.508008847895"/>
    <n v="-1560.67207339354"/>
    <n v="-2369.73284518649"/>
    <n v="-1192.5408079802"/>
    <n v="-614.168700843525"/>
    <n v="-249.397548630875"/>
    <n v="-125.279374937236"/>
    <n v="126.384182639458"/>
    <n v="253.819951018318"/>
    <n v="641.947951867142"/>
    <n v="1305.67396078248"/>
  </r>
  <r>
    <x v="2"/>
    <x v="2"/>
    <x v="2"/>
    <x v="1"/>
    <x v="2"/>
    <x v="3"/>
    <x v="21"/>
    <x v="1"/>
    <x v="1"/>
    <n v="0.36"/>
    <x v="7"/>
    <n v="951.573139734837"/>
    <n v="-23789.3284933709"/>
    <x v="0"/>
    <x v="0"/>
    <n v="-4524.17395074561"/>
    <n v="26.3069064968239"/>
    <n v="-2.92810957724234"/>
    <n v="-24.1532953854069"/>
    <n v="113104.34876864"/>
    <n v="-657.672662420596"/>
    <n v="73.2027394310585"/>
    <n v="603.832384635172"/>
    <n v="-31237.5038859016"/>
    <n v="-13457.1466158851"/>
    <n v="-6184.2591712352"/>
    <n v="-2345.70922957837"/>
    <n v="2180.1187785268"/>
    <n v="5151.80763425552"/>
    <n v="9362.81622944491"/>
    <n v="15420.2638965157"/>
    <n v="6588.58612759459"/>
    <n v="3291.47774959311"/>
    <n v="1315.85796155509"/>
    <n v="657.802014121626"/>
    <n v="-657.54092780021"/>
    <n v="-1314.81362486561"/>
    <n v="-3284.95102134652"/>
    <n v="-6562.48458599503"/>
  </r>
  <r>
    <x v="2"/>
    <x v="2"/>
    <x v="2"/>
    <x v="1"/>
    <x v="2"/>
    <x v="9"/>
    <x v="22"/>
    <x v="1"/>
    <x v="1"/>
    <n v="0.422167740835595"/>
    <x v="7"/>
    <n v="673.954509820595"/>
    <n v="-6739.54509820595"/>
    <x v="0"/>
    <x v="0"/>
    <n v="-3168.34117487096"/>
    <n v="23.6513702241836"/>
    <n v="-3.09165145302772"/>
    <n v="-16.9482083626121"/>
    <n v="31683.4117487096"/>
    <n v="-236.513702241836"/>
    <n v="30.9165145302772"/>
    <n v="169.482083626121"/>
    <n v="-9273.49529592092"/>
    <n v="-3858.00125953297"/>
    <n v="-1749.95363282021"/>
    <n v="-659.524798813009"/>
    <n v="608.725399421574"/>
    <n v="1432.6122136817"/>
    <n v="2590.98683092242"/>
    <n v="4251.16232104424"/>
    <n v="2329.08186856888"/>
    <n v="1174.93683550566"/>
    <n v="471.915099629914"/>
    <n v="236.243896081755"/>
    <n v="-236.768003341713"/>
    <n v="-474.015492326848"/>
    <n v="-1188.23976434256"/>
    <n v="-2384.92397692888"/>
  </r>
  <r>
    <x v="2"/>
    <x v="2"/>
    <x v="2"/>
    <x v="1"/>
    <x v="2"/>
    <x v="13"/>
    <x v="22"/>
    <x v="1"/>
    <x v="1"/>
    <n v="0.422167740835595"/>
    <x v="7"/>
    <n v="673.954509820595"/>
    <n v="-10109.3176473089"/>
    <x v="1"/>
    <x v="0"/>
    <n v="-3168.34117487096"/>
    <n v="23.6513702241836"/>
    <n v="-3.09165145302772"/>
    <n v="-16.9482083626121"/>
    <n v="47525.1176230644"/>
    <n v="-354.770553362753"/>
    <n v="46.3747717954158"/>
    <n v="254.223125439181"/>
    <n v="-13910.2429438814"/>
    <n v="-5787.00188929945"/>
    <n v="-2624.93044923031"/>
    <n v="-989.287198219513"/>
    <n v="913.08809913236"/>
    <n v="2148.91832052256"/>
    <n v="3886.48024638364"/>
    <n v="6376.74348156636"/>
    <n v="3493.62280285332"/>
    <n v="1762.40525325849"/>
    <n v="707.872649444871"/>
    <n v="354.365844122633"/>
    <n v="-355.152005012569"/>
    <n v="-711.023238490272"/>
    <n v="-1782.35964651383"/>
    <n v="-3577.38596539331"/>
  </r>
  <r>
    <x v="2"/>
    <x v="2"/>
    <x v="2"/>
    <x v="1"/>
    <x v="2"/>
    <x v="5"/>
    <x v="25"/>
    <x v="2"/>
    <x v="1"/>
    <n v="0.329501010054712"/>
    <x v="7"/>
    <n v="443.9842244955"/>
    <n v="-8879.68448991"/>
    <x v="0"/>
    <x v="0"/>
    <n v="3414.16684760331"/>
    <n v="24.373667806229"/>
    <n v="-2.48806341590287"/>
    <n v="13.101353488229"/>
    <n v="-68283.3369520662"/>
    <n v="-487.47335612458"/>
    <n v="49.7612683180574"/>
    <n v="-262.027069764579"/>
    <n v="7770.92712331603"/>
    <n v="5228.74011856216"/>
    <n v="3002.80892681373"/>
    <n v="1299.02178622042"/>
    <n v="-1433.08737078353"/>
    <n v="-3837.65641015785"/>
    <n v="-8525.24504043273"/>
    <n v="-20321.9394631124"/>
    <n v="4609.02509807085"/>
    <n v="2381.86859077096"/>
    <n v="966.886551424695"/>
    <n v="485.519260039364"/>
    <n v="-489.314939550995"/>
    <n v="-982.104928169038"/>
    <n v="-2478.56766304331"/>
    <n v="-5019.89704218296"/>
  </r>
  <r>
    <x v="2"/>
    <x v="2"/>
    <x v="2"/>
    <x v="1"/>
    <x v="2"/>
    <x v="9"/>
    <x v="25"/>
    <x v="1"/>
    <x v="1"/>
    <n v="0.329501010054712"/>
    <x v="7"/>
    <n v="1644.33395634493"/>
    <n v="-16443.3395634493"/>
    <x v="4"/>
    <x v="0"/>
    <n v="-6585.75419362274"/>
    <n v="24.373667806229"/>
    <n v="-2.47162026889123"/>
    <n v="-36.3025806067067"/>
    <n v="65857.5419362274"/>
    <n v="-243.73667806229"/>
    <n v="24.7162026889123"/>
    <n v="363.025806067067"/>
    <n v="-16114.3785207941"/>
    <n v="-7385.55098194496"/>
    <n v="-3498.55605720616"/>
    <n v="-1350.473315135"/>
    <n v="1283.44052285344"/>
    <n v="3081.13231553411"/>
    <n v="5737.29852100971"/>
    <n v="9838.87235089588"/>
    <n v="2304.51254903544"/>
    <n v="1190.93429538548"/>
    <n v="483.443275712352"/>
    <n v="242.7596300197"/>
    <n v="-244.657469775493"/>
    <n v="-491.052464084514"/>
    <n v="-1239.28383152164"/>
    <n v="-2509.94852109147"/>
  </r>
  <r>
    <x v="2"/>
    <x v="2"/>
    <x v="2"/>
    <x v="1"/>
    <x v="2"/>
    <x v="13"/>
    <x v="23"/>
    <x v="2"/>
    <x v="1"/>
    <n v="0.347537825839525"/>
    <x v="7"/>
    <n v="790.02882544085"/>
    <n v="-11850.4323816127"/>
    <x v="0"/>
    <x v="0"/>
    <n v="4948.91611460523"/>
    <n v="26.4933935426228"/>
    <n v="-2.84863619381777"/>
    <n v="18.3446809193278"/>
    <n v="-74233.7417190785"/>
    <n v="-397.400903139342"/>
    <n v="42.7295429072666"/>
    <n v="-275.170213789917"/>
    <n v="9681.68275650449"/>
    <n v="6106.70150996436"/>
    <n v="3383.75229218764"/>
    <n v="1432.5313068691"/>
    <n v="-1536.16682787689"/>
    <n v="-4029.55880051523"/>
    <n v="-8662.80368035848"/>
    <n v="-19488.0794511341"/>
    <n v="3967.70879357775"/>
    <n v="1986.07322373368"/>
    <n v="794.701732874328"/>
    <n v="397.3795677507"/>
    <n v="-397.415366513337"/>
    <n v="-794.846797227333"/>
    <n v="-1987.06328241014"/>
    <n v="-3972.96145417288"/>
  </r>
  <r>
    <x v="2"/>
    <x v="2"/>
    <x v="2"/>
    <x v="1"/>
    <x v="2"/>
    <x v="5"/>
    <x v="21"/>
    <x v="1"/>
    <x v="1"/>
    <n v="0.36"/>
    <x v="7"/>
    <n v="951.573139734837"/>
    <n v="-19031.4627946967"/>
    <x v="0"/>
    <x v="0"/>
    <n v="-4524.17395074561"/>
    <n v="26.3069064968239"/>
    <n v="-2.92810957724234"/>
    <n v="-24.1532953854069"/>
    <n v="90483.4790149121"/>
    <n v="-526.138129936477"/>
    <n v="58.5621915448468"/>
    <n v="483.065907708138"/>
    <n v="-24990.0031087212"/>
    <n v="-10765.7172927081"/>
    <n v="-4947.40733698816"/>
    <n v="-1876.5673836627"/>
    <n v="1744.09502282144"/>
    <n v="4121.44610740442"/>
    <n v="7490.25298355593"/>
    <n v="12336.2111172126"/>
    <n v="5270.86890207567"/>
    <n v="2633.18219967448"/>
    <n v="1052.68636924407"/>
    <n v="526.241611297301"/>
    <n v="-526.032742240168"/>
    <n v="-1051.85089989249"/>
    <n v="-2627.96081707722"/>
    <n v="-5249.98766879602"/>
  </r>
  <r>
    <x v="2"/>
    <x v="2"/>
    <x v="2"/>
    <x v="1"/>
    <x v="2"/>
    <x v="5"/>
    <x v="26"/>
    <x v="2"/>
    <x v="1"/>
    <n v="0.328110573204544"/>
    <x v="7"/>
    <n v="367.185346566444"/>
    <n v="-7343.70693132889"/>
    <x v="2"/>
    <x v="0"/>
    <n v="2972.62437145151"/>
    <n v="22.9958630283909"/>
    <n v="-2.33819546734148"/>
    <n v="11.4924844659314"/>
    <n v="-59452.4874290301"/>
    <n v="-459.917260567819"/>
    <n v="46.7639093468297"/>
    <n v="-229.849689318627"/>
    <n v="6515.72124047933"/>
    <n v="4458.41953493522"/>
    <n v="2586.60694688237"/>
    <n v="1126.14799124794"/>
    <n v="-1253.17352274998"/>
    <n v="-3377.69607350077"/>
    <n v="-7583.34430022835"/>
    <n v="-18434.7921873706"/>
    <n v="4217.53152379926"/>
    <n v="2218.61312359547"/>
    <n v="907.989427886896"/>
    <n v="457.039338919903"/>
    <n v="-462.640446838805"/>
    <n v="-930.439616401563"/>
    <n v="-2360.95142305211"/>
    <n v="-4817.10479119115"/>
  </r>
  <r>
    <x v="2"/>
    <x v="2"/>
    <x v="2"/>
    <x v="1"/>
    <x v="2"/>
    <x v="12"/>
    <x v="24"/>
    <x v="1"/>
    <x v="1"/>
    <n v="0.484139247868658"/>
    <x v="7"/>
    <n v="577.68009493366"/>
    <n v="2888.4004746683"/>
    <x v="0"/>
    <x v="0"/>
    <n v="-2526.72145039284"/>
    <n v="21.2240251009361"/>
    <n v="-3.18319947749315"/>
    <n v="-13.6933876382895"/>
    <n v="-12633.6072519642"/>
    <n v="106.12012550468"/>
    <n v="-15.9159973874658"/>
    <n v="-68.4669381914474"/>
    <n v="3723.73053462195"/>
    <n v="1537.58686192033"/>
    <n v="697.005427868455"/>
    <n v="262.815105842531"/>
    <n v="-242.936067730459"/>
    <n v="-572.70092549225"/>
    <n v="-1039.55604229221"/>
    <n v="-1721.76945216947"/>
    <n v="-1029.27304600579"/>
    <n v="-523.547388186776"/>
    <n v="-211.187853385309"/>
    <n v="-105.86291286035"/>
    <n v="106.36617830248"/>
    <n v="213.203285727013"/>
    <n v="536.248308839752"/>
    <n v="1081.61333096099"/>
  </r>
  <r>
    <x v="2"/>
    <x v="2"/>
    <x v="2"/>
    <x v="1"/>
    <x v="2"/>
    <x v="5"/>
    <x v="26"/>
    <x v="2"/>
    <x v="1"/>
    <n v="0.328110573204544"/>
    <x v="7"/>
    <n v="367.185346566444"/>
    <n v="-7343.70693132889"/>
    <x v="0"/>
    <x v="0"/>
    <n v="2972.62437145151"/>
    <n v="22.9958630283909"/>
    <n v="-2.33819546734148"/>
    <n v="11.4924844659314"/>
    <n v="-59452.4874290301"/>
    <n v="-459.917260567819"/>
    <n v="46.7639093468297"/>
    <n v="-229.849689318627"/>
    <n v="6515.72124047933"/>
    <n v="4458.41953493522"/>
    <n v="2586.60694688237"/>
    <n v="1126.14799124794"/>
    <n v="-1253.17352274998"/>
    <n v="-3377.69607350077"/>
    <n v="-7583.34430022835"/>
    <n v="-18434.7921873706"/>
    <n v="4217.53152379926"/>
    <n v="2218.61312359547"/>
    <n v="907.989427886896"/>
    <n v="457.039338919903"/>
    <n v="-462.640446838805"/>
    <n v="-930.439616401563"/>
    <n v="-2360.95142305211"/>
    <n v="-4817.10479119115"/>
  </r>
  <r>
    <x v="2"/>
    <x v="2"/>
    <x v="2"/>
    <x v="1"/>
    <x v="2"/>
    <x v="9"/>
    <x v="27"/>
    <x v="1"/>
    <x v="2"/>
    <n v="0.347528685024134"/>
    <x v="8"/>
    <n v="977.032198863478"/>
    <n v="-9770.32198863478"/>
    <x v="3"/>
    <x v="0"/>
    <n v="-3984.8994278153"/>
    <n v="32.0399901922619"/>
    <n v="-2.16191898558603"/>
    <n v="-34.2577197239193"/>
    <n v="39848.994278153"/>
    <n v="-320.399901922619"/>
    <n v="21.6191898558603"/>
    <n v="342.577197239193"/>
    <n v="-10886.8482057772"/>
    <n v="-4689.95326308905"/>
    <n v="-2164.35883282262"/>
    <n v="-824.016560219047"/>
    <n v="770.614355744469"/>
    <n v="1830.97903483972"/>
    <n v="3361.98630383305"/>
    <n v="5667.48086798378"/>
    <n v="3204.62951554502"/>
    <n v="1602.61093580433"/>
    <n v="640.933248488"/>
    <n v="320.435987128503"/>
    <n v="-320.358674062386"/>
    <n v="-640.62515251936"/>
    <n v="-1600.73692743256"/>
    <n v="-3197.93286785853"/>
  </r>
  <r>
    <x v="2"/>
    <x v="2"/>
    <x v="2"/>
    <x v="1"/>
    <x v="2"/>
    <x v="14"/>
    <x v="28"/>
    <x v="1"/>
    <x v="2"/>
    <n v="0.575299041163301"/>
    <x v="8"/>
    <n v="716.325731628916"/>
    <n v="-3581.62865814458"/>
    <x v="0"/>
    <x v="0"/>
    <n v="-2068.03382911813"/>
    <n v="23.719104778909"/>
    <n v="-2.67857236216638"/>
    <n v="-19.223523542692"/>
    <n v="10340.1691455907"/>
    <n v="-118.595523894545"/>
    <n v="13.3928618108319"/>
    <n v="96.1176177134598"/>
    <n v="-2783.76522496565"/>
    <n v="-1197.48286248846"/>
    <n v="-556.060133180961"/>
    <n v="-212.884020628562"/>
    <n v="200.938392876622"/>
    <n v="481.326084092588"/>
    <n v="897.498955665593"/>
    <n v="1567.56190115672"/>
    <n v="1150.63975351522"/>
    <n v="585.063803564718"/>
    <n v="236.002625721587"/>
    <n v="118.304534316717"/>
    <n v="-118.874785903449"/>
    <n v="-238.285594212889"/>
    <n v="-599.418580715285"/>
    <n v="-1209.31257809591"/>
  </r>
  <r>
    <x v="2"/>
    <x v="2"/>
    <x v="2"/>
    <x v="1"/>
    <x v="2"/>
    <x v="9"/>
    <x v="27"/>
    <x v="1"/>
    <x v="2"/>
    <n v="0.347528685024134"/>
    <x v="8"/>
    <n v="977.032198863478"/>
    <n v="-9770.32198863478"/>
    <x v="2"/>
    <x v="0"/>
    <n v="-3984.8994278153"/>
    <n v="32.0399901922619"/>
    <n v="-2.16191898558603"/>
    <n v="-34.2577197239193"/>
    <n v="39848.994278153"/>
    <n v="-320.399901922619"/>
    <n v="21.6191898558603"/>
    <n v="342.577197239193"/>
    <n v="-10886.8482057772"/>
    <n v="-4689.95326308905"/>
    <n v="-2164.35883282262"/>
    <n v="-824.016560219047"/>
    <n v="770.614355744469"/>
    <n v="1830.97903483972"/>
    <n v="3361.98630383305"/>
    <n v="5667.48086798378"/>
    <n v="3204.62951554502"/>
    <n v="1602.61093580433"/>
    <n v="640.933248488"/>
    <n v="320.435987128503"/>
    <n v="-320.358674062386"/>
    <n v="-640.62515251936"/>
    <n v="-1600.73692743256"/>
    <n v="-3197.93286785853"/>
  </r>
  <r>
    <x v="2"/>
    <x v="2"/>
    <x v="2"/>
    <x v="1"/>
    <x v="2"/>
    <x v="9"/>
    <x v="29"/>
    <x v="1"/>
    <x v="2"/>
    <n v="0.422863760004753"/>
    <x v="8"/>
    <n v="788.088368201292"/>
    <n v="-7880.88368201292"/>
    <x v="0"/>
    <x v="0"/>
    <n v="-2926.70271858305"/>
    <n v="28.5451028020423"/>
    <n v="-2.35873856987638"/>
    <n v="-25.6473247635522"/>
    <n v="29267.0271858305"/>
    <n v="-285.451028020423"/>
    <n v="23.5873856987638"/>
    <n v="256.473247635522"/>
    <n v="-8132.48866265989"/>
    <n v="-3457.09367239143"/>
    <n v="-1590.77464922013"/>
    <n v="-605.228249448819"/>
    <n v="566.117408086502"/>
    <n v="1346.29266130972"/>
    <n v="2478.67363102987"/>
    <n v="4215.1230620824"/>
    <n v="2804.61263480449"/>
    <n v="1416.7910622401"/>
    <n v="569.386909368823"/>
    <n v="285.084370885857"/>
    <n v="-285.794902597322"/>
    <n v="-572.234694321574"/>
    <n v="-1434.84010548772"/>
    <n v="-2880.55569804127"/>
  </r>
  <r>
    <x v="2"/>
    <x v="2"/>
    <x v="2"/>
    <x v="1"/>
    <x v="2"/>
    <x v="9"/>
    <x v="29"/>
    <x v="1"/>
    <x v="2"/>
    <n v="0.422863760004753"/>
    <x v="8"/>
    <n v="788.088368201292"/>
    <n v="-7880.88368201292"/>
    <x v="0"/>
    <x v="0"/>
    <n v="-2926.70271858305"/>
    <n v="28.5451028020423"/>
    <n v="-2.35873856987638"/>
    <n v="-25.6473247635522"/>
    <n v="29267.0271858305"/>
    <n v="-285.451028020423"/>
    <n v="23.5873856987638"/>
    <n v="256.473247635522"/>
    <n v="-8132.48866265989"/>
    <n v="-3457.09367239143"/>
    <n v="-1590.77464922013"/>
    <n v="-605.228249448819"/>
    <n v="566.117408086502"/>
    <n v="1346.29266130972"/>
    <n v="2478.67363102987"/>
    <n v="4215.1230620824"/>
    <n v="2804.61263480449"/>
    <n v="1416.7910622401"/>
    <n v="569.386909368823"/>
    <n v="285.084370885857"/>
    <n v="-285.794902597322"/>
    <n v="-572.234694321574"/>
    <n v="-1434.84010548772"/>
    <n v="-2880.555698041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dataOnRows="1" autoFormatId="1" applyNumberFormats="0" applyBorderFormats="0" applyFontFormats="0" applyPatternFormats="0" applyAlignmentFormats="0" applyWidthHeightFormats="1" dataCaption="Data" updatedVersion="2" createdVersion="1" useAutoFormatting="1" indent="0" compactData="0" gridDropZones="1" showDrill="0">
  <location ref="J6:N20" firstHeaderRow="1" firstDataRow="2" firstDataCol="1" rowPageCount="1" colPageCount="1"/>
  <pivotFields count="44">
    <pivotField axis="axisPage" compact="0" outline="0" subtotalTop="0" showAll="0" includeNewItemsInFilter="1">
      <items count="4">
        <item x="2"/>
        <item x="0"/>
        <item x="1"/>
        <item t="default"/>
      </items>
    </pivotField>
    <pivotField compact="0" outline="0" subtotalTop="0" showAll="0" includeNewItemsInFilter="1"/>
    <pivotField compact="0" outline="0" subtotalTop="0" numFmtId="178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1">
        <item x="6"/>
        <item x="1"/>
        <item x="2"/>
        <item x="4"/>
        <item x="9"/>
        <item x="3"/>
        <item x="5"/>
        <item x="8"/>
        <item x="7"/>
        <item x="14"/>
        <item x="12"/>
        <item x="20"/>
        <item x="11"/>
        <item x="17"/>
        <item x="10"/>
        <item x="13"/>
        <item x="15"/>
        <item x="16"/>
        <item x="18"/>
        <item x="19"/>
        <item x="28"/>
        <item x="24"/>
        <item x="29"/>
        <item x="22"/>
        <item x="27"/>
        <item x="21"/>
        <item x="23"/>
        <item x="25"/>
        <item x="26"/>
        <item x="0"/>
        <item t="default"/>
      </items>
    </pivotField>
    <pivotField compact="0" outline="0" subtotalTop="0" showAll="0" includeNewItemsInFilter="1"/>
    <pivotField axis="axisCol" compact="0" outline="0" subtotalTop="0" numFmtId="176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numFmtId="2" showAll="0" includeNewItemsInFilter="1"/>
    <pivotField compact="0" outline="0" subtotalTop="0" numFmtId="2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79" showAll="0" includeNewItemsInFilter="1"/>
    <pivotField compact="0" outline="0" subtotalTop="0" numFmtId="179" showAll="0" includeNewItemsInFilter="1"/>
    <pivotField compact="0" outline="0" subtotalTop="0" numFmtId="179" showAll="0" includeNewItemsInFilter="1"/>
    <pivotField compact="0" outline="0" subtotalTop="0" numFmtId="2" showAll="0" includeNewItemsInFilter="1"/>
    <pivotField compact="0" outline="0" subtotalTop="0" numFmtId="180" showAll="0" includeNewItemsInFilter="1"/>
    <pivotField compact="0" outline="0" subtotalTop="0" numFmtId="180" showAll="0" includeNewItemsInFilter="1"/>
    <pivotField compact="0" outline="0" subtotalTop="0" numFmtId="1" showAll="0" includeNewItemsInFilter="1"/>
    <pivotField dataField="1"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dragToCol="0" dragToPage="0" dragToRow="0" compact="0" defaultSubtotal="0" outline="0" subtotalTop="0" showAll="0" includeNewItemsInFilter="1"/>
  </pivotFields>
  <rowFields count="1">
    <field x="6"/>
  </rowFields>
  <rowItems count="13"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9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pageFields count="1">
    <pageField fld="0" item="2"/>
  </pageFields>
  <dataFields count="1">
    <dataField name="Sum of Total Volga" fld="24" baseField="0" baseItem="0"/>
  </dataFields>
  <formats count="3">
    <format dxfId="0">
      <pivotArea dataOnly="0" grandRow="1" fieldPosition="0">
        <references count="2">
          <reference field="0" count="1" selected="0">
            <x v="2"/>
          </reference>
          <reference field="6" count="12"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9"/>
          </reference>
        </references>
      </pivotArea>
    </format>
    <format dxfId="1">
      <pivotArea fieldPosition="0"/>
    </format>
    <format dxfId="2">
      <pivotArea dataOnly="0" labelOnly="1" fieldPosition="0">
        <references count="1">
          <reference field="8" count="0"/>
        </references>
      </pivotArea>
    </format>
  </formats>
  <pivotTableStyleInfo showRowHeaders="1" showColHeaders="1" showLastColumn="1"/>
</pivotTableDefinition>
</file>

<file path=xl/pivotTables/pivotTable2.xml><?xml version="1.0" encoding="utf-8"?>
<pivotTableDefinition xmlns="http://schemas.openxmlformats.org/spreadsheetml/2006/main" name="PivotTable1" cacheId="0" dataOnRows="1" autoFormatId="1" applyNumberFormats="0" applyBorderFormats="0" applyFontFormats="0" applyPatternFormats="0" applyAlignmentFormats="0" applyWidthHeightFormats="1" dataCaption="Data" updatedVersion="2" createdVersion="1" useAutoFormatting="1" indent="0" compactData="0" gridDropZones="1" showDrill="0">
  <location ref="C6:G20" firstHeaderRow="1" firstDataRow="2" firstDataCol="1" rowPageCount="1" colPageCount="1"/>
  <pivotFields count="44">
    <pivotField axis="axisPage" compact="0" outline="0" subtotalTop="0" showAll="0" includeNewItemsInFilter="1">
      <items count="4">
        <item x="2"/>
        <item x="0"/>
        <item x="1"/>
        <item t="default"/>
      </items>
    </pivotField>
    <pivotField compact="0" outline="0" subtotalTop="0" showAll="0" includeNewItemsInFilter="1"/>
    <pivotField compact="0" outline="0" subtotalTop="0" numFmtId="178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1">
        <item x="6"/>
        <item x="1"/>
        <item x="2"/>
        <item x="4"/>
        <item x="9"/>
        <item x="3"/>
        <item x="5"/>
        <item x="8"/>
        <item x="7"/>
        <item x="14"/>
        <item x="12"/>
        <item x="20"/>
        <item x="11"/>
        <item x="17"/>
        <item x="10"/>
        <item x="13"/>
        <item x="15"/>
        <item x="16"/>
        <item x="18"/>
        <item x="19"/>
        <item x="28"/>
        <item x="24"/>
        <item x="29"/>
        <item x="22"/>
        <item x="27"/>
        <item x="21"/>
        <item x="23"/>
        <item x="25"/>
        <item x="26"/>
        <item x="0"/>
        <item t="default"/>
      </items>
    </pivotField>
    <pivotField compact="0" outline="0" subtotalTop="0" showAll="0" includeNewItemsInFilter="1"/>
    <pivotField axis="axisCol" compact="0" outline="0" subtotalTop="0" numFmtId="176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numFmtId="2" showAll="0" includeNewItemsInFilter="1"/>
    <pivotField compact="0" outline="0" subtotalTop="0" numFmtId="2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79" showAll="0" includeNewItemsInFilter="1"/>
    <pivotField compact="0" outline="0" subtotalTop="0" numFmtId="179" showAll="0" includeNewItemsInFilter="1"/>
    <pivotField compact="0" outline="0" subtotalTop="0" numFmtId="179" showAll="0" includeNewItemsInFilter="1"/>
    <pivotField compact="0" outline="0" subtotalTop="0" numFmtId="2" showAll="0" includeNewItemsInFilter="1"/>
    <pivotField compact="0" outline="0" subtotalTop="0" numFmtId="180" showAll="0" includeNewItemsInFilter="1"/>
    <pivotField compact="0" outline="0" subtotalTop="0" numFmtId="180" showAll="0" includeNewItemsInFilter="1"/>
    <pivotField dataField="1" compact="0" outline="0" subtotalTop="0" numFmtId="180" showAll="0" includeNewItemsInFilter="1"/>
    <pivotField compact="0" outline="0" subtotalTop="0" numFmtId="1" showAll="0" includeNewItemsInFilter="1"/>
    <pivotField compact="0" outline="0" subtotalTop="0" numFmtId="180" showAll="0" includeNewItemsInFilter="1"/>
    <pivotField compact="0" outline="0" subtotalTop="0" numFmtId="180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dragToCol="0" dragToPage="0" dragToRow="0" compact="0" defaultSubtotal="0" outline="0" subtotalTop="0" showAll="0" includeNewItemsInFilter="1"/>
  </pivotFields>
  <rowFields count="1">
    <field x="6"/>
  </rowFields>
  <rowItems count="13"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9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pageFields count="1">
    <pageField fld="0" item="2"/>
  </pageFields>
  <dataFields count="1">
    <dataField name="Sum of Total Vega 1%" fld="23" baseField="0" baseItem="0"/>
  </dataFields>
  <formats count="8">
    <format dxfId="3">
      <pivotArea dataOnly="0" grandRow="1" fieldPosition="0">
        <references count="2">
          <reference field="0" count="1" selected="0">
            <x v="1"/>
          </reference>
          <reference field="6" count="10">
            <x v="0"/>
            <x v="1"/>
            <x v="2"/>
            <x v="3"/>
            <x v="4"/>
            <x v="5"/>
            <x v="6"/>
            <x v="7"/>
            <x v="8"/>
            <x v="29"/>
          </reference>
        </references>
      </pivotArea>
    </format>
    <format dxfId="4">
      <pivotArea dataOnly="0" labelOnly="1" fieldPosition="0">
        <references count="1">
          <reference field="6" count="10">
            <x v="0"/>
            <x v="1"/>
            <x v="2"/>
            <x v="3"/>
            <x v="4"/>
            <x v="5"/>
            <x v="6"/>
            <x v="7"/>
            <x v="8"/>
            <x v="29"/>
          </reference>
        </references>
      </pivotArea>
    </format>
    <format dxfId="5">
      <pivotArea dataOnly="0" labelOnly="1" grandRow="1" fieldPosition="0"/>
    </format>
    <format dxfId="6">
      <pivotArea fieldPosition="0"/>
    </format>
    <format dxfId="7">
      <pivotArea dataOnly="0" labelOnly="1" fieldPosition="0">
        <references count="1">
          <reference field="6" count="12"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9"/>
          </reference>
        </references>
      </pivotArea>
    </format>
    <format dxfId="8">
      <pivotArea dataOnly="0" labelOnly="1" grandRow="1" fieldPosition="0"/>
    </format>
    <format dxfId="9">
      <pivotArea fieldPosition="0"/>
    </format>
    <format dxfId="10">
      <pivotArea dataOnly="0" labelOnly="1" fieldPosition="0">
        <references count="1">
          <reference field="8" count="0"/>
        </references>
      </pivotArea>
    </format>
  </formats>
  <pivotTableStyleInfo showRowHeaders="1" showColHeaders="1" showLastColumn="1"/>
</pivotTableDefinition>
</file>

<file path=xl/pivotTables/pivotTable3.xml><?xml version="1.0" encoding="utf-8"?>
<pivotTableDefinition xmlns="http://schemas.openxmlformats.org/spreadsheetml/2006/main" name="PivotTable2" cacheId="1" dataOnRows="1" autoFormatId="1" applyNumberFormats="0" applyBorderFormats="0" applyFontFormats="0" applyPatternFormats="0" applyAlignmentFormats="0" applyWidthHeightFormats="1" dataCaption="Data" updatedVersion="2" createdVersion="1" useAutoFormatting="1" indent="0" compactData="0" gridDropZones="1" showDrill="0">
  <location ref="C30:G44" firstHeaderRow="1" firstDataRow="2" firstDataCol="1" rowPageCount="1" colPageCount="1"/>
  <pivotFields count="39">
    <pivotField axis="axisPage" compact="0" outline="0" subtotalTop="0" showAll="0" includeNewItemsInFilter="1">
      <items count="4">
        <item x="2"/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1">
        <item x="6"/>
        <item x="1"/>
        <item x="2"/>
        <item x="4"/>
        <item x="9"/>
        <item x="3"/>
        <item x="5"/>
        <item x="8"/>
        <item x="7"/>
        <item x="14"/>
        <item x="12"/>
        <item x="20"/>
        <item x="11"/>
        <item x="17"/>
        <item x="10"/>
        <item x="13"/>
        <item x="15"/>
        <item x="16"/>
        <item x="18"/>
        <item x="19"/>
        <item x="28"/>
        <item x="24"/>
        <item x="29"/>
        <item x="22"/>
        <item x="27"/>
        <item x="21"/>
        <item x="23"/>
        <item x="25"/>
        <item x="26"/>
        <item x="0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dataField="1" compact="0" outline="0" subtotalTop="0" numFmtId="1" showAll="0" includeNewItemsInFilter="1"/>
  </pivotFields>
  <rowFields count="1">
    <field x="6"/>
  </rowFields>
  <rowItems count="13"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9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pageFields count="1">
    <pageField fld="0" item="2"/>
  </pageFields>
  <dataFields count="1">
    <dataField name="Sum of ImpVol  +10%" fld="38" baseField="0" baseItem="0"/>
  </dataFields>
  <formats count="7">
    <format dxfId="11">
      <pivotArea fieldPosition="0">
        <references count="2">
          <reference field="6" count="1" selected="0">
            <x v="13"/>
          </reference>
          <reference field="8" count="1" selected="0">
            <x v="0"/>
          </reference>
        </references>
      </pivotArea>
    </format>
    <format dxfId="12">
      <pivotArea fieldPosition="0"/>
    </format>
    <format dxfId="13">
      <pivotArea dataOnly="0" labelOnly="1" fieldPosition="0">
        <references count="1">
          <reference field="8" count="0"/>
        </references>
      </pivotArea>
    </format>
    <format dxfId="14">
      <pivotArea dataOnly="0" labelOnly="1" fieldPosition="0">
        <references count="1">
          <reference field="6" count="12"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9"/>
          </reference>
        </references>
      </pivotArea>
    </format>
    <format dxfId="15">
      <pivotArea dataOnly="0" labelOnly="1" grandRow="1" fieldPosition="0"/>
    </format>
    <format dxfId="16">
      <pivotArea fieldPosition="0"/>
    </format>
    <format dxfId="17">
      <pivotArea dataOnly="0" labelOnly="1" fieldPosition="0">
        <references count="1">
          <reference field="8" count="0"/>
        </references>
      </pivotArea>
    </format>
  </formats>
  <pivotTableStyleInfo showRowHeaders="1" showColHeaders="1" showLastColumn="1"/>
</pivotTableDefinition>
</file>

<file path=xl/pivotTables/pivotTable4.xml><?xml version="1.0" encoding="utf-8"?>
<pivotTableDefinition xmlns="http://schemas.openxmlformats.org/spreadsheetml/2006/main" name="PivotTable3" cacheId="0" dataOnRows="1" autoFormatId="1" applyNumberFormats="0" applyBorderFormats="0" applyFontFormats="0" applyPatternFormats="0" applyAlignmentFormats="0" applyWidthHeightFormats="1" dataCaption="Data" updatedVersion="2" createdVersion="1" useAutoFormatting="1" indent="0" compactData="0" gridDropZones="1" showDrill="0">
  <location ref="J6:N20" firstHeaderRow="1" firstDataRow="2" firstDataCol="1" rowPageCount="1" colPageCount="1"/>
  <pivotFields count="44">
    <pivotField axis="axisPage" compact="0" outline="0" subtotalTop="0" showAll="0" includeNewItemsInFilter="1">
      <items count="4">
        <item x="2"/>
        <item x="0"/>
        <item x="1"/>
        <item t="default"/>
      </items>
    </pivotField>
    <pivotField compact="0" outline="0" subtotalTop="0" showAll="0" includeNewItemsInFilter="1"/>
    <pivotField compact="0" outline="0" subtotalTop="0" numFmtId="178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1">
        <item x="6"/>
        <item x="1"/>
        <item x="2"/>
        <item x="4"/>
        <item x="9"/>
        <item x="3"/>
        <item x="5"/>
        <item x="8"/>
        <item x="7"/>
        <item x="14"/>
        <item x="12"/>
        <item x="20"/>
        <item x="11"/>
        <item x="17"/>
        <item x="10"/>
        <item x="13"/>
        <item x="15"/>
        <item x="16"/>
        <item x="18"/>
        <item x="19"/>
        <item x="28"/>
        <item x="24"/>
        <item x="29"/>
        <item x="22"/>
        <item x="27"/>
        <item x="21"/>
        <item x="23"/>
        <item x="25"/>
        <item x="26"/>
        <item x="0"/>
        <item t="default"/>
      </items>
    </pivotField>
    <pivotField compact="0" outline="0" subtotalTop="0" showAll="0" includeNewItemsInFilter="1"/>
    <pivotField axis="axisCol" compact="0" outline="0" subtotalTop="0" numFmtId="176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numFmtId="2" showAll="0" includeNewItemsInFilter="1"/>
    <pivotField compact="0" outline="0" subtotalTop="0" numFmtId="2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79" showAll="0" includeNewItemsInFilter="1"/>
    <pivotField compact="0" outline="0" subtotalTop="0" numFmtId="179" showAll="0" includeNewItemsInFilter="1"/>
    <pivotField compact="0" outline="0" subtotalTop="0" numFmtId="179" showAll="0" includeNewItemsInFilter="1"/>
    <pivotField compact="0" outline="0" subtotalTop="0" numFmtId="2" showAll="0" includeNewItemsInFilter="1"/>
    <pivotField compact="0" outline="0" subtotalTop="0" numFmtId="180" showAll="0" includeNewItemsInFilter="1"/>
    <pivotField dataField="1" compact="0" outline="0" subtotalTop="0" numFmtId="180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dragToCol="0" dragToPage="0" dragToRow="0" compact="0" defaultSubtotal="0" outline="0" subtotalTop="0" showAll="0" includeNewItemsInFilter="1"/>
  </pivotFields>
  <rowFields count="1">
    <field x="6"/>
  </rowFields>
  <rowItems count="13"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9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pageFields count="1">
    <pageField fld="0" item="2"/>
  </pageFields>
  <dataFields count="1">
    <dataField name="Sum of Total $Gamma" fld="22" baseField="0" baseItem="0"/>
  </dataFields>
  <formats count="4">
    <format dxfId="18">
      <pivotArea fieldPosition="0"/>
    </format>
    <format dxfId="19">
      <pivotArea dataOnly="0" labelOnly="1" fieldPosition="0">
        <references count="1">
          <reference field="6" count="12"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9"/>
          </reference>
        </references>
      </pivotArea>
    </format>
    <format dxfId="20">
      <pivotArea dataOnly="0" labelOnly="1" grandRow="1" fieldPosition="0"/>
    </format>
    <format dxfId="21">
      <pivotArea fieldPosition="0"/>
    </format>
  </formats>
  <pivotTableStyleInfo showRowHeaders="1" showColHeaders="1" showLastColumn="1"/>
</pivotTableDefinition>
</file>

<file path=xl/pivotTables/pivotTable5.xml><?xml version="1.0" encoding="utf-8"?>
<pivotTableDefinition xmlns="http://schemas.openxmlformats.org/spreadsheetml/2006/main" name="PivotTable2" cacheId="1" dataOnRows="1" autoFormatId="1" applyNumberFormats="0" applyBorderFormats="0" applyFontFormats="0" applyPatternFormats="0" applyAlignmentFormats="0" applyWidthHeightFormats="1" dataCaption="Data" updatedVersion="2" createdVersion="1" useAutoFormatting="1" indent="0" compactData="0" gridDropZones="1" showDrill="0">
  <location ref="C30:G44" firstHeaderRow="1" firstDataRow="2" firstDataCol="1" rowPageCount="1" colPageCount="1"/>
  <pivotFields count="39">
    <pivotField axis="axisPage" compact="0" outline="0" subtotalTop="0" showAll="0" includeNewItemsInFilter="1">
      <items count="4">
        <item x="2"/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1">
        <item x="6"/>
        <item x="1"/>
        <item x="2"/>
        <item x="4"/>
        <item x="9"/>
        <item x="3"/>
        <item x="5"/>
        <item x="8"/>
        <item x="7"/>
        <item x="14"/>
        <item x="12"/>
        <item x="20"/>
        <item x="11"/>
        <item x="17"/>
        <item x="10"/>
        <item x="13"/>
        <item x="15"/>
        <item x="16"/>
        <item x="18"/>
        <item x="19"/>
        <item x="28"/>
        <item x="24"/>
        <item x="29"/>
        <item x="22"/>
        <item x="27"/>
        <item x="21"/>
        <item x="23"/>
        <item x="25"/>
        <item x="26"/>
        <item x="0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dataField="1"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</pivotFields>
  <rowFields count="1">
    <field x="6"/>
  </rowFields>
  <rowItems count="13"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9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pageFields count="1">
    <pageField fld="0" item="2"/>
  </pageFields>
  <dataFields count="1">
    <dataField name="Sum of PnL: Und +10%" fld="29" baseField="0" baseItem="0"/>
  </dataFields>
  <formats count="6">
    <format dxfId="22">
      <pivotArea fieldPosition="0">
        <references count="2">
          <reference field="6" count="1" selected="0">
            <x v="13"/>
          </reference>
          <reference field="8" count="1" selected="0">
            <x v="0"/>
          </reference>
        </references>
      </pivotArea>
    </format>
    <format dxfId="23">
      <pivotArea fieldPosition="0"/>
    </format>
    <format dxfId="24">
      <pivotArea dataOnly="0" labelOnly="1" fieldPosition="0">
        <references count="1">
          <reference field="8" count="0"/>
        </references>
      </pivotArea>
    </format>
    <format dxfId="25">
      <pivotArea dataOnly="0" labelOnly="1" fieldPosition="0">
        <references count="1">
          <reference field="6" count="12"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9"/>
          </reference>
        </references>
      </pivotArea>
    </format>
    <format dxfId="26">
      <pivotArea dataOnly="0" labelOnly="1" grandRow="1" fieldPosition="0"/>
    </format>
    <format dxfId="27">
      <pivotArea fieldPosition="0"/>
    </format>
  </formats>
  <pivotTableStyleInfo showRowHeaders="1" showColHeaders="1" showLastColumn="1"/>
</pivotTableDefinition>
</file>

<file path=xl/pivotTables/pivotTable6.xml><?xml version="1.0" encoding="utf-8"?>
<pivotTableDefinition xmlns="http://schemas.openxmlformats.org/spreadsheetml/2006/main" name="PivotTable1" cacheId="0" dataOnRows="1" autoFormatId="1" applyNumberFormats="0" applyBorderFormats="0" applyFontFormats="0" applyPatternFormats="0" applyAlignmentFormats="0" applyWidthHeightFormats="1" dataCaption="Data" updatedVersion="2" createdVersion="1" useAutoFormatting="1" indent="0" compactData="0" gridDropZones="1" showDrill="0">
  <location ref="C6:G20" firstHeaderRow="1" firstDataRow="2" firstDataCol="1" rowPageCount="1" colPageCount="1"/>
  <pivotFields count="44">
    <pivotField axis="axisPage" compact="0" outline="0" subtotalTop="0" showAll="0" includeNewItemsInFilter="1">
      <items count="4">
        <item x="2"/>
        <item x="0"/>
        <item x="1"/>
        <item t="default"/>
      </items>
    </pivotField>
    <pivotField compact="0" outline="0" subtotalTop="0" showAll="0" includeNewItemsInFilter="1"/>
    <pivotField compact="0" outline="0" subtotalTop="0" numFmtId="178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1">
        <item x="6"/>
        <item x="1"/>
        <item x="2"/>
        <item x="4"/>
        <item x="9"/>
        <item x="3"/>
        <item x="5"/>
        <item x="8"/>
        <item x="7"/>
        <item x="14"/>
        <item x="12"/>
        <item x="20"/>
        <item x="11"/>
        <item x="17"/>
        <item x="10"/>
        <item x="13"/>
        <item x="15"/>
        <item x="16"/>
        <item x="18"/>
        <item x="19"/>
        <item x="28"/>
        <item x="24"/>
        <item x="29"/>
        <item x="22"/>
        <item x="27"/>
        <item x="21"/>
        <item x="23"/>
        <item x="25"/>
        <item x="26"/>
        <item x="0"/>
        <item t="default"/>
      </items>
    </pivotField>
    <pivotField compact="0" outline="0" subtotalTop="0" showAll="0" includeNewItemsInFilter="1"/>
    <pivotField axis="axisCol" compact="0" outline="0" subtotalTop="0" numFmtId="176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numFmtId="2" showAll="0" includeNewItemsInFilter="1"/>
    <pivotField compact="0" outline="0" subtotalTop="0" numFmtId="2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79" showAll="0" includeNewItemsInFilter="1"/>
    <pivotField compact="0" outline="0" subtotalTop="0" numFmtId="179" showAll="0" includeNewItemsInFilter="1"/>
    <pivotField compact="0" outline="0" subtotalTop="0" numFmtId="179" showAll="0" includeNewItemsInFilter="1"/>
    <pivotField compact="0" outline="0" subtotalTop="0" numFmtId="2" showAll="0" includeNewItemsInFilter="1"/>
    <pivotField dataField="1" compact="0" outline="0" subtotalTop="0" numFmtId="180" showAll="0" includeNewItemsInFilter="1"/>
    <pivotField compact="0" outline="0" subtotalTop="0" numFmtId="180" showAll="0" includeNewItemsInFilter="1"/>
    <pivotField compact="0" outline="0" subtotalTop="0" numFmtId="180" showAll="0" includeNewItemsInFilter="1"/>
    <pivotField compact="0" outline="0" subtotalTop="0" numFmtId="1" showAll="0" includeNewItemsInFilter="1"/>
    <pivotField compact="0" outline="0" subtotalTop="0" numFmtId="180" showAll="0" includeNewItemsInFilter="1"/>
    <pivotField compact="0" outline="0" subtotalTop="0" numFmtId="180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compact="0" outline="0" subtotalTop="0" numFmtId="1" showAll="0" includeNewItemsInFilter="1"/>
    <pivotField dragToCol="0" dragToPage="0" dragToRow="0" compact="0" defaultSubtotal="0" outline="0" subtotalTop="0" showAll="0" includeNewItemsInFilter="1"/>
  </pivotFields>
  <rowFields count="1">
    <field x="6"/>
  </rowFields>
  <rowItems count="13"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9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pageFields count="1">
    <pageField fld="0" item="2"/>
  </pageFields>
  <dataFields count="1">
    <dataField name="Sum of Total $Delta" fld="21" baseField="0" baseItem="0" numFmtId="38"/>
  </dataFields>
  <formats count="7">
    <format dxfId="28">
      <pivotArea dataOnly="0" grandRow="1" fieldPosition="0">
        <references count="2">
          <reference field="0" count="1" selected="0">
            <x v="1"/>
          </reference>
          <reference field="6" count="10">
            <x v="0"/>
            <x v="1"/>
            <x v="2"/>
            <x v="3"/>
            <x v="4"/>
            <x v="5"/>
            <x v="6"/>
            <x v="7"/>
            <x v="8"/>
            <x v="29"/>
          </reference>
        </references>
      </pivotArea>
    </format>
    <format dxfId="29">
      <pivotArea dataOnly="0" labelOnly="1" fieldPosition="0">
        <references count="1">
          <reference field="6" count="10">
            <x v="0"/>
            <x v="1"/>
            <x v="2"/>
            <x v="3"/>
            <x v="4"/>
            <x v="5"/>
            <x v="6"/>
            <x v="7"/>
            <x v="8"/>
            <x v="29"/>
          </reference>
        </references>
      </pivotArea>
    </format>
    <format dxfId="30">
      <pivotArea dataOnly="0" labelOnly="1" grandRow="1" fieldPosition="0"/>
    </format>
    <format dxfId="31">
      <pivotArea fieldPosition="0"/>
    </format>
    <format dxfId="32">
      <pivotArea dataOnly="0" labelOnly="1" fieldPosition="0">
        <references count="1">
          <reference field="6" count="12"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9"/>
          </reference>
        </references>
      </pivotArea>
    </format>
    <format dxfId="33">
      <pivotArea dataOnly="0" labelOnly="1" grandRow="1" fieldPosition="0"/>
    </format>
    <format dxfId="34">
      <pivotArea fieldPosition="0"/>
    </format>
  </formats>
  <pivotTableStyleInfo showRowHeaders="1" showColHeaders="1" showLastColumn="1"/>
</pivotTableDefinition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C4:N44"/>
  <sheetViews>
    <sheetView showGridLines="0" zoomScaleSheetLayoutView="60" workbookViewId="0">
      <selection activeCell="J34" sqref="J34"/>
    </sheetView>
  </sheetViews>
  <sheetFormatPr defaultColWidth="8.72727272727273" defaultRowHeight="12.5"/>
  <cols>
    <col min="3" max="3" width="19.3818181818182" customWidth="1"/>
    <col min="4" max="6" width="12.8454545454545" customWidth="1"/>
    <col min="7" max="7" width="10.5363636363636" customWidth="1"/>
    <col min="8" max="8" width="10.5363636363636"/>
    <col min="10" max="10" width="16.8454545454545" customWidth="1"/>
    <col min="11" max="13" width="12.8454545454545" customWidth="1"/>
    <col min="14" max="14" width="10.5363636363636" customWidth="1"/>
  </cols>
  <sheetData>
    <row r="4" spans="3:14">
      <c r="C4" s="73" t="s">
        <v>0</v>
      </c>
      <c r="D4" s="73" t="s">
        <v>1</v>
      </c>
      <c r="J4" s="73" t="s">
        <v>0</v>
      </c>
      <c r="K4" s="73" t="s">
        <v>1</v>
      </c>
    </row>
    <row r="6" spans="3:14">
      <c r="C6" s="74" t="s">
        <v>2</v>
      </c>
      <c r="D6" s="74" t="s">
        <v>3</v>
      </c>
      <c r="E6" s="75"/>
      <c r="F6" s="75"/>
      <c r="G6" s="76"/>
      <c r="J6" s="74" t="s">
        <v>4</v>
      </c>
      <c r="K6" s="74" t="s">
        <v>3</v>
      </c>
      <c r="L6" s="75"/>
      <c r="M6" s="75"/>
      <c r="N6" s="76"/>
    </row>
    <row r="7" spans="3:14">
      <c r="C7" s="74" t="s">
        <v>5</v>
      </c>
      <c r="D7" s="95">
        <v>40256</v>
      </c>
      <c r="E7" s="96">
        <v>40347</v>
      </c>
      <c r="F7" s="96">
        <v>40438</v>
      </c>
      <c r="G7" s="79" t="s">
        <v>6</v>
      </c>
      <c r="J7" s="74" t="s">
        <v>5</v>
      </c>
      <c r="K7" s="95">
        <v>40256</v>
      </c>
      <c r="L7" s="96">
        <v>40347</v>
      </c>
      <c r="M7" s="96">
        <v>40438</v>
      </c>
      <c r="N7" s="79" t="s">
        <v>6</v>
      </c>
    </row>
    <row r="8" spans="3:14">
      <c r="C8" s="80">
        <v>2469</v>
      </c>
      <c r="D8" s="81">
        <v>269.729462152899</v>
      </c>
      <c r="E8" s="82">
        <v>60.774619256677</v>
      </c>
      <c r="F8" s="82"/>
      <c r="G8" s="83">
        <v>330.504081409576</v>
      </c>
      <c r="J8" s="80">
        <v>2469</v>
      </c>
      <c r="K8" s="81">
        <v>24060.6542345063</v>
      </c>
      <c r="L8" s="82">
        <v>2914.21840291693</v>
      </c>
      <c r="M8" s="82"/>
      <c r="N8" s="83">
        <v>26974.8726374232</v>
      </c>
    </row>
    <row r="9" spans="3:14">
      <c r="C9" s="84">
        <v>2556</v>
      </c>
      <c r="D9" s="85">
        <v>-137.839451984966</v>
      </c>
      <c r="E9" s="86"/>
      <c r="F9" s="86">
        <v>40.7762451688467</v>
      </c>
      <c r="G9" s="87">
        <v>-97.0632068161194</v>
      </c>
      <c r="J9" s="84">
        <v>2556</v>
      </c>
      <c r="K9" s="85">
        <v>-9149.54662053909</v>
      </c>
      <c r="L9" s="86"/>
      <c r="M9" s="86">
        <v>1025.75336842764</v>
      </c>
      <c r="N9" s="87">
        <v>-8123.79325211145</v>
      </c>
    </row>
    <row r="10" spans="3:14">
      <c r="C10" s="84">
        <v>2731</v>
      </c>
      <c r="D10" s="85"/>
      <c r="E10" s="86">
        <v>0</v>
      </c>
      <c r="F10" s="86">
        <v>-177.339295848562</v>
      </c>
      <c r="G10" s="87">
        <v>-177.339295848562</v>
      </c>
      <c r="J10" s="84">
        <v>2731</v>
      </c>
      <c r="K10" s="85"/>
      <c r="L10" s="86">
        <v>0</v>
      </c>
      <c r="M10" s="86">
        <v>-974.371670571105</v>
      </c>
      <c r="N10" s="87">
        <v>-974.371670571105</v>
      </c>
    </row>
    <row r="11" spans="3:14">
      <c r="C11" s="84">
        <v>2818</v>
      </c>
      <c r="D11" s="85">
        <v>-145.660105082811</v>
      </c>
      <c r="E11" s="86">
        <v>-294.744516367365</v>
      </c>
      <c r="F11" s="86"/>
      <c r="G11" s="87">
        <v>-440.404621450176</v>
      </c>
      <c r="J11" s="84">
        <v>2818</v>
      </c>
      <c r="K11" s="85">
        <v>-625.093318359802</v>
      </c>
      <c r="L11" s="86">
        <v>20.0373285528733</v>
      </c>
      <c r="M11" s="86"/>
      <c r="N11" s="87">
        <v>-605.055989806929</v>
      </c>
    </row>
    <row r="12" spans="3:14">
      <c r="C12" s="84">
        <v>2905</v>
      </c>
      <c r="D12" s="85"/>
      <c r="E12" s="86">
        <v>-264.037688095592</v>
      </c>
      <c r="F12" s="86"/>
      <c r="G12" s="87">
        <v>-264.037688095592</v>
      </c>
      <c r="J12" s="84">
        <v>2905</v>
      </c>
      <c r="K12" s="85"/>
      <c r="L12" s="86">
        <v>1042.04524221976</v>
      </c>
      <c r="M12" s="86"/>
      <c r="N12" s="87">
        <v>1042.04524221976</v>
      </c>
    </row>
    <row r="13" spans="3:14">
      <c r="C13" s="84">
        <v>2992</v>
      </c>
      <c r="D13" s="85">
        <v>-300.010808592919</v>
      </c>
      <c r="E13" s="86"/>
      <c r="F13" s="86"/>
      <c r="G13" s="87">
        <v>-300.010808592919</v>
      </c>
      <c r="J13" s="84">
        <v>2992</v>
      </c>
      <c r="K13" s="85">
        <v>-1635.40831247525</v>
      </c>
      <c r="L13" s="86"/>
      <c r="M13" s="86"/>
      <c r="N13" s="87">
        <v>-1635.40831247525</v>
      </c>
    </row>
    <row r="14" spans="3:14">
      <c r="C14" s="84">
        <v>3079</v>
      </c>
      <c r="D14" s="85">
        <v>-388.126567168709</v>
      </c>
      <c r="E14" s="86">
        <v>-375.987692240575</v>
      </c>
      <c r="F14" s="86"/>
      <c r="G14" s="87">
        <v>-764.114259409284</v>
      </c>
      <c r="J14" s="84">
        <v>3079</v>
      </c>
      <c r="K14" s="85">
        <v>-11116.4947122566</v>
      </c>
      <c r="L14" s="86">
        <v>-5953.89170786048</v>
      </c>
      <c r="M14" s="86"/>
      <c r="N14" s="87">
        <v>-17070.3864201171</v>
      </c>
    </row>
    <row r="15" spans="3:14">
      <c r="C15" s="84">
        <v>3166</v>
      </c>
      <c r="D15" s="85">
        <v>-114.194639270997</v>
      </c>
      <c r="E15" s="86">
        <v>-73.112252401194</v>
      </c>
      <c r="F15" s="86"/>
      <c r="G15" s="87">
        <v>-187.306891672191</v>
      </c>
      <c r="J15" s="84">
        <v>3166</v>
      </c>
      <c r="K15" s="85">
        <v>-7759.73443938744</v>
      </c>
      <c r="L15" s="86">
        <v>-3044.08509146437</v>
      </c>
      <c r="M15" s="86"/>
      <c r="N15" s="87">
        <v>-10803.8195308518</v>
      </c>
    </row>
    <row r="16" spans="3:14">
      <c r="C16" s="84">
        <v>3254</v>
      </c>
      <c r="D16" s="85">
        <v>208.926486583464</v>
      </c>
      <c r="E16" s="86">
        <v>-139.799223958087</v>
      </c>
      <c r="F16" s="86"/>
      <c r="G16" s="87">
        <v>69.1272626253763</v>
      </c>
      <c r="J16" s="84">
        <v>3254</v>
      </c>
      <c r="K16" s="85">
        <v>25653.6328673266</v>
      </c>
      <c r="L16" s="86">
        <v>-10877.9167492067</v>
      </c>
      <c r="M16" s="86"/>
      <c r="N16" s="87">
        <v>14775.7161181199</v>
      </c>
    </row>
    <row r="17" spans="3:14">
      <c r="C17" s="84">
        <v>3341</v>
      </c>
      <c r="D17" s="85"/>
      <c r="E17" s="86">
        <v>-131.859121036469</v>
      </c>
      <c r="F17" s="86">
        <v>-172.337889357466</v>
      </c>
      <c r="G17" s="87">
        <v>-304.197010393935</v>
      </c>
      <c r="J17" s="84">
        <v>3341</v>
      </c>
      <c r="K17" s="85"/>
      <c r="L17" s="86">
        <v>-16072.4426078642</v>
      </c>
      <c r="M17" s="86">
        <v>-17063.7554252489</v>
      </c>
      <c r="N17" s="87">
        <v>-33136.1980331131</v>
      </c>
    </row>
    <row r="18" spans="3:14">
      <c r="C18" s="84">
        <v>3428</v>
      </c>
      <c r="D18" s="85"/>
      <c r="E18" s="86">
        <v>122.957664568544</v>
      </c>
      <c r="F18" s="86"/>
      <c r="G18" s="87">
        <v>122.957664568544</v>
      </c>
      <c r="J18" s="84">
        <v>3428</v>
      </c>
      <c r="K18" s="85"/>
      <c r="L18" s="86">
        <v>21181.6174263012</v>
      </c>
      <c r="M18" s="86"/>
      <c r="N18" s="87">
        <v>21181.6174263012</v>
      </c>
    </row>
    <row r="19" spans="3:14">
      <c r="C19" s="88" t="s">
        <v>7</v>
      </c>
      <c r="D19" s="85">
        <v>0</v>
      </c>
      <c r="E19" s="86"/>
      <c r="F19" s="86"/>
      <c r="G19" s="87">
        <v>0</v>
      </c>
      <c r="J19" s="84" t="s">
        <v>7</v>
      </c>
      <c r="K19" s="85">
        <v>0</v>
      </c>
      <c r="L19" s="86"/>
      <c r="M19" s="86"/>
      <c r="N19" s="87">
        <v>0</v>
      </c>
    </row>
    <row r="20" spans="3:14">
      <c r="C20" s="89" t="s">
        <v>6</v>
      </c>
      <c r="D20" s="90">
        <v>-607.175623364038</v>
      </c>
      <c r="E20" s="91">
        <v>-1095.80821027406</v>
      </c>
      <c r="F20" s="91">
        <v>-308.900940037181</v>
      </c>
      <c r="G20" s="92">
        <v>-2011.88477367528</v>
      </c>
      <c r="J20" s="93" t="s">
        <v>6</v>
      </c>
      <c r="K20" s="90">
        <v>19428.0096988147</v>
      </c>
      <c r="L20" s="91">
        <v>-10790.417756405</v>
      </c>
      <c r="M20" s="91">
        <v>-17012.3737273924</v>
      </c>
      <c r="N20" s="92">
        <v>-8374.78178498258</v>
      </c>
    </row>
    <row r="28" spans="3:14">
      <c r="C28" s="73" t="s">
        <v>0</v>
      </c>
      <c r="D28" s="73" t="s">
        <v>1</v>
      </c>
    </row>
    <row r="30" spans="3:14">
      <c r="C30" s="74" t="s">
        <v>8</v>
      </c>
      <c r="D30" s="74" t="s">
        <v>3</v>
      </c>
      <c r="E30" s="75"/>
      <c r="F30" s="75"/>
      <c r="G30" s="76"/>
    </row>
    <row r="31" spans="3:14">
      <c r="C31" s="74" t="s">
        <v>5</v>
      </c>
      <c r="D31" s="95">
        <v>40256</v>
      </c>
      <c r="E31" s="96">
        <v>40347</v>
      </c>
      <c r="F31" s="96">
        <v>40438</v>
      </c>
      <c r="G31" s="94" t="s">
        <v>6</v>
      </c>
    </row>
    <row r="32" spans="3:14">
      <c r="C32" s="80">
        <v>2469</v>
      </c>
      <c r="D32" s="81">
        <v>2828.35142819391</v>
      </c>
      <c r="E32" s="82">
        <v>621.826693180263</v>
      </c>
      <c r="F32" s="82"/>
      <c r="G32" s="83">
        <v>3450.17812137418</v>
      </c>
    </row>
    <row r="33" spans="3:7">
      <c r="C33" s="84">
        <v>2556</v>
      </c>
      <c r="D33" s="85">
        <v>-1429.74521490532</v>
      </c>
      <c r="E33" s="86"/>
      <c r="F33" s="86">
        <v>412.381206999416</v>
      </c>
      <c r="G33" s="87">
        <v>-1017.36400790591</v>
      </c>
    </row>
    <row r="34" spans="3:7">
      <c r="C34" s="84">
        <v>2731</v>
      </c>
      <c r="D34" s="85"/>
      <c r="E34" s="86">
        <v>0</v>
      </c>
      <c r="F34" s="86">
        <v>-1778.94427974129</v>
      </c>
      <c r="G34" s="87">
        <v>-1778.94427974129</v>
      </c>
    </row>
    <row r="35" spans="3:7">
      <c r="C35" s="84">
        <v>2818</v>
      </c>
      <c r="D35" s="85">
        <v>-1469.29915460342</v>
      </c>
      <c r="E35" s="86">
        <v>-2954.48343618635</v>
      </c>
      <c r="F35" s="86"/>
      <c r="G35" s="87">
        <v>-4423.78259078977</v>
      </c>
    </row>
    <row r="36" spans="3:7">
      <c r="C36" s="84">
        <v>2905</v>
      </c>
      <c r="D36" s="85"/>
      <c r="E36" s="86">
        <v>-2642.59695557864</v>
      </c>
      <c r="F36" s="86"/>
      <c r="G36" s="87">
        <v>-2642.59695557864</v>
      </c>
    </row>
    <row r="37" spans="3:7">
      <c r="C37" s="84">
        <v>2992</v>
      </c>
      <c r="D37" s="85">
        <v>-3027.6612464741</v>
      </c>
      <c r="E37" s="86"/>
      <c r="F37" s="86"/>
      <c r="G37" s="87">
        <v>-3027.6612464741</v>
      </c>
    </row>
    <row r="38" spans="3:7">
      <c r="C38" s="84">
        <v>3079</v>
      </c>
      <c r="D38" s="85">
        <v>-3955.24021726666</v>
      </c>
      <c r="E38" s="86">
        <v>-3792.63133435551</v>
      </c>
      <c r="F38" s="86"/>
      <c r="G38" s="87">
        <v>-7747.87155162216</v>
      </c>
    </row>
    <row r="39" spans="3:7">
      <c r="C39" s="84">
        <v>3166</v>
      </c>
      <c r="D39" s="85">
        <v>-1183.03147738255</v>
      </c>
      <c r="E39" s="86">
        <v>-744.998402441977</v>
      </c>
      <c r="F39" s="86"/>
      <c r="G39" s="87">
        <v>-1928.02987982453</v>
      </c>
    </row>
    <row r="40" spans="3:7">
      <c r="C40" s="84">
        <v>3254</v>
      </c>
      <c r="D40" s="85">
        <v>2214.8310851343</v>
      </c>
      <c r="E40" s="86">
        <v>-1444.89291333642</v>
      </c>
      <c r="F40" s="86"/>
      <c r="G40" s="87">
        <v>769.938171797878</v>
      </c>
    </row>
    <row r="41" spans="3:7">
      <c r="C41" s="84">
        <v>3341</v>
      </c>
      <c r="D41" s="85"/>
      <c r="E41" s="86">
        <v>-1386.69712585432</v>
      </c>
      <c r="F41" s="86">
        <v>-1791.30180780221</v>
      </c>
      <c r="G41" s="87">
        <v>-3177.99893365653</v>
      </c>
    </row>
    <row r="42" spans="3:7">
      <c r="C42" s="84">
        <v>3428</v>
      </c>
      <c r="D42" s="85"/>
      <c r="E42" s="86">
        <v>1319.17187367281</v>
      </c>
      <c r="F42" s="86"/>
      <c r="G42" s="87">
        <v>1319.17187367281</v>
      </c>
    </row>
    <row r="43" spans="3:7">
      <c r="C43" s="84" t="s">
        <v>7</v>
      </c>
      <c r="D43" s="85">
        <v>0</v>
      </c>
      <c r="E43" s="86"/>
      <c r="F43" s="86"/>
      <c r="G43" s="87">
        <v>0</v>
      </c>
    </row>
    <row r="44" spans="3:7">
      <c r="C44" s="93" t="s">
        <v>6</v>
      </c>
      <c r="D44" s="90">
        <v>-6021.79479730384</v>
      </c>
      <c r="E44" s="91">
        <v>-11025.3016009001</v>
      </c>
      <c r="F44" s="91">
        <v>-3157.86488054408</v>
      </c>
      <c r="G44" s="92">
        <v>-20204.9612787481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C4:N44"/>
  <sheetViews>
    <sheetView showGridLines="0" zoomScaleSheetLayoutView="60" workbookViewId="0">
      <selection activeCell="E34" sqref="E34"/>
    </sheetView>
  </sheetViews>
  <sheetFormatPr defaultColWidth="8.72727272727273" defaultRowHeight="12.5"/>
  <cols>
    <col min="3" max="3" width="17.5363636363636" customWidth="1"/>
    <col min="4" max="6" width="12.8454545454545" customWidth="1"/>
    <col min="7" max="7" width="10.5363636363636" customWidth="1"/>
    <col min="8" max="8" width="10.5363636363636"/>
    <col min="10" max="10" width="19.8454545454545" customWidth="1"/>
    <col min="11" max="13" width="12.8454545454545" customWidth="1"/>
    <col min="14" max="14" width="10.5363636363636" customWidth="1"/>
    <col min="15" max="15" width="10.5363636363636"/>
  </cols>
  <sheetData>
    <row r="4" spans="3:14">
      <c r="C4" s="73" t="s">
        <v>0</v>
      </c>
      <c r="D4" s="73" t="s">
        <v>1</v>
      </c>
      <c r="J4" s="73" t="s">
        <v>0</v>
      </c>
      <c r="K4" s="73" t="s">
        <v>1</v>
      </c>
    </row>
    <row r="6" spans="3:14">
      <c r="C6" s="74" t="s">
        <v>9</v>
      </c>
      <c r="D6" s="74" t="s">
        <v>3</v>
      </c>
      <c r="E6" s="75"/>
      <c r="F6" s="75"/>
      <c r="G6" s="76"/>
      <c r="J6" s="74" t="s">
        <v>10</v>
      </c>
      <c r="K6" s="74" t="s">
        <v>3</v>
      </c>
      <c r="L6" s="75"/>
      <c r="M6" s="75"/>
      <c r="N6" s="76"/>
    </row>
    <row r="7" spans="3:14">
      <c r="C7" s="74" t="s">
        <v>5</v>
      </c>
      <c r="D7" s="77">
        <v>40256</v>
      </c>
      <c r="E7" s="78">
        <v>40347</v>
      </c>
      <c r="F7" s="78">
        <v>40438</v>
      </c>
      <c r="G7" s="79" t="s">
        <v>6</v>
      </c>
      <c r="J7" s="74" t="s">
        <v>5</v>
      </c>
      <c r="K7" s="77">
        <v>40256</v>
      </c>
      <c r="L7" s="78">
        <v>40347</v>
      </c>
      <c r="M7" s="78">
        <v>40438</v>
      </c>
      <c r="N7" s="79" t="s">
        <v>6</v>
      </c>
    </row>
    <row r="8" spans="3:14">
      <c r="C8" s="80">
        <v>2469</v>
      </c>
      <c r="D8" s="81">
        <v>-44954.5645281081</v>
      </c>
      <c r="E8" s="82">
        <v>-7247.1081192219</v>
      </c>
      <c r="F8" s="82"/>
      <c r="G8" s="83">
        <v>-52201.67264733</v>
      </c>
      <c r="J8" s="80">
        <v>2469</v>
      </c>
      <c r="K8" s="81">
        <v>133529.874956115</v>
      </c>
      <c r="L8" s="82">
        <v>14301.6860990663</v>
      </c>
      <c r="M8" s="82"/>
      <c r="N8" s="83">
        <v>147831.561055182</v>
      </c>
    </row>
    <row r="9" spans="3:14">
      <c r="C9" s="84">
        <v>2556</v>
      </c>
      <c r="D9" s="85">
        <v>24622.729711054</v>
      </c>
      <c r="E9" s="86"/>
      <c r="F9" s="86">
        <v>-4185.15955205296</v>
      </c>
      <c r="G9" s="87">
        <v>20437.570159001</v>
      </c>
      <c r="J9" s="84">
        <v>2556</v>
      </c>
      <c r="K9" s="85">
        <v>-72712.4552323739</v>
      </c>
      <c r="L9" s="86"/>
      <c r="M9" s="86">
        <v>7004.3926080496</v>
      </c>
      <c r="N9" s="87">
        <v>-65708.0626243243</v>
      </c>
    </row>
    <row r="10" spans="3:14">
      <c r="C10" s="84">
        <v>2731</v>
      </c>
      <c r="D10" s="85"/>
      <c r="E10" s="86">
        <v>0</v>
      </c>
      <c r="F10" s="86">
        <v>20533.601202966</v>
      </c>
      <c r="G10" s="87">
        <v>20533.601202966</v>
      </c>
      <c r="J10" s="84">
        <v>2731</v>
      </c>
      <c r="K10" s="85"/>
      <c r="L10" s="86">
        <v>0</v>
      </c>
      <c r="M10" s="86">
        <v>-34982.6361820594</v>
      </c>
      <c r="N10" s="87">
        <v>-34982.6361820594</v>
      </c>
    </row>
    <row r="11" spans="3:14">
      <c r="C11" s="84">
        <v>2818</v>
      </c>
      <c r="D11" s="85">
        <v>-52185.317803858</v>
      </c>
      <c r="E11" s="86">
        <v>46255.1546196621</v>
      </c>
      <c r="F11" s="86"/>
      <c r="G11" s="87">
        <v>-5930.16318419588</v>
      </c>
      <c r="J11" s="84">
        <v>2818</v>
      </c>
      <c r="K11" s="85">
        <v>-90344.8147322648</v>
      </c>
      <c r="L11" s="86">
        <v>-89247.6188947435</v>
      </c>
      <c r="M11" s="86"/>
      <c r="N11" s="87">
        <v>-179592.433627008</v>
      </c>
    </row>
    <row r="12" spans="3:14">
      <c r="C12" s="84">
        <v>2905</v>
      </c>
      <c r="D12" s="85"/>
      <c r="E12" s="86">
        <v>45497.1581166986</v>
      </c>
      <c r="F12" s="86"/>
      <c r="G12" s="87">
        <v>45497.1581166986</v>
      </c>
      <c r="J12" s="84">
        <v>2905</v>
      </c>
      <c r="K12" s="85"/>
      <c r="L12" s="86">
        <v>-83608.8179305424</v>
      </c>
      <c r="M12" s="86"/>
      <c r="N12" s="87">
        <v>-83608.8179305424</v>
      </c>
    </row>
    <row r="13" spans="3:14">
      <c r="C13" s="84">
        <v>2992</v>
      </c>
      <c r="D13" s="85">
        <v>34758.7739120145</v>
      </c>
      <c r="E13" s="86"/>
      <c r="F13" s="86"/>
      <c r="G13" s="87">
        <v>34758.7739120145</v>
      </c>
      <c r="J13" s="84">
        <v>2992</v>
      </c>
      <c r="K13" s="85">
        <v>-199590.227956515</v>
      </c>
      <c r="L13" s="86"/>
      <c r="M13" s="86"/>
      <c r="N13" s="87">
        <v>-199590.227956515</v>
      </c>
    </row>
    <row r="14" spans="3:14">
      <c r="C14" s="84">
        <v>3079</v>
      </c>
      <c r="D14" s="85">
        <v>-34148.1881921113</v>
      </c>
      <c r="E14" s="86">
        <v>-63624.3368631614</v>
      </c>
      <c r="F14" s="86"/>
      <c r="G14" s="87">
        <v>-97772.5250552727</v>
      </c>
      <c r="J14" s="84">
        <v>3079</v>
      </c>
      <c r="K14" s="85">
        <v>-264097.022604143</v>
      </c>
      <c r="L14" s="86">
        <v>-126574.508026731</v>
      </c>
      <c r="M14" s="86"/>
      <c r="N14" s="87">
        <v>-390671.530630873</v>
      </c>
    </row>
    <row r="15" spans="3:14">
      <c r="C15" s="84">
        <v>3166</v>
      </c>
      <c r="D15" s="85">
        <v>-24032.8136669646</v>
      </c>
      <c r="E15" s="86">
        <v>-11234.4758159948</v>
      </c>
      <c r="F15" s="86"/>
      <c r="G15" s="87">
        <v>-35267.2894829593</v>
      </c>
      <c r="J15" s="84">
        <v>3166</v>
      </c>
      <c r="K15" s="85">
        <v>-78885.6084764992</v>
      </c>
      <c r="L15" s="86">
        <v>-25046.8066059071</v>
      </c>
      <c r="M15" s="86"/>
      <c r="N15" s="87">
        <v>-103932.415082406</v>
      </c>
    </row>
    <row r="16" spans="3:14">
      <c r="C16" s="84">
        <v>3254</v>
      </c>
      <c r="D16" s="85">
        <v>39425.0374692019</v>
      </c>
      <c r="E16" s="86">
        <v>-19639.6055358364</v>
      </c>
      <c r="F16" s="86"/>
      <c r="G16" s="87">
        <v>19785.4319333655</v>
      </c>
      <c r="J16" s="84">
        <v>3254</v>
      </c>
      <c r="K16" s="85">
        <v>145614.030405998</v>
      </c>
      <c r="L16" s="86">
        <v>-48389.542993236</v>
      </c>
      <c r="M16" s="86"/>
      <c r="N16" s="87">
        <v>97224.4874127624</v>
      </c>
    </row>
    <row r="17" spans="3:14">
      <c r="C17" s="84">
        <v>3341</v>
      </c>
      <c r="D17" s="85"/>
      <c r="E17" s="86">
        <v>-17090.0075038921</v>
      </c>
      <c r="F17" s="86">
        <v>38211.4819489268</v>
      </c>
      <c r="G17" s="87">
        <v>21121.4744450347</v>
      </c>
      <c r="J17" s="84">
        <v>3341</v>
      </c>
      <c r="K17" s="85"/>
      <c r="L17" s="86">
        <v>-45837.711555531</v>
      </c>
      <c r="M17" s="86">
        <v>-42026.5739091098</v>
      </c>
      <c r="N17" s="87">
        <v>-87864.2854646407</v>
      </c>
    </row>
    <row r="18" spans="3:14">
      <c r="C18" s="84">
        <v>3428</v>
      </c>
      <c r="D18" s="85"/>
      <c r="E18" s="86">
        <v>14816.6188435711</v>
      </c>
      <c r="F18" s="86"/>
      <c r="G18" s="87">
        <v>14816.6188435711</v>
      </c>
      <c r="J18" s="84">
        <v>3428</v>
      </c>
      <c r="K18" s="85"/>
      <c r="L18" s="86">
        <v>42729.3586128482</v>
      </c>
      <c r="M18" s="86"/>
      <c r="N18" s="87">
        <v>42729.3586128482</v>
      </c>
    </row>
    <row r="19" spans="3:14">
      <c r="C19" s="88" t="s">
        <v>7</v>
      </c>
      <c r="D19" s="85">
        <v>57858.8694382341</v>
      </c>
      <c r="E19" s="86"/>
      <c r="F19" s="86"/>
      <c r="G19" s="87">
        <v>57858.8694382341</v>
      </c>
      <c r="J19" s="84" t="s">
        <v>7</v>
      </c>
      <c r="K19" s="85">
        <v>0</v>
      </c>
      <c r="L19" s="86"/>
      <c r="M19" s="86"/>
      <c r="N19" s="87">
        <v>0</v>
      </c>
    </row>
    <row r="20" spans="3:14">
      <c r="C20" s="89" t="s">
        <v>6</v>
      </c>
      <c r="D20" s="90">
        <v>1344.5263394625</v>
      </c>
      <c r="E20" s="91">
        <v>-12266.6022581748</v>
      </c>
      <c r="F20" s="91">
        <v>54559.9235998399</v>
      </c>
      <c r="G20" s="92">
        <v>43637.8476811276</v>
      </c>
      <c r="J20" s="93" t="s">
        <v>6</v>
      </c>
      <c r="K20" s="90">
        <v>-426486.223639682</v>
      </c>
      <c r="L20" s="91">
        <v>-361673.961294776</v>
      </c>
      <c r="M20" s="91">
        <v>-70004.8174831196</v>
      </c>
      <c r="N20" s="92">
        <v>-858165.002417577</v>
      </c>
    </row>
    <row r="28" spans="3:14">
      <c r="C28" s="73" t="s">
        <v>0</v>
      </c>
      <c r="D28" s="73" t="s">
        <v>1</v>
      </c>
    </row>
    <row r="30" spans="3:14">
      <c r="C30" s="74" t="s">
        <v>11</v>
      </c>
      <c r="D30" s="74" t="s">
        <v>3</v>
      </c>
      <c r="E30" s="75"/>
      <c r="F30" s="75"/>
      <c r="G30" s="76"/>
    </row>
    <row r="31" spans="3:14">
      <c r="C31" s="74" t="s">
        <v>5</v>
      </c>
      <c r="D31" s="77">
        <v>40256</v>
      </c>
      <c r="E31" s="78">
        <v>40347</v>
      </c>
      <c r="F31" s="78">
        <v>40438</v>
      </c>
      <c r="G31" s="94" t="s">
        <v>6</v>
      </c>
    </row>
    <row r="32" spans="3:14">
      <c r="C32" s="80">
        <v>2469</v>
      </c>
      <c r="D32" s="81">
        <v>-3379.79975741101</v>
      </c>
      <c r="E32" s="82">
        <v>-597.152384490213</v>
      </c>
      <c r="F32" s="82"/>
      <c r="G32" s="83">
        <v>-3976.95214190123</v>
      </c>
    </row>
    <row r="33" spans="3:7">
      <c r="C33" s="84">
        <v>2556</v>
      </c>
      <c r="D33" s="85">
        <v>1847.25880821666</v>
      </c>
      <c r="E33" s="86"/>
      <c r="F33" s="86">
        <v>-354.600875196024</v>
      </c>
      <c r="G33" s="87">
        <v>1492.65793302064</v>
      </c>
    </row>
    <row r="34" spans="3:7">
      <c r="C34" s="84">
        <v>2731</v>
      </c>
      <c r="D34" s="85"/>
      <c r="E34" s="86">
        <v>0</v>
      </c>
      <c r="F34" s="86">
        <v>1730.37268604862</v>
      </c>
      <c r="G34" s="87">
        <v>1730.37268604862</v>
      </c>
    </row>
    <row r="35" spans="3:7">
      <c r="C35" s="84">
        <v>2818</v>
      </c>
      <c r="D35" s="85">
        <v>-6030.9246759636</v>
      </c>
      <c r="E35" s="86">
        <v>3800.35513087579</v>
      </c>
      <c r="F35" s="86"/>
      <c r="G35" s="87">
        <v>-2230.5695450878</v>
      </c>
    </row>
    <row r="36" spans="3:7">
      <c r="C36" s="84">
        <v>2905</v>
      </c>
      <c r="D36" s="85"/>
      <c r="E36" s="86">
        <v>3764.30069645069</v>
      </c>
      <c r="F36" s="86"/>
      <c r="G36" s="87">
        <v>3764.30069645069</v>
      </c>
    </row>
    <row r="37" spans="3:7">
      <c r="C37" s="84">
        <v>2992</v>
      </c>
      <c r="D37" s="85">
        <v>1563.048835693</v>
      </c>
      <c r="E37" s="86"/>
      <c r="F37" s="86"/>
      <c r="G37" s="87">
        <v>1563.048835693</v>
      </c>
    </row>
    <row r="38" spans="3:7">
      <c r="C38" s="84">
        <v>3079</v>
      </c>
      <c r="D38" s="85">
        <v>-6038.88764220494</v>
      </c>
      <c r="E38" s="86">
        <v>-7597.10254469776</v>
      </c>
      <c r="F38" s="86"/>
      <c r="G38" s="87">
        <v>-13635.9901869027</v>
      </c>
    </row>
    <row r="39" spans="3:7">
      <c r="C39" s="84">
        <v>3166</v>
      </c>
      <c r="D39" s="85">
        <v>-3217.19626007737</v>
      </c>
      <c r="E39" s="86">
        <v>-1372.93879268259</v>
      </c>
      <c r="F39" s="86"/>
      <c r="G39" s="87">
        <v>-4590.13505275997</v>
      </c>
    </row>
    <row r="40" spans="3:7">
      <c r="C40" s="84">
        <v>3254</v>
      </c>
      <c r="D40" s="85">
        <v>5504.04288108433</v>
      </c>
      <c r="E40" s="86">
        <v>-2456.3514586598</v>
      </c>
      <c r="F40" s="86"/>
      <c r="G40" s="87">
        <v>3047.69142242453</v>
      </c>
    </row>
    <row r="41" spans="3:7">
      <c r="C41" s="84">
        <v>3341</v>
      </c>
      <c r="D41" s="85"/>
      <c r="E41" s="86">
        <v>-2185.12253462049</v>
      </c>
      <c r="F41" s="86">
        <v>3393.55594568712</v>
      </c>
      <c r="G41" s="87">
        <v>1208.43341106663</v>
      </c>
    </row>
    <row r="42" spans="3:7">
      <c r="C42" s="84">
        <v>3428</v>
      </c>
      <c r="D42" s="85"/>
      <c r="E42" s="86">
        <v>1934.31127658636</v>
      </c>
      <c r="F42" s="86"/>
      <c r="G42" s="87">
        <v>1934.31127658636</v>
      </c>
    </row>
    <row r="43" spans="3:7">
      <c r="C43" s="84" t="s">
        <v>7</v>
      </c>
      <c r="D43" s="85">
        <v>5785.538215942</v>
      </c>
      <c r="E43" s="86"/>
      <c r="F43" s="86"/>
      <c r="G43" s="87">
        <v>5785.538215942</v>
      </c>
    </row>
    <row r="44" spans="3:7">
      <c r="C44" s="93" t="s">
        <v>6</v>
      </c>
      <c r="D44" s="90">
        <v>-3966.91959472092</v>
      </c>
      <c r="E44" s="91">
        <v>-4709.70061123801</v>
      </c>
      <c r="F44" s="91">
        <v>4769.32775653971</v>
      </c>
      <c r="G44" s="92">
        <v>-3907.29244941921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Q84"/>
  <sheetViews>
    <sheetView showGridLines="0" tabSelected="1" zoomScaleSheetLayoutView="60" workbookViewId="0">
      <pane xSplit="1" ySplit="1" topLeftCell="B2" activePane="bottomRight" state="frozen"/>
      <selection/>
      <selection pane="topRight"/>
      <selection pane="bottomLeft"/>
      <selection pane="bottomRight" activeCell="H31" sqref="H31"/>
    </sheetView>
  </sheetViews>
  <sheetFormatPr defaultColWidth="8.72727272727273" defaultRowHeight="12.5"/>
  <cols>
    <col min="1" max="1" width="11"/>
    <col min="2" max="2" width="14" style="44"/>
    <col min="3" max="3" width="8" style="45"/>
    <col min="4" max="4" width="11.6909090909091"/>
    <col min="5" max="5" width="8.30909090909091"/>
    <col min="6" max="6" width="7.38181818181818"/>
    <col min="7" max="7" width="6" style="44"/>
    <col min="8" max="8" width="6.38181818181818"/>
    <col min="9" max="9" width="10" style="4"/>
    <col min="10" max="10" width="7.38181818181818" style="46"/>
    <col min="11" max="11" width="12.3818181818182" style="47"/>
    <col min="12" max="12" width="11.8454545454545" style="48"/>
    <col min="13" max="13" width="16.6909090909091" style="48"/>
    <col min="14" max="14" width="14.8454545454545"/>
    <col min="15" max="15" width="6.38181818181818"/>
    <col min="16" max="16" width="10.1545454545455" style="49"/>
    <col min="17" max="17" width="10.1545454545455" style="49" customWidth="1"/>
    <col min="18" max="18" width="8.63636363636364" style="50"/>
    <col min="19" max="19" width="7.53636363636364" style="51" customWidth="1"/>
    <col min="20" max="20" width="9.84545454545455" style="51"/>
    <col min="21" max="21" width="8.63636363636364" style="52"/>
    <col min="22" max="22" width="11.1545454545455" style="53"/>
    <col min="23" max="23" width="11.1545454545455" style="53" customWidth="1"/>
    <col min="24" max="24" width="11.8454545454545" style="54"/>
    <col min="25" max="25" width="9.69090909090909" style="54"/>
    <col min="26" max="26" width="14.3090909090909" style="54"/>
    <col min="27" max="27" width="12" style="54"/>
    <col min="28" max="28" width="14"/>
    <col min="29" max="29" width="13.5363636363636"/>
    <col min="30" max="30" width="12.5363636363636"/>
    <col min="31" max="33" width="13.3818181818182"/>
    <col min="34" max="35" width="14.3090909090909"/>
    <col min="36" max="36" width="14"/>
    <col min="37" max="37" width="13.5363636363636"/>
    <col min="38" max="38" width="12.5363636363636"/>
    <col min="39" max="41" width="13.3818181818182"/>
    <col min="42" max="43" width="14.3090909090909"/>
  </cols>
  <sheetData>
    <row r="1" s="43" customFormat="1" ht="11.25" spans="1:43">
      <c r="A1" s="55" t="s">
        <v>0</v>
      </c>
      <c r="B1" s="43" t="s">
        <v>12</v>
      </c>
      <c r="C1" s="56" t="s">
        <v>13</v>
      </c>
      <c r="D1" s="43" t="s">
        <v>14</v>
      </c>
      <c r="E1" s="43" t="s">
        <v>15</v>
      </c>
      <c r="F1" s="43" t="s">
        <v>16</v>
      </c>
      <c r="G1" s="43" t="s">
        <v>5</v>
      </c>
      <c r="H1" s="43" t="s">
        <v>17</v>
      </c>
      <c r="I1" s="57" t="s">
        <v>3</v>
      </c>
      <c r="J1" s="56" t="s">
        <v>18</v>
      </c>
      <c r="K1" s="58" t="s">
        <v>19</v>
      </c>
      <c r="L1" s="59" t="s">
        <v>20</v>
      </c>
      <c r="M1" s="59" t="s">
        <v>21</v>
      </c>
      <c r="N1" s="43" t="s">
        <v>22</v>
      </c>
      <c r="O1" s="43" t="s">
        <v>23</v>
      </c>
      <c r="P1" s="60" t="s">
        <v>24</v>
      </c>
      <c r="Q1" s="60" t="s">
        <v>25</v>
      </c>
      <c r="R1" s="61" t="s">
        <v>26</v>
      </c>
      <c r="S1" s="61" t="s">
        <v>27</v>
      </c>
      <c r="T1" s="61" t="s">
        <v>28</v>
      </c>
      <c r="U1" s="59" t="s">
        <v>29</v>
      </c>
      <c r="V1" s="62" t="s">
        <v>30</v>
      </c>
      <c r="W1" s="62" t="s">
        <v>31</v>
      </c>
      <c r="X1" s="63" t="s">
        <v>32</v>
      </c>
      <c r="Y1" s="63" t="s">
        <v>33</v>
      </c>
      <c r="Z1" s="63" t="s">
        <v>34</v>
      </c>
      <c r="AA1" s="63" t="s">
        <v>35</v>
      </c>
      <c r="AB1" s="64" t="s">
        <v>36</v>
      </c>
      <c r="AC1" s="65" t="s">
        <v>37</v>
      </c>
      <c r="AD1" s="65" t="s">
        <v>38</v>
      </c>
      <c r="AE1" s="65" t="s">
        <v>39</v>
      </c>
      <c r="AF1" s="65" t="s">
        <v>40</v>
      </c>
      <c r="AG1" s="65" t="s">
        <v>41</v>
      </c>
      <c r="AH1" s="65" t="s">
        <v>42</v>
      </c>
      <c r="AI1" s="66" t="s">
        <v>43</v>
      </c>
      <c r="AJ1" s="64" t="s">
        <v>44</v>
      </c>
      <c r="AK1" s="65" t="s">
        <v>45</v>
      </c>
      <c r="AL1" s="65" t="s">
        <v>46</v>
      </c>
      <c r="AM1" s="65" t="s">
        <v>47</v>
      </c>
      <c r="AN1" s="65" t="s">
        <v>48</v>
      </c>
      <c r="AO1" s="65" t="s">
        <v>49</v>
      </c>
      <c r="AP1" s="65" t="s">
        <v>50</v>
      </c>
      <c r="AQ1" s="66" t="s">
        <v>51</v>
      </c>
    </row>
    <row r="2" spans="1:43">
      <c r="A2" s="67" t="s">
        <v>52</v>
      </c>
      <c r="B2" s="44">
        <f>VLOOKUP(A2,PriceData!$K$4:$L$6,2,FALSE)</f>
        <v>1100</v>
      </c>
      <c r="C2" s="45">
        <f>VLOOKUP(A2,PriceData!$K$4:$M$6,3,FALSE)</f>
        <v>0.02</v>
      </c>
      <c r="D2" s="44" t="s">
        <v>53</v>
      </c>
      <c r="E2" s="44" t="s">
        <v>54</v>
      </c>
      <c r="F2" s="44">
        <v>25</v>
      </c>
      <c r="H2" s="44"/>
      <c r="I2" s="68">
        <v>40256</v>
      </c>
      <c r="J2" s="45">
        <f>FindImpliedVol(A2,D2,G2,I2)</f>
        <v>0</v>
      </c>
      <c r="K2" s="69"/>
      <c r="L2" s="52" t="e">
        <f>BSPrice($B2,$J2,$K2,$C2,($I2-#REF!)/365,$G2,$H2,$D2)</f>
        <v>#NAME?</v>
      </c>
      <c r="M2" s="52" t="e">
        <f>F2*L2</f>
        <v>#NAME?</v>
      </c>
      <c r="N2" s="44" t="s">
        <v>55</v>
      </c>
      <c r="O2" s="44"/>
      <c r="P2" s="49" t="e">
        <f>BSDelta(B2,J2,K2,C2,(I2-#REF!)/365,G2,H2,D2)</f>
        <v>#NAME?</v>
      </c>
      <c r="Q2" s="49" t="e">
        <f>BSGamma(B2,J2,K2,C2,(I2-#REF!)/365,G2,D2)</f>
        <v>#NAME?</v>
      </c>
      <c r="R2" s="51" t="e">
        <f>BSVega(B2,J2,K2,C2,(I2-#REF!)/365,G2,D2)</f>
        <v>#NAME?</v>
      </c>
      <c r="S2" s="51" t="e">
        <f>BSVolga(B2,J2,K2,C2,(I2-#REF!)/365,G2,D2)</f>
        <v>#NAME?</v>
      </c>
      <c r="T2" s="51" t="e">
        <f>BSTheta(B2,J2,K2,C2,(I2-#REF!)/365,G2,H2,D2)</f>
        <v>#NAME?</v>
      </c>
      <c r="U2" s="52" t="e">
        <f>BSRho(B2,J2,K2,C2,(I2-#REF!)/365,G2,H2,D2)</f>
        <v>#NAME?</v>
      </c>
      <c r="V2" s="70" t="e">
        <f>$F2*$P2</f>
        <v>#NAME?</v>
      </c>
      <c r="W2" s="70" t="e">
        <f>$F2*$Q2</f>
        <v>#NAME?</v>
      </c>
      <c r="X2" s="54" t="e">
        <f>$F2*R2</f>
        <v>#NAME?</v>
      </c>
      <c r="Y2" s="54" t="e">
        <f>$F2*S2</f>
        <v>#NAME?</v>
      </c>
      <c r="Z2" s="54" t="e">
        <f>$F2*T2</f>
        <v>#NAME?</v>
      </c>
      <c r="AA2" s="54" t="e">
        <f>$F2*U2</f>
        <v>#NAME?</v>
      </c>
      <c r="AB2" s="54" t="e">
        <f>(BSPrice($B2*0.8,$J2,$K2,$C2,($I2-#REF!)/365,$G2,$H2,$D2)-BSPrice($B2,$J2,$K2,$C2,($I2-#REF!)/365,$G2,$H2,$D2))*$F2</f>
        <v>#NAME?</v>
      </c>
      <c r="AC2" s="54" t="e">
        <f>(BSPrice($B2*0.9,$J2,$K2,$C2,($I2-#REF!)/365,$G2,$H2,$D2)-BSPrice($B2,$J2,$K2,$C2,($I2-#REF!)/365,$G2,$H2,$D2))*$F2</f>
        <v>#NAME?</v>
      </c>
      <c r="AD2" s="54" t="e">
        <f>(BSPrice($B2*0.95,$J2,$K2,$C2,($I2-#REF!)/365,$G2,$H2,$D2)-BSPrice($B2,$J2,$K2,$C2,($I2-#REF!)/365,$G2,$H2,$D2))*$F2</f>
        <v>#NAME?</v>
      </c>
      <c r="AE2" s="54" t="e">
        <f>(BSPrice($B2*0.98,$J2,$K2,$C2,($I2-#REF!)/365,$G2,$H2,$D2)-BSPrice($B2,$J2,$K2,$C2,($I2-#REF!)/365,$G2,$H2,$D2))*$F2</f>
        <v>#NAME?</v>
      </c>
      <c r="AF2" s="54" t="e">
        <f>(BSPrice($B2*1.02,$J2,$K2,$C2,($I2-#REF!)/365,$G2,$H2,$D2)-BSPrice($B2,$J2,$K2,$C2,($I2-#REF!)/365,$G2,$H2,$D2))*$F2</f>
        <v>#NAME?</v>
      </c>
      <c r="AG2" s="54" t="e">
        <f>(BSPrice($B2*1.05,$J2,$K2,$C2,($I2-#REF!)/365,$G2,$H2,$D2)-BSPrice($B2,$J2,$K2,$C2,($I2-#REF!)/365,$G2,$H2,$D2))*$F2</f>
        <v>#NAME?</v>
      </c>
      <c r="AH2" s="54" t="e">
        <f>(BSPrice($B2*1.1,$J2,$K2,$C2,($I2-#REF!)/365,$G2,$H2,$D2)-BSPrice($B2,$J2,$K2,$C2,($I2-#REF!)/365,$G2,$H2,$D2))*$F2</f>
        <v>#NAME?</v>
      </c>
      <c r="AI2" s="54" t="e">
        <f>(BSPrice($B2*1.2,$J2,$K2,$C2,($I2-#REF!)/365,$G2,$H2,$D2)-BSPrice($B2,$J2,$K2,$C2,($I2-#REF!)/365,$G2,$H2,$D2))*$F2</f>
        <v>#NAME?</v>
      </c>
      <c r="AJ2" s="54" t="e">
        <f>(BSPrice($B2,$J2-0.1,$K2,$C2,($I2-#REF!)/365,$G2,$H2,$D2)-BSPrice($B2,$J2,$K2,$C2,($I2-#REF!)/365,$G2,$H2,$D2))*$F2</f>
        <v>#NAME?</v>
      </c>
      <c r="AK2" s="54" t="e">
        <f>(BSPrice($B2,$J2-0.05,$K2,$C2,($I2-#REF!)/365,$G2,$H2,$D2)-BSPrice($B2,$J2,$K2,$C2,($I2-#REF!)/365,$G2,$H2,$D2))*$F2</f>
        <v>#NAME?</v>
      </c>
      <c r="AL2" s="54" t="e">
        <f>(BSPrice($B2,$J2-0.02,$K2,$C2,($I2-#REF!)/365,$G2,$H2,$D2)-BSPrice($B2,$J2,$K2,$C2,($I2-#REF!)/365,$G2,$H2,$D2))*$F2</f>
        <v>#NAME?</v>
      </c>
      <c r="AM2" s="54" t="e">
        <f>(BSPrice($B2,$J2-0.01,$K2,$C2,($I2-#REF!)/365,$G2,$H2,$D2)-BSPrice($B2,$J2,$K2,$C2,($I2-#REF!)/365,$G2,$H2,$D2))*$F2</f>
        <v>#NAME?</v>
      </c>
      <c r="AN2" s="54" t="e">
        <f>(BSPrice($B2,$J2+0.01,$K2,$C2,($I2-#REF!)/365,$G2,$H2,$D2)-BSPrice($B2,$J2,$K2,$C2,($I2-#REF!)/365,$G2,$H2,$D2))*$F2</f>
        <v>#NAME?</v>
      </c>
      <c r="AO2" s="54" t="e">
        <f>(BSPrice($B2,$J2+0.02,$K2,$C2,($I2-#REF!)/365,$G2,$H2,$D2)-BSPrice($B2,$J2,$K2,$C2,($I2-#REF!)/365,$G2,$H2,$D2))*$F2</f>
        <v>#NAME?</v>
      </c>
      <c r="AP2" s="54" t="e">
        <f>(BSPrice($B2,$J2+0.05,$K2,$C2,($I2-#REF!)/365,$G2,$H2,$D2)-BSPrice($B2,$J2,$K2,$C2,($I2-#REF!)/365,$G2,$H2,$D2))*$F2</f>
        <v>#NAME?</v>
      </c>
      <c r="AQ2" s="54" t="e">
        <f>(BSPrice($B2,$J2+0.1,$K2,$C2,($I2-#REF!)/365,$G2,$H2,$D2)-BSPrice($B2,$J2,$K2,$C2,($I2-#REF!)/365,$G2,$H2,$D2))*$F2</f>
        <v>#NAME?</v>
      </c>
    </row>
    <row r="3" spans="1:43">
      <c r="A3" s="67" t="s">
        <v>52</v>
      </c>
      <c r="B3" s="44">
        <f>VLOOKUP(A3,PriceData!$K$4:$L$6,2,FALSE)</f>
        <v>1100</v>
      </c>
      <c r="C3" s="45">
        <f>VLOOKUP(A3,PriceData!$K$4:$M$6,3,FALSE)</f>
        <v>0.02</v>
      </c>
      <c r="D3" s="44" t="s">
        <v>56</v>
      </c>
      <c r="E3" s="44" t="s">
        <v>54</v>
      </c>
      <c r="F3" s="44">
        <v>200</v>
      </c>
      <c r="G3" s="44">
        <v>935</v>
      </c>
      <c r="H3" s="44" t="s">
        <v>57</v>
      </c>
      <c r="I3" s="68">
        <v>40256</v>
      </c>
      <c r="J3" s="45">
        <f>FindImpliedVol(A3,D3,G3,I3)</f>
        <v>0.532308083497779</v>
      </c>
      <c r="K3" s="69">
        <f>VLOOKUP(I3,PriceData!$A$5:$D$7,MATCH($E3,PriceData!$A$4:$D$4,0),FALSE)</f>
        <v>0.011</v>
      </c>
      <c r="L3" s="52" t="e">
        <f>BSPrice($B3,$J3,$K3,$C3,($I3-#REF!)/365,$G3,$H3,$D3)</f>
        <v>#NAME?</v>
      </c>
      <c r="M3" s="52" t="e">
        <f t="shared" ref="M3:M65" si="0">F3*L3</f>
        <v>#NAME?</v>
      </c>
      <c r="N3" s="44" t="s">
        <v>55</v>
      </c>
      <c r="O3" s="44"/>
      <c r="P3" s="49" t="e">
        <f>BSDelta(B3,J3,K3,C3,(I3-#REF!)/365,G3,H3,D3)</f>
        <v>#NAME?</v>
      </c>
      <c r="Q3" s="49" t="e">
        <f>BSGamma(B3,J3,K3,C3,(I3-#REF!)/365,G3,D3)</f>
        <v>#NAME?</v>
      </c>
      <c r="R3" s="51" t="e">
        <f>BSVega(B3,J3,K3,C3,(I3-#REF!)/365,G3,D3)</f>
        <v>#NAME?</v>
      </c>
      <c r="S3" s="51" t="e">
        <f>BSVolga(B3,J3,K3,C3,(I3-#REF!)/365,G3,D3)</f>
        <v>#NAME?</v>
      </c>
      <c r="T3" s="51" t="e">
        <f>BSTheta(B3,J3,K3,C3,(I3-#REF!)/365,G3,H3,D3)</f>
        <v>#NAME?</v>
      </c>
      <c r="U3" s="52" t="e">
        <f>BSRho(B3,J3,K3,C3,(I3-#REF!)/365,G3,H3,D3)</f>
        <v>#NAME?</v>
      </c>
      <c r="V3" s="70" t="e">
        <f t="shared" ref="V3:V66" si="1">$F3*$P3</f>
        <v>#NAME?</v>
      </c>
      <c r="W3" s="70" t="e">
        <f t="shared" ref="W3:W66" si="2">$F3*$Q3</f>
        <v>#NAME?</v>
      </c>
      <c r="X3" s="54" t="e">
        <f t="shared" ref="X3:X65" si="3">$F3*R3</f>
        <v>#NAME?</v>
      </c>
      <c r="Y3" s="54" t="e">
        <f t="shared" ref="Y3:Y66" si="4">$F3*S3</f>
        <v>#NAME?</v>
      </c>
      <c r="Z3" s="54" t="e">
        <f t="shared" ref="Z3:Z65" si="5">$F3*T3</f>
        <v>#NAME?</v>
      </c>
      <c r="AA3" s="54" t="e">
        <f t="shared" ref="AA3:AA65" si="6">$F3*U3</f>
        <v>#NAME?</v>
      </c>
      <c r="AB3" s="54" t="e">
        <f>(BSPrice($B3*0.8,$J3,$K3,$C3,($I3-#REF!)/365,$G3,$H3,$D3)-BSPrice($B3,$J3,$K3,$C3,($I3-#REF!)/365,$G3,$H3,$D3))*$F3</f>
        <v>#NAME?</v>
      </c>
      <c r="AC3" s="54" t="e">
        <f>(BSPrice($B3*0.9,$J3,$K3,$C3,($I3-#REF!)/365,$G3,$H3,$D3)-BSPrice($B3,$J3,$K3,$C3,($I3-#REF!)/365,$G3,$H3,$D3))*$F3</f>
        <v>#NAME?</v>
      </c>
      <c r="AD3" s="54" t="e">
        <f>(BSPrice($B3*0.95,$J3,$K3,$C3,($I3-#REF!)/365,$G3,$H3,$D3)-BSPrice($B3,$J3,$K3,$C3,($I3-#REF!)/365,$G3,$H3,$D3))*$F3</f>
        <v>#NAME?</v>
      </c>
      <c r="AE3" s="54" t="e">
        <f>(BSPrice($B3*0.98,$J3,$K3,$C3,($I3-#REF!)/365,$G3,$H3,$D3)-BSPrice($B3,$J3,$K3,$C3,($I3-#REF!)/365,$G3,$H3,$D3))*$F3</f>
        <v>#NAME?</v>
      </c>
      <c r="AF3" s="54" t="e">
        <f>(BSPrice($B3*1.02,$J3,$K3,$C3,($I3-#REF!)/365,$G3,$H3,$D3)-BSPrice($B3,$J3,$K3,$C3,($I3-#REF!)/365,$G3,$H3,$D3))*$F3</f>
        <v>#NAME?</v>
      </c>
      <c r="AG3" s="54" t="e">
        <f>(BSPrice($B3*1.05,$J3,$K3,$C3,($I3-#REF!)/365,$G3,$H3,$D3)-BSPrice($B3,$J3,$K3,$C3,($I3-#REF!)/365,$G3,$H3,$D3))*$F3</f>
        <v>#NAME?</v>
      </c>
      <c r="AH3" s="54" t="e">
        <f>(BSPrice($B3*1.1,$J3,$K3,$C3,($I3-#REF!)/365,$G3,$H3,$D3)-BSPrice($B3,$J3,$K3,$C3,($I3-#REF!)/365,$G3,$H3,$D3))*$F3</f>
        <v>#NAME?</v>
      </c>
      <c r="AI3" s="54" t="e">
        <f>(BSPrice($B3*1.2,$J3,$K3,$C3,($I3-#REF!)/365,$G3,$H3,$D3)-BSPrice($B3,$J3,$K3,$C3,($I3-#REF!)/365,$G3,$H3,$D3))*$F3</f>
        <v>#NAME?</v>
      </c>
      <c r="AJ3" s="54" t="e">
        <f>(BSPrice($B3,$J3-0.1,$K3,$C3,($I3-#REF!)/365,$G3,$H3,$D3)-BSPrice($B3,$J3,$K3,$C3,($I3-#REF!)/365,$G3,$H3,$D3))*$F3</f>
        <v>#NAME?</v>
      </c>
      <c r="AK3" s="54" t="e">
        <f>(BSPrice($B3,$J3-0.05,$K3,$C3,($I3-#REF!)/365,$G3,$H3,$D3)-BSPrice($B3,$J3,$K3,$C3,($I3-#REF!)/365,$G3,$H3,$D3))*$F3</f>
        <v>#NAME?</v>
      </c>
      <c r="AL3" s="54" t="e">
        <f>(BSPrice($B3,$J3-0.02,$K3,$C3,($I3-#REF!)/365,$G3,$H3,$D3)-BSPrice($B3,$J3,$K3,$C3,($I3-#REF!)/365,$G3,$H3,$D3))*$F3</f>
        <v>#NAME?</v>
      </c>
      <c r="AM3" s="54" t="e">
        <f>(BSPrice($B3,$J3-0.01,$K3,$C3,($I3-#REF!)/365,$G3,$H3,$D3)-BSPrice($B3,$J3,$K3,$C3,($I3-#REF!)/365,$G3,$H3,$D3))*$F3</f>
        <v>#NAME?</v>
      </c>
      <c r="AN3" s="54" t="e">
        <f>(BSPrice($B3,$J3+0.01,$K3,$C3,($I3-#REF!)/365,$G3,$H3,$D3)-BSPrice($B3,$J3,$K3,$C3,($I3-#REF!)/365,$G3,$H3,$D3))*$F3</f>
        <v>#NAME?</v>
      </c>
      <c r="AO3" s="54" t="e">
        <f>(BSPrice($B3,$J3+0.02,$K3,$C3,($I3-#REF!)/365,$G3,$H3,$D3)-BSPrice($B3,$J3,$K3,$C3,($I3-#REF!)/365,$G3,$H3,$D3))*$F3</f>
        <v>#NAME?</v>
      </c>
      <c r="AP3" s="54" t="e">
        <f>(BSPrice($B3,$J3+0.05,$K3,$C3,($I3-#REF!)/365,$G3,$H3,$D3)-BSPrice($B3,$J3,$K3,$C3,($I3-#REF!)/365,$G3,$H3,$D3))*$F3</f>
        <v>#NAME?</v>
      </c>
      <c r="AQ3" s="54" t="e">
        <f>(BSPrice($B3,$J3+0.1,$K3,$C3,($I3-#REF!)/365,$G3,$H3,$D3)-BSPrice($B3,$J3,$K3,$C3,($I3-#REF!)/365,$G3,$H3,$D3))*$F3</f>
        <v>#NAME?</v>
      </c>
    </row>
    <row r="4" spans="1:43">
      <c r="A4" s="67" t="s">
        <v>52</v>
      </c>
      <c r="B4" s="44">
        <f>VLOOKUP(A4,PriceData!$K$4:$L$6,2,FALSE)</f>
        <v>1100</v>
      </c>
      <c r="C4" s="45">
        <f>VLOOKUP(A4,PriceData!$K$4:$M$6,3,FALSE)</f>
        <v>0.02</v>
      </c>
      <c r="D4" s="44" t="s">
        <v>56</v>
      </c>
      <c r="E4" s="44" t="s">
        <v>54</v>
      </c>
      <c r="F4" s="44">
        <v>-50</v>
      </c>
      <c r="G4" s="44">
        <v>1001</v>
      </c>
      <c r="H4" s="44" t="s">
        <v>57</v>
      </c>
      <c r="I4" s="68">
        <v>40256</v>
      </c>
      <c r="J4" s="45">
        <f>FindImpliedVol(A4,D4,G4,I4)</f>
        <v>0.470612121476085</v>
      </c>
      <c r="K4" s="69">
        <f>VLOOKUP(I4,PriceData!$A$5:$D$7,MATCH($E4,PriceData!$A$4:$D$4,0),FALSE)</f>
        <v>0.011</v>
      </c>
      <c r="L4" s="52" t="e">
        <f>BSPrice($B4,$J4,$K4,$C4,($I4-#REF!)/365,$G4,$H4,$D4)</f>
        <v>#NAME?</v>
      </c>
      <c r="M4" s="52" t="e">
        <f t="shared" si="0"/>
        <v>#NAME?</v>
      </c>
      <c r="N4" s="44" t="s">
        <v>55</v>
      </c>
      <c r="P4" s="49" t="e">
        <f>BSDelta(B4,J4,K4,C4,(I4-#REF!)/365,G4,H4,D4)</f>
        <v>#NAME?</v>
      </c>
      <c r="Q4" s="49" t="e">
        <f>BSGamma(B4,J4,K4,C4,(I4-#REF!)/365,G4,D4)</f>
        <v>#NAME?</v>
      </c>
      <c r="R4" s="51" t="e">
        <f>BSVega(B4,J4,K4,C4,(I4-#REF!)/365,G4,D4)</f>
        <v>#NAME?</v>
      </c>
      <c r="S4" s="51" t="e">
        <f>BSVolga(B4,J4,K4,C4,(I4-#REF!)/365,G4,D4)</f>
        <v>#NAME?</v>
      </c>
      <c r="T4" s="51" t="e">
        <f>BSTheta(B4,J4,K4,C4,(I4-#REF!)/365,G4,H4,D4)</f>
        <v>#NAME?</v>
      </c>
      <c r="U4" s="52" t="e">
        <f>BSRho(B4,J4,K4,C4,(I4-#REF!)/365,G4,H4,D4)</f>
        <v>#NAME?</v>
      </c>
      <c r="V4" s="70" t="e">
        <f t="shared" si="1"/>
        <v>#NAME?</v>
      </c>
      <c r="W4" s="70" t="e">
        <f t="shared" si="2"/>
        <v>#NAME?</v>
      </c>
      <c r="X4" s="54" t="e">
        <f t="shared" si="3"/>
        <v>#NAME?</v>
      </c>
      <c r="Y4" s="54" t="e">
        <f t="shared" si="4"/>
        <v>#NAME?</v>
      </c>
      <c r="Z4" s="54" t="e">
        <f t="shared" si="5"/>
        <v>#NAME?</v>
      </c>
      <c r="AA4" s="54" t="e">
        <f t="shared" si="6"/>
        <v>#NAME?</v>
      </c>
      <c r="AB4" s="54" t="e">
        <f>(BSPrice($B4*0.8,$J4,$K4,$C4,($I4-#REF!)/365,$G4,$H4,$D4)-BSPrice($B4,$J4,$K4,$C4,($I4-#REF!)/365,$G4,$H4,$D4))*$F4</f>
        <v>#NAME?</v>
      </c>
      <c r="AC4" s="54" t="e">
        <f>(BSPrice($B4*0.9,$J4,$K4,$C4,($I4-#REF!)/365,$G4,$H4,$D4)-BSPrice($B4,$J4,$K4,$C4,($I4-#REF!)/365,$G4,$H4,$D4))*$F4</f>
        <v>#NAME?</v>
      </c>
      <c r="AD4" s="54" t="e">
        <f>(BSPrice($B4*0.95,$J4,$K4,$C4,($I4-#REF!)/365,$G4,$H4,$D4)-BSPrice($B4,$J4,$K4,$C4,($I4-#REF!)/365,$G4,$H4,$D4))*$F4</f>
        <v>#NAME?</v>
      </c>
      <c r="AE4" s="54" t="e">
        <f>(BSPrice($B4*0.98,$J4,$K4,$C4,($I4-#REF!)/365,$G4,$H4,$D4)-BSPrice($B4,$J4,$K4,$C4,($I4-#REF!)/365,$G4,$H4,$D4))*$F4</f>
        <v>#NAME?</v>
      </c>
      <c r="AF4" s="54" t="e">
        <f>(BSPrice($B4*1.02,$J4,$K4,$C4,($I4-#REF!)/365,$G4,$H4,$D4)-BSPrice($B4,$J4,$K4,$C4,($I4-#REF!)/365,$G4,$H4,$D4))*$F4</f>
        <v>#NAME?</v>
      </c>
      <c r="AG4" s="54" t="e">
        <f>(BSPrice($B4*1.05,$J4,$K4,$C4,($I4-#REF!)/365,$G4,$H4,$D4)-BSPrice($B4,$J4,$K4,$C4,($I4-#REF!)/365,$G4,$H4,$D4))*$F4</f>
        <v>#NAME?</v>
      </c>
      <c r="AH4" s="54" t="e">
        <f>(BSPrice($B4*1.1,$J4,$K4,$C4,($I4-#REF!)/365,$G4,$H4,$D4)-BSPrice($B4,$J4,$K4,$C4,($I4-#REF!)/365,$G4,$H4,$D4))*$F4</f>
        <v>#NAME?</v>
      </c>
      <c r="AI4" s="54" t="e">
        <f>(BSPrice($B4*1.2,$J4,$K4,$C4,($I4-#REF!)/365,$G4,$H4,$D4)-BSPrice($B4,$J4,$K4,$C4,($I4-#REF!)/365,$G4,$H4,$D4))*$F4</f>
        <v>#NAME?</v>
      </c>
      <c r="AJ4" s="54" t="e">
        <f>(BSPrice($B4,$J4-0.1,$K4,$C4,($I4-#REF!)/365,$G4,$H4,$D4)-BSPrice($B4,$J4,$K4,$C4,($I4-#REF!)/365,$G4,$H4,$D4))*$F4</f>
        <v>#NAME?</v>
      </c>
      <c r="AK4" s="54" t="e">
        <f>(BSPrice($B4,$J4-0.05,$K4,$C4,($I4-#REF!)/365,$G4,$H4,$D4)-BSPrice($B4,$J4,$K4,$C4,($I4-#REF!)/365,$G4,$H4,$D4))*$F4</f>
        <v>#NAME?</v>
      </c>
      <c r="AL4" s="54" t="e">
        <f>(BSPrice($B4,$J4-0.02,$K4,$C4,($I4-#REF!)/365,$G4,$H4,$D4)-BSPrice($B4,$J4,$K4,$C4,($I4-#REF!)/365,$G4,$H4,$D4))*$F4</f>
        <v>#NAME?</v>
      </c>
      <c r="AM4" s="54" t="e">
        <f>(BSPrice($B4,$J4-0.01,$K4,$C4,($I4-#REF!)/365,$G4,$H4,$D4)-BSPrice($B4,$J4,$K4,$C4,($I4-#REF!)/365,$G4,$H4,$D4))*$F4</f>
        <v>#NAME?</v>
      </c>
      <c r="AN4" s="54" t="e">
        <f>(BSPrice($B4,$J4+0.01,$K4,$C4,($I4-#REF!)/365,$G4,$H4,$D4)-BSPrice($B4,$J4,$K4,$C4,($I4-#REF!)/365,$G4,$H4,$D4))*$F4</f>
        <v>#NAME?</v>
      </c>
      <c r="AO4" s="54" t="e">
        <f>(BSPrice($B4,$J4+0.02,$K4,$C4,($I4-#REF!)/365,$G4,$H4,$D4)-BSPrice($B4,$J4,$K4,$C4,($I4-#REF!)/365,$G4,$H4,$D4))*$F4</f>
        <v>#NAME?</v>
      </c>
      <c r="AP4" s="54" t="e">
        <f>(BSPrice($B4,$J4+0.05,$K4,$C4,($I4-#REF!)/365,$G4,$H4,$D4)-BSPrice($B4,$J4,$K4,$C4,($I4-#REF!)/365,$G4,$H4,$D4))*$F4</f>
        <v>#NAME?</v>
      </c>
      <c r="AQ4" s="54" t="e">
        <f>(BSPrice($B4,$J4+0.1,$K4,$C4,($I4-#REF!)/365,$G4,$H4,$D4)-BSPrice($B4,$J4,$K4,$C4,($I4-#REF!)/365,$G4,$H4,$D4))*$F4</f>
        <v>#NAME?</v>
      </c>
    </row>
    <row r="5" spans="1:43">
      <c r="A5" s="67" t="s">
        <v>52</v>
      </c>
      <c r="B5" s="44">
        <f>VLOOKUP(A5,PriceData!$K$4:$L$6,2,FALSE)</f>
        <v>1100</v>
      </c>
      <c r="C5" s="45">
        <f>VLOOKUP(A5,PriceData!$K$4:$M$6,3,FALSE)</f>
        <v>0.02</v>
      </c>
      <c r="D5" s="44" t="s">
        <v>56</v>
      </c>
      <c r="E5" s="44" t="s">
        <v>54</v>
      </c>
      <c r="F5" s="44">
        <v>25</v>
      </c>
      <c r="G5" s="44">
        <v>1100</v>
      </c>
      <c r="H5" s="44" t="s">
        <v>57</v>
      </c>
      <c r="I5" s="68">
        <v>40256</v>
      </c>
      <c r="J5" s="45">
        <f>FindImpliedVol(A5,D5,G5,I5)</f>
        <v>0.409095866964616</v>
      </c>
      <c r="K5" s="69">
        <f>VLOOKUP(I5,PriceData!$A$5:$D$7,MATCH($E5,PriceData!$A$4:$D$4,0),FALSE)</f>
        <v>0.011</v>
      </c>
      <c r="L5" s="52" t="e">
        <f>BSPrice($B5,$J5,$K5,$C5,($I5-#REF!)/365,$G5,$H5,$D5)</f>
        <v>#NAME?</v>
      </c>
      <c r="M5" s="52" t="e">
        <f t="shared" si="0"/>
        <v>#NAME?</v>
      </c>
      <c r="N5" s="44" t="s">
        <v>58</v>
      </c>
      <c r="P5" s="49" t="e">
        <f>BSDelta(B5,J5,K5,C5,(I5-#REF!)/365,G5,H5,D5)</f>
        <v>#NAME?</v>
      </c>
      <c r="Q5" s="49" t="e">
        <f>BSGamma(B5,J5,K5,C5,(I5-#REF!)/365,G5,D5)</f>
        <v>#NAME?</v>
      </c>
      <c r="R5" s="51" t="e">
        <f>BSVega(B5,J5,K5,C5,(I5-#REF!)/365,G5,D5)</f>
        <v>#NAME?</v>
      </c>
      <c r="S5" s="51" t="e">
        <f>BSVolga(B5,J5,K5,C5,(I5-#REF!)/365,G5,D5)</f>
        <v>#NAME?</v>
      </c>
      <c r="T5" s="51" t="e">
        <f>BSTheta(B5,J5,K5,C5,(I5-#REF!)/365,G5,H5,D5)</f>
        <v>#NAME?</v>
      </c>
      <c r="U5" s="52" t="e">
        <f>BSRho(B5,J5,K5,C5,(I5-#REF!)/365,G5,H5,D5)</f>
        <v>#NAME?</v>
      </c>
      <c r="V5" s="70" t="e">
        <f t="shared" si="1"/>
        <v>#NAME?</v>
      </c>
      <c r="W5" s="70" t="e">
        <f t="shared" si="2"/>
        <v>#NAME?</v>
      </c>
      <c r="X5" s="54" t="e">
        <f t="shared" si="3"/>
        <v>#NAME?</v>
      </c>
      <c r="Y5" s="54" t="e">
        <f t="shared" si="4"/>
        <v>#NAME?</v>
      </c>
      <c r="Z5" s="54" t="e">
        <f t="shared" si="5"/>
        <v>#NAME?</v>
      </c>
      <c r="AA5" s="54" t="e">
        <f t="shared" si="6"/>
        <v>#NAME?</v>
      </c>
      <c r="AB5" s="54" t="e">
        <f>(BSPrice($B5*0.8,$J5,$K5,$C5,($I5-#REF!)/365,$G5,$H5,$D5)-BSPrice($B5,$J5,$K5,$C5,($I5-#REF!)/365,$G5,$H5,$D5))*$F5</f>
        <v>#NAME?</v>
      </c>
      <c r="AC5" s="54" t="e">
        <f>(BSPrice($B5*0.9,$J5,$K5,$C5,($I5-#REF!)/365,$G5,$H5,$D5)-BSPrice($B5,$J5,$K5,$C5,($I5-#REF!)/365,$G5,$H5,$D5))*$F5</f>
        <v>#NAME?</v>
      </c>
      <c r="AD5" s="54" t="e">
        <f>(BSPrice($B5*0.95,$J5,$K5,$C5,($I5-#REF!)/365,$G5,$H5,$D5)-BSPrice($B5,$J5,$K5,$C5,($I5-#REF!)/365,$G5,$H5,$D5))*$F5</f>
        <v>#NAME?</v>
      </c>
      <c r="AE5" s="54" t="e">
        <f>(BSPrice($B5*0.98,$J5,$K5,$C5,($I5-#REF!)/365,$G5,$H5,$D5)-BSPrice($B5,$J5,$K5,$C5,($I5-#REF!)/365,$G5,$H5,$D5))*$F5</f>
        <v>#NAME?</v>
      </c>
      <c r="AF5" s="54" t="e">
        <f>(BSPrice($B5*1.02,$J5,$K5,$C5,($I5-#REF!)/365,$G5,$H5,$D5)-BSPrice($B5,$J5,$K5,$C5,($I5-#REF!)/365,$G5,$H5,$D5))*$F5</f>
        <v>#NAME?</v>
      </c>
      <c r="AG5" s="54" t="e">
        <f>(BSPrice($B5*1.05,$J5,$K5,$C5,($I5-#REF!)/365,$G5,$H5,$D5)-BSPrice($B5,$J5,$K5,$C5,($I5-#REF!)/365,$G5,$H5,$D5))*$F5</f>
        <v>#NAME?</v>
      </c>
      <c r="AH5" s="54" t="e">
        <f>(BSPrice($B5*1.1,$J5,$K5,$C5,($I5-#REF!)/365,$G5,$H5,$D5)-BSPrice($B5,$J5,$K5,$C5,($I5-#REF!)/365,$G5,$H5,$D5))*$F5</f>
        <v>#NAME?</v>
      </c>
      <c r="AI5" s="54" t="e">
        <f>(BSPrice($B5*1.2,$J5,$K5,$C5,($I5-#REF!)/365,$G5,$H5,$D5)-BSPrice($B5,$J5,$K5,$C5,($I5-#REF!)/365,$G5,$H5,$D5))*$F5</f>
        <v>#NAME?</v>
      </c>
      <c r="AJ5" s="54" t="e">
        <f>(BSPrice($B5,$J5-0.1,$K5,$C5,($I5-#REF!)/365,$G5,$H5,$D5)-BSPrice($B5,$J5,$K5,$C5,($I5-#REF!)/365,$G5,$H5,$D5))*$F5</f>
        <v>#NAME?</v>
      </c>
      <c r="AK5" s="54" t="e">
        <f>(BSPrice($B5,$J5-0.05,$K5,$C5,($I5-#REF!)/365,$G5,$H5,$D5)-BSPrice($B5,$J5,$K5,$C5,($I5-#REF!)/365,$G5,$H5,$D5))*$F5</f>
        <v>#NAME?</v>
      </c>
      <c r="AL5" s="54" t="e">
        <f>(BSPrice($B5,$J5-0.02,$K5,$C5,($I5-#REF!)/365,$G5,$H5,$D5)-BSPrice($B5,$J5,$K5,$C5,($I5-#REF!)/365,$G5,$H5,$D5))*$F5</f>
        <v>#NAME?</v>
      </c>
      <c r="AM5" s="54" t="e">
        <f>(BSPrice($B5,$J5-0.01,$K5,$C5,($I5-#REF!)/365,$G5,$H5,$D5)-BSPrice($B5,$J5,$K5,$C5,($I5-#REF!)/365,$G5,$H5,$D5))*$F5</f>
        <v>#NAME?</v>
      </c>
      <c r="AN5" s="54" t="e">
        <f>(BSPrice($B5,$J5+0.01,$K5,$C5,($I5-#REF!)/365,$G5,$H5,$D5)-BSPrice($B5,$J5,$K5,$C5,($I5-#REF!)/365,$G5,$H5,$D5))*$F5</f>
        <v>#NAME?</v>
      </c>
      <c r="AO5" s="54" t="e">
        <f>(BSPrice($B5,$J5+0.02,$K5,$C5,($I5-#REF!)/365,$G5,$H5,$D5)-BSPrice($B5,$J5,$K5,$C5,($I5-#REF!)/365,$G5,$H5,$D5))*$F5</f>
        <v>#NAME?</v>
      </c>
      <c r="AP5" s="54" t="e">
        <f>(BSPrice($B5,$J5+0.05,$K5,$C5,($I5-#REF!)/365,$G5,$H5,$D5)-BSPrice($B5,$J5,$K5,$C5,($I5-#REF!)/365,$G5,$H5,$D5))*$F5</f>
        <v>#NAME?</v>
      </c>
      <c r="AQ5" s="54" t="e">
        <f>(BSPrice($B5,$J5+0.1,$K5,$C5,($I5-#REF!)/365,$G5,$H5,$D5)-BSPrice($B5,$J5,$K5,$C5,($I5-#REF!)/365,$G5,$H5,$D5))*$F5</f>
        <v>#NAME?</v>
      </c>
    </row>
    <row r="6" spans="1:43">
      <c r="A6" s="67" t="s">
        <v>52</v>
      </c>
      <c r="B6" s="44">
        <f>VLOOKUP(A6,PriceData!$K$4:$L$6,2,FALSE)</f>
        <v>1100</v>
      </c>
      <c r="C6" s="45">
        <f>VLOOKUP(A6,PriceData!$K$4:$M$6,3,FALSE)</f>
        <v>0.02</v>
      </c>
      <c r="D6" s="44" t="s">
        <v>56</v>
      </c>
      <c r="E6" s="44" t="s">
        <v>54</v>
      </c>
      <c r="F6" s="44">
        <v>-25</v>
      </c>
      <c r="G6" s="44">
        <v>1034</v>
      </c>
      <c r="H6" s="44" t="s">
        <v>57</v>
      </c>
      <c r="I6" s="68">
        <v>40256</v>
      </c>
      <c r="J6" s="45">
        <f>FindImpliedVol(A6,D6,G6,I6)</f>
        <v>0.445828417159741</v>
      </c>
      <c r="K6" s="69">
        <f>VLOOKUP(I6,PriceData!$A$5:$D$7,MATCH($E6,PriceData!$A$4:$D$4,0),FALSE)</f>
        <v>0.011</v>
      </c>
      <c r="L6" s="52" t="e">
        <f>BSPrice($B6,$J6,$K6,$C6,($I6-#REF!)/365,$G6,$H6,$D6)</f>
        <v>#NAME?</v>
      </c>
      <c r="M6" s="52" t="e">
        <f t="shared" si="0"/>
        <v>#NAME?</v>
      </c>
      <c r="N6" s="44" t="s">
        <v>55</v>
      </c>
      <c r="P6" s="49" t="e">
        <f>BSDelta(B6,J6,K6,C6,(I6-#REF!)/365,G6,H6,D6)</f>
        <v>#NAME?</v>
      </c>
      <c r="Q6" s="49" t="e">
        <f>BSGamma(B6,J6,K6,C6,(I6-#REF!)/365,G6,D6)</f>
        <v>#NAME?</v>
      </c>
      <c r="R6" s="51" t="e">
        <f>BSVega(B6,J6,K6,C6,(I6-#REF!)/365,G6,D6)</f>
        <v>#NAME?</v>
      </c>
      <c r="S6" s="51" t="e">
        <f>BSVolga(B6,J6,K6,C6,(I6-#REF!)/365,G6,D6)</f>
        <v>#NAME?</v>
      </c>
      <c r="T6" s="51" t="e">
        <f>BSTheta(B6,J6,K6,C6,(I6-#REF!)/365,G6,H6,D6)</f>
        <v>#NAME?</v>
      </c>
      <c r="U6" s="52" t="e">
        <f>BSRho(B6,J6,K6,C6,(I6-#REF!)/365,G6,H6,D6)</f>
        <v>#NAME?</v>
      </c>
      <c r="V6" s="70" t="e">
        <f t="shared" si="1"/>
        <v>#NAME?</v>
      </c>
      <c r="W6" s="70" t="e">
        <f t="shared" si="2"/>
        <v>#NAME?</v>
      </c>
      <c r="X6" s="54" t="e">
        <f t="shared" si="3"/>
        <v>#NAME?</v>
      </c>
      <c r="Y6" s="54" t="e">
        <f t="shared" si="4"/>
        <v>#NAME?</v>
      </c>
      <c r="Z6" s="54" t="e">
        <f t="shared" si="5"/>
        <v>#NAME?</v>
      </c>
      <c r="AA6" s="54" t="e">
        <f t="shared" si="6"/>
        <v>#NAME?</v>
      </c>
      <c r="AB6" s="54" t="e">
        <f>(BSPrice($B6*0.8,$J6,$K6,$C6,($I6-#REF!)/365,$G6,$H6,$D6)-BSPrice($B6,$J6,$K6,$C6,($I6-#REF!)/365,$G6,$H6,$D6))*$F6</f>
        <v>#NAME?</v>
      </c>
      <c r="AC6" s="54" t="e">
        <f>(BSPrice($B6*0.9,$J6,$K6,$C6,($I6-#REF!)/365,$G6,$H6,$D6)-BSPrice($B6,$J6,$K6,$C6,($I6-#REF!)/365,$G6,$H6,$D6))*$F6</f>
        <v>#NAME?</v>
      </c>
      <c r="AD6" s="54" t="e">
        <f>(BSPrice($B6*0.95,$J6,$K6,$C6,($I6-#REF!)/365,$G6,$H6,$D6)-BSPrice($B6,$J6,$K6,$C6,($I6-#REF!)/365,$G6,$H6,$D6))*$F6</f>
        <v>#NAME?</v>
      </c>
      <c r="AE6" s="54" t="e">
        <f>(BSPrice($B6*0.98,$J6,$K6,$C6,($I6-#REF!)/365,$G6,$H6,$D6)-BSPrice($B6,$J6,$K6,$C6,($I6-#REF!)/365,$G6,$H6,$D6))*$F6</f>
        <v>#NAME?</v>
      </c>
      <c r="AF6" s="54" t="e">
        <f>(BSPrice($B6*1.02,$J6,$K6,$C6,($I6-#REF!)/365,$G6,$H6,$D6)-BSPrice($B6,$J6,$K6,$C6,($I6-#REF!)/365,$G6,$H6,$D6))*$F6</f>
        <v>#NAME?</v>
      </c>
      <c r="AG6" s="54" t="e">
        <f>(BSPrice($B6*1.05,$J6,$K6,$C6,($I6-#REF!)/365,$G6,$H6,$D6)-BSPrice($B6,$J6,$K6,$C6,($I6-#REF!)/365,$G6,$H6,$D6))*$F6</f>
        <v>#NAME?</v>
      </c>
      <c r="AH6" s="54" t="e">
        <f>(BSPrice($B6*1.1,$J6,$K6,$C6,($I6-#REF!)/365,$G6,$H6,$D6)-BSPrice($B6,$J6,$K6,$C6,($I6-#REF!)/365,$G6,$H6,$D6))*$F6</f>
        <v>#NAME?</v>
      </c>
      <c r="AI6" s="54" t="e">
        <f>(BSPrice($B6*1.2,$J6,$K6,$C6,($I6-#REF!)/365,$G6,$H6,$D6)-BSPrice($B6,$J6,$K6,$C6,($I6-#REF!)/365,$G6,$H6,$D6))*$F6</f>
        <v>#NAME?</v>
      </c>
      <c r="AJ6" s="54" t="e">
        <f>(BSPrice($B6,$J6-0.1,$K6,$C6,($I6-#REF!)/365,$G6,$H6,$D6)-BSPrice($B6,$J6,$K6,$C6,($I6-#REF!)/365,$G6,$H6,$D6))*$F6</f>
        <v>#NAME?</v>
      </c>
      <c r="AK6" s="54" t="e">
        <f>(BSPrice($B6,$J6-0.05,$K6,$C6,($I6-#REF!)/365,$G6,$H6,$D6)-BSPrice($B6,$J6,$K6,$C6,($I6-#REF!)/365,$G6,$H6,$D6))*$F6</f>
        <v>#NAME?</v>
      </c>
      <c r="AL6" s="54" t="e">
        <f>(BSPrice($B6,$J6-0.02,$K6,$C6,($I6-#REF!)/365,$G6,$H6,$D6)-BSPrice($B6,$J6,$K6,$C6,($I6-#REF!)/365,$G6,$H6,$D6))*$F6</f>
        <v>#NAME?</v>
      </c>
      <c r="AM6" s="54" t="e">
        <f>(BSPrice($B6,$J6-0.01,$K6,$C6,($I6-#REF!)/365,$G6,$H6,$D6)-BSPrice($B6,$J6,$K6,$C6,($I6-#REF!)/365,$G6,$H6,$D6))*$F6</f>
        <v>#NAME?</v>
      </c>
      <c r="AN6" s="54" t="e">
        <f>(BSPrice($B6,$J6+0.01,$K6,$C6,($I6-#REF!)/365,$G6,$H6,$D6)-BSPrice($B6,$J6,$K6,$C6,($I6-#REF!)/365,$G6,$H6,$D6))*$F6</f>
        <v>#NAME?</v>
      </c>
      <c r="AO6" s="54" t="e">
        <f>(BSPrice($B6,$J6+0.02,$K6,$C6,($I6-#REF!)/365,$G6,$H6,$D6)-BSPrice($B6,$J6,$K6,$C6,($I6-#REF!)/365,$G6,$H6,$D6))*$F6</f>
        <v>#NAME?</v>
      </c>
      <c r="AP6" s="54" t="e">
        <f>(BSPrice($B6,$J6+0.05,$K6,$C6,($I6-#REF!)/365,$G6,$H6,$D6)-BSPrice($B6,$J6,$K6,$C6,($I6-#REF!)/365,$G6,$H6,$D6))*$F6</f>
        <v>#NAME?</v>
      </c>
      <c r="AQ6" s="54" t="e">
        <f>(BSPrice($B6,$J6+0.1,$K6,$C6,($I6-#REF!)/365,$G6,$H6,$D6)-BSPrice($B6,$J6,$K6,$C6,($I6-#REF!)/365,$G6,$H6,$D6))*$F6</f>
        <v>#NAME?</v>
      </c>
    </row>
    <row r="7" spans="1:43">
      <c r="A7" s="67" t="s">
        <v>52</v>
      </c>
      <c r="B7" s="44">
        <f>VLOOKUP(A7,PriceData!$K$4:$L$6,2,FALSE)</f>
        <v>1100</v>
      </c>
      <c r="C7" s="45">
        <f>VLOOKUP(A7,PriceData!$K$4:$M$6,3,FALSE)</f>
        <v>0.02</v>
      </c>
      <c r="D7" s="44" t="s">
        <v>56</v>
      </c>
      <c r="E7" s="44" t="s">
        <v>54</v>
      </c>
      <c r="F7" s="44">
        <v>25</v>
      </c>
      <c r="G7" s="44">
        <v>1232</v>
      </c>
      <c r="H7" s="44" t="s">
        <v>59</v>
      </c>
      <c r="I7" s="68">
        <v>40256</v>
      </c>
      <c r="J7" s="45">
        <f>FindImpliedVol(A7,D7,G7,I7)</f>
        <v>0.379345955952052</v>
      </c>
      <c r="K7" s="69">
        <f>VLOOKUP(I7,PriceData!$A$5:$D$7,MATCH($E7,PriceData!$A$4:$D$4,0),FALSE)</f>
        <v>0.011</v>
      </c>
      <c r="L7" s="52" t="e">
        <f>BSPrice($B7,$J7,$K7,$C7,($I7-#REF!)/365,$G7,$H7,$D7)</f>
        <v>#NAME?</v>
      </c>
      <c r="M7" s="52" t="e">
        <f t="shared" si="0"/>
        <v>#NAME?</v>
      </c>
      <c r="N7" s="44" t="s">
        <v>55</v>
      </c>
      <c r="P7" s="49" t="e">
        <f>BSDelta(B7,J7,K7,C7,(I7-#REF!)/365,G7,H7,D7)</f>
        <v>#NAME?</v>
      </c>
      <c r="Q7" s="49" t="e">
        <f>BSGamma(B7,J7,K7,C7,(I7-#REF!)/365,G7,D7)</f>
        <v>#NAME?</v>
      </c>
      <c r="R7" s="51" t="e">
        <f>BSVega(B7,J7,K7,C7,(I7-#REF!)/365,G7,D7)</f>
        <v>#NAME?</v>
      </c>
      <c r="S7" s="51" t="e">
        <f>BSVolga(B7,J7,K7,C7,(I7-#REF!)/365,G7,D7)</f>
        <v>#NAME?</v>
      </c>
      <c r="T7" s="51" t="e">
        <f>BSTheta(B7,J7,K7,C7,(I7-#REF!)/365,G7,H7,D7)</f>
        <v>#NAME?</v>
      </c>
      <c r="U7" s="52" t="e">
        <f>BSRho(B7,J7,K7,C7,(I7-#REF!)/365,G7,H7,D7)</f>
        <v>#NAME?</v>
      </c>
      <c r="V7" s="70" t="e">
        <f t="shared" si="1"/>
        <v>#NAME?</v>
      </c>
      <c r="W7" s="70" t="e">
        <f t="shared" si="2"/>
        <v>#NAME?</v>
      </c>
      <c r="X7" s="54" t="e">
        <f t="shared" si="3"/>
        <v>#NAME?</v>
      </c>
      <c r="Y7" s="54" t="e">
        <f t="shared" si="4"/>
        <v>#NAME?</v>
      </c>
      <c r="Z7" s="54" t="e">
        <f t="shared" si="5"/>
        <v>#NAME?</v>
      </c>
      <c r="AA7" s="54" t="e">
        <f t="shared" si="6"/>
        <v>#NAME?</v>
      </c>
      <c r="AB7" s="54" t="e">
        <f>(BSPrice($B7*0.8,$J7,$K7,$C7,($I7-#REF!)/365,$G7,$H7,$D7)-BSPrice($B7,$J7,$K7,$C7,($I7-#REF!)/365,$G7,$H7,$D7))*$F7</f>
        <v>#NAME?</v>
      </c>
      <c r="AC7" s="54" t="e">
        <f>(BSPrice($B7*0.9,$J7,$K7,$C7,($I7-#REF!)/365,$G7,$H7,$D7)-BSPrice($B7,$J7,$K7,$C7,($I7-#REF!)/365,$G7,$H7,$D7))*$F7</f>
        <v>#NAME?</v>
      </c>
      <c r="AD7" s="54" t="e">
        <f>(BSPrice($B7*0.95,$J7,$K7,$C7,($I7-#REF!)/365,$G7,$H7,$D7)-BSPrice($B7,$J7,$K7,$C7,($I7-#REF!)/365,$G7,$H7,$D7))*$F7</f>
        <v>#NAME?</v>
      </c>
      <c r="AE7" s="54" t="e">
        <f>(BSPrice($B7*0.98,$J7,$K7,$C7,($I7-#REF!)/365,$G7,$H7,$D7)-BSPrice($B7,$J7,$K7,$C7,($I7-#REF!)/365,$G7,$H7,$D7))*$F7</f>
        <v>#NAME?</v>
      </c>
      <c r="AF7" s="54" t="e">
        <f>(BSPrice($B7*1.02,$J7,$K7,$C7,($I7-#REF!)/365,$G7,$H7,$D7)-BSPrice($B7,$J7,$K7,$C7,($I7-#REF!)/365,$G7,$H7,$D7))*$F7</f>
        <v>#NAME?</v>
      </c>
      <c r="AG7" s="54" t="e">
        <f>(BSPrice($B7*1.05,$J7,$K7,$C7,($I7-#REF!)/365,$G7,$H7,$D7)-BSPrice($B7,$J7,$K7,$C7,($I7-#REF!)/365,$G7,$H7,$D7))*$F7</f>
        <v>#NAME?</v>
      </c>
      <c r="AH7" s="54" t="e">
        <f>(BSPrice($B7*1.1,$J7,$K7,$C7,($I7-#REF!)/365,$G7,$H7,$D7)-BSPrice($B7,$J7,$K7,$C7,($I7-#REF!)/365,$G7,$H7,$D7))*$F7</f>
        <v>#NAME?</v>
      </c>
      <c r="AI7" s="54" t="e">
        <f>(BSPrice($B7*1.2,$J7,$K7,$C7,($I7-#REF!)/365,$G7,$H7,$D7)-BSPrice($B7,$J7,$K7,$C7,($I7-#REF!)/365,$G7,$H7,$D7))*$F7</f>
        <v>#NAME?</v>
      </c>
      <c r="AJ7" s="54" t="e">
        <f>(BSPrice($B7,$J7-0.1,$K7,$C7,($I7-#REF!)/365,$G7,$H7,$D7)-BSPrice($B7,$J7,$K7,$C7,($I7-#REF!)/365,$G7,$H7,$D7))*$F7</f>
        <v>#NAME?</v>
      </c>
      <c r="AK7" s="54" t="e">
        <f>(BSPrice($B7,$J7-0.05,$K7,$C7,($I7-#REF!)/365,$G7,$H7,$D7)-BSPrice($B7,$J7,$K7,$C7,($I7-#REF!)/365,$G7,$H7,$D7))*$F7</f>
        <v>#NAME?</v>
      </c>
      <c r="AL7" s="54" t="e">
        <f>(BSPrice($B7,$J7-0.02,$K7,$C7,($I7-#REF!)/365,$G7,$H7,$D7)-BSPrice($B7,$J7,$K7,$C7,($I7-#REF!)/365,$G7,$H7,$D7))*$F7</f>
        <v>#NAME?</v>
      </c>
      <c r="AM7" s="54" t="e">
        <f>(BSPrice($B7,$J7-0.01,$K7,$C7,($I7-#REF!)/365,$G7,$H7,$D7)-BSPrice($B7,$J7,$K7,$C7,($I7-#REF!)/365,$G7,$H7,$D7))*$F7</f>
        <v>#NAME?</v>
      </c>
      <c r="AN7" s="54" t="e">
        <f>(BSPrice($B7,$J7+0.01,$K7,$C7,($I7-#REF!)/365,$G7,$H7,$D7)-BSPrice($B7,$J7,$K7,$C7,($I7-#REF!)/365,$G7,$H7,$D7))*$F7</f>
        <v>#NAME?</v>
      </c>
      <c r="AO7" s="54" t="e">
        <f>(BSPrice($B7,$J7+0.02,$K7,$C7,($I7-#REF!)/365,$G7,$H7,$D7)-BSPrice($B7,$J7,$K7,$C7,($I7-#REF!)/365,$G7,$H7,$D7))*$F7</f>
        <v>#NAME?</v>
      </c>
      <c r="AP7" s="54" t="e">
        <f>(BSPrice($B7,$J7+0.05,$K7,$C7,($I7-#REF!)/365,$G7,$H7,$D7)-BSPrice($B7,$J7,$K7,$C7,($I7-#REF!)/365,$G7,$H7,$D7))*$F7</f>
        <v>#NAME?</v>
      </c>
      <c r="AQ7" s="54" t="e">
        <f>(BSPrice($B7,$J7+0.1,$K7,$C7,($I7-#REF!)/365,$G7,$H7,$D7)-BSPrice($B7,$J7,$K7,$C7,($I7-#REF!)/365,$G7,$H7,$D7))*$F7</f>
        <v>#NAME?</v>
      </c>
    </row>
    <row r="8" spans="1:43">
      <c r="A8" s="67" t="s">
        <v>52</v>
      </c>
      <c r="B8" s="44">
        <f>VLOOKUP(A8,PriceData!$K$4:$L$6,2,FALSE)</f>
        <v>1100</v>
      </c>
      <c r="C8" s="45">
        <f>VLOOKUP(A8,PriceData!$K$4:$M$6,3,FALSE)</f>
        <v>0.02</v>
      </c>
      <c r="D8" s="44" t="s">
        <v>56</v>
      </c>
      <c r="E8" s="44" t="s">
        <v>54</v>
      </c>
      <c r="F8" s="44">
        <v>25</v>
      </c>
      <c r="G8" s="44">
        <v>1100</v>
      </c>
      <c r="H8" s="44" t="s">
        <v>59</v>
      </c>
      <c r="I8" s="68">
        <v>40256</v>
      </c>
      <c r="J8" s="45">
        <f>FindImpliedVol(A8,D8,G8,I8)</f>
        <v>0.409095866964616</v>
      </c>
      <c r="K8" s="69">
        <f>VLOOKUP(I8,PriceData!$A$5:$D$7,MATCH($E8,PriceData!$A$4:$D$4,0),FALSE)</f>
        <v>0.011</v>
      </c>
      <c r="L8" s="52" t="e">
        <f>BSPrice($B8,$J8,$K8,$C8,($I8-#REF!)/365,$G8,$H8,$D8)</f>
        <v>#NAME?</v>
      </c>
      <c r="M8" s="52" t="e">
        <f t="shared" si="0"/>
        <v>#NAME?</v>
      </c>
      <c r="N8" s="44" t="s">
        <v>55</v>
      </c>
      <c r="P8" s="49" t="e">
        <f>BSDelta(B8,J8,K8,C8,(I8-#REF!)/365,G8,H8,D8)</f>
        <v>#NAME?</v>
      </c>
      <c r="Q8" s="49" t="e">
        <f>BSGamma(B8,J8,K8,C8,(I8-#REF!)/365,G8,D8)</f>
        <v>#NAME?</v>
      </c>
      <c r="R8" s="51" t="e">
        <f>BSVega(B8,J8,K8,C8,(I8-#REF!)/365,G8,D8)</f>
        <v>#NAME?</v>
      </c>
      <c r="S8" s="51" t="e">
        <f>BSVolga(B8,J8,K8,C8,(I8-#REF!)/365,G8,D8)</f>
        <v>#NAME?</v>
      </c>
      <c r="T8" s="51" t="e">
        <f>BSTheta(B8,J8,K8,C8,(I8-#REF!)/365,G8,H8,D8)</f>
        <v>#NAME?</v>
      </c>
      <c r="U8" s="52" t="e">
        <f>BSRho(B8,J8,K8,C8,(I8-#REF!)/365,G8,H8,D8)</f>
        <v>#NAME?</v>
      </c>
      <c r="V8" s="70" t="e">
        <f t="shared" si="1"/>
        <v>#NAME?</v>
      </c>
      <c r="W8" s="70" t="e">
        <f t="shared" si="2"/>
        <v>#NAME?</v>
      </c>
      <c r="X8" s="54" t="e">
        <f t="shared" si="3"/>
        <v>#NAME?</v>
      </c>
      <c r="Y8" s="54" t="e">
        <f t="shared" si="4"/>
        <v>#NAME?</v>
      </c>
      <c r="Z8" s="54" t="e">
        <f t="shared" si="5"/>
        <v>#NAME?</v>
      </c>
      <c r="AA8" s="54" t="e">
        <f t="shared" si="6"/>
        <v>#NAME?</v>
      </c>
      <c r="AB8" s="54" t="e">
        <f>(BSPrice($B8*0.8,$J8,$K8,$C8,($I8-#REF!)/365,$G8,$H8,$D8)-BSPrice($B8,$J8,$K8,$C8,($I8-#REF!)/365,$G8,$H8,$D8))*$F8</f>
        <v>#NAME?</v>
      </c>
      <c r="AC8" s="54" t="e">
        <f>(BSPrice($B8*0.9,$J8,$K8,$C8,($I8-#REF!)/365,$G8,$H8,$D8)-BSPrice($B8,$J8,$K8,$C8,($I8-#REF!)/365,$G8,$H8,$D8))*$F8</f>
        <v>#NAME?</v>
      </c>
      <c r="AD8" s="54" t="e">
        <f>(BSPrice($B8*0.95,$J8,$K8,$C8,($I8-#REF!)/365,$G8,$H8,$D8)-BSPrice($B8,$J8,$K8,$C8,($I8-#REF!)/365,$G8,$H8,$D8))*$F8</f>
        <v>#NAME?</v>
      </c>
      <c r="AE8" s="54" t="e">
        <f>(BSPrice($B8*0.98,$J8,$K8,$C8,($I8-#REF!)/365,$G8,$H8,$D8)-BSPrice($B8,$J8,$K8,$C8,($I8-#REF!)/365,$G8,$H8,$D8))*$F8</f>
        <v>#NAME?</v>
      </c>
      <c r="AF8" s="54" t="e">
        <f>(BSPrice($B8*1.02,$J8,$K8,$C8,($I8-#REF!)/365,$G8,$H8,$D8)-BSPrice($B8,$J8,$K8,$C8,($I8-#REF!)/365,$G8,$H8,$D8))*$F8</f>
        <v>#NAME?</v>
      </c>
      <c r="AG8" s="54" t="e">
        <f>(BSPrice($B8*1.05,$J8,$K8,$C8,($I8-#REF!)/365,$G8,$H8,$D8)-BSPrice($B8,$J8,$K8,$C8,($I8-#REF!)/365,$G8,$H8,$D8))*$F8</f>
        <v>#NAME?</v>
      </c>
      <c r="AH8" s="54" t="e">
        <f>(BSPrice($B8*1.1,$J8,$K8,$C8,($I8-#REF!)/365,$G8,$H8,$D8)-BSPrice($B8,$J8,$K8,$C8,($I8-#REF!)/365,$G8,$H8,$D8))*$F8</f>
        <v>#NAME?</v>
      </c>
      <c r="AI8" s="54" t="e">
        <f>(BSPrice($B8*1.2,$J8,$K8,$C8,($I8-#REF!)/365,$G8,$H8,$D8)-BSPrice($B8,$J8,$K8,$C8,($I8-#REF!)/365,$G8,$H8,$D8))*$F8</f>
        <v>#NAME?</v>
      </c>
      <c r="AJ8" s="54" t="e">
        <f>(BSPrice($B8,$J8-0.1,$K8,$C8,($I8-#REF!)/365,$G8,$H8,$D8)-BSPrice($B8,$J8,$K8,$C8,($I8-#REF!)/365,$G8,$H8,$D8))*$F8</f>
        <v>#NAME?</v>
      </c>
      <c r="AK8" s="54" t="e">
        <f>(BSPrice($B8,$J8-0.05,$K8,$C8,($I8-#REF!)/365,$G8,$H8,$D8)-BSPrice($B8,$J8,$K8,$C8,($I8-#REF!)/365,$G8,$H8,$D8))*$F8</f>
        <v>#NAME?</v>
      </c>
      <c r="AL8" s="54" t="e">
        <f>(BSPrice($B8,$J8-0.02,$K8,$C8,($I8-#REF!)/365,$G8,$H8,$D8)-BSPrice($B8,$J8,$K8,$C8,($I8-#REF!)/365,$G8,$H8,$D8))*$F8</f>
        <v>#NAME?</v>
      </c>
      <c r="AM8" s="54" t="e">
        <f>(BSPrice($B8,$J8-0.01,$K8,$C8,($I8-#REF!)/365,$G8,$H8,$D8)-BSPrice($B8,$J8,$K8,$C8,($I8-#REF!)/365,$G8,$H8,$D8))*$F8</f>
        <v>#NAME?</v>
      </c>
      <c r="AN8" s="54" t="e">
        <f>(BSPrice($B8,$J8+0.01,$K8,$C8,($I8-#REF!)/365,$G8,$H8,$D8)-BSPrice($B8,$J8,$K8,$C8,($I8-#REF!)/365,$G8,$H8,$D8))*$F8</f>
        <v>#NAME?</v>
      </c>
      <c r="AO8" s="54" t="e">
        <f>(BSPrice($B8,$J8+0.02,$K8,$C8,($I8-#REF!)/365,$G8,$H8,$D8)-BSPrice($B8,$J8,$K8,$C8,($I8-#REF!)/365,$G8,$H8,$D8))*$F8</f>
        <v>#NAME?</v>
      </c>
      <c r="AP8" s="54" t="e">
        <f>(BSPrice($B8,$J8+0.05,$K8,$C8,($I8-#REF!)/365,$G8,$H8,$D8)-BSPrice($B8,$J8,$K8,$C8,($I8-#REF!)/365,$G8,$H8,$D8))*$F8</f>
        <v>#NAME?</v>
      </c>
      <c r="AQ8" s="54" t="e">
        <f>(BSPrice($B8,$J8+0.1,$K8,$C8,($I8-#REF!)/365,$G8,$H8,$D8)-BSPrice($B8,$J8,$K8,$C8,($I8-#REF!)/365,$G8,$H8,$D8))*$F8</f>
        <v>#NAME?</v>
      </c>
    </row>
    <row r="9" spans="1:43">
      <c r="A9" s="67" t="s">
        <v>52</v>
      </c>
      <c r="B9" s="44">
        <f>VLOOKUP(A9,PriceData!$K$4:$L$6,2,FALSE)</f>
        <v>1100</v>
      </c>
      <c r="C9" s="45">
        <f>VLOOKUP(A9,PriceData!$K$4:$M$6,3,FALSE)</f>
        <v>0.02</v>
      </c>
      <c r="D9" s="44" t="s">
        <v>56</v>
      </c>
      <c r="E9" s="44" t="s">
        <v>54</v>
      </c>
      <c r="F9" s="44">
        <v>-50</v>
      </c>
      <c r="G9" s="44">
        <v>1034</v>
      </c>
      <c r="H9" s="44" t="s">
        <v>57</v>
      </c>
      <c r="I9" s="68">
        <v>40256</v>
      </c>
      <c r="J9" s="45">
        <f>FindImpliedVol(A9,D9,G9,I9)</f>
        <v>0.445828417159741</v>
      </c>
      <c r="K9" s="69">
        <f>VLOOKUP(I9,PriceData!$A$5:$D$7,MATCH($E9,PriceData!$A$4:$D$4,0),FALSE)</f>
        <v>0.011</v>
      </c>
      <c r="L9" s="52" t="e">
        <f>BSPrice($B9,$J9,$K9,$C9,($I9-#REF!)/365,$G9,$H9,$D9)</f>
        <v>#NAME?</v>
      </c>
      <c r="M9" s="52" t="e">
        <f t="shared" si="0"/>
        <v>#NAME?</v>
      </c>
      <c r="N9" s="44" t="s">
        <v>55</v>
      </c>
      <c r="P9" s="49" t="e">
        <f>BSDelta(B9,J9,K9,C9,(I9-#REF!)/365,G9,H9,D9)</f>
        <v>#NAME?</v>
      </c>
      <c r="Q9" s="49" t="e">
        <f>BSGamma(B9,J9,K9,C9,(I9-#REF!)/365,G9,D9)</f>
        <v>#NAME?</v>
      </c>
      <c r="R9" s="51" t="e">
        <f>BSVega(B9,J9,K9,C9,(I9-#REF!)/365,G9,D9)</f>
        <v>#NAME?</v>
      </c>
      <c r="S9" s="51" t="e">
        <f>BSVolga(B9,J9,K9,C9,(I9-#REF!)/365,G9,D9)</f>
        <v>#NAME?</v>
      </c>
      <c r="T9" s="51" t="e">
        <f>BSTheta(B9,J9,K9,C9,(I9-#REF!)/365,G9,H9,D9)</f>
        <v>#NAME?</v>
      </c>
      <c r="U9" s="52" t="e">
        <f>BSRho(B9,J9,K9,C9,(I9-#REF!)/365,G9,H9,D9)</f>
        <v>#NAME?</v>
      </c>
      <c r="V9" s="70" t="e">
        <f t="shared" si="1"/>
        <v>#NAME?</v>
      </c>
      <c r="W9" s="70" t="e">
        <f t="shared" si="2"/>
        <v>#NAME?</v>
      </c>
      <c r="X9" s="54" t="e">
        <f t="shared" si="3"/>
        <v>#NAME?</v>
      </c>
      <c r="Y9" s="54" t="e">
        <f t="shared" si="4"/>
        <v>#NAME?</v>
      </c>
      <c r="Z9" s="54" t="e">
        <f t="shared" si="5"/>
        <v>#NAME?</v>
      </c>
      <c r="AA9" s="54" t="e">
        <f t="shared" si="6"/>
        <v>#NAME?</v>
      </c>
      <c r="AB9" s="54" t="e">
        <f>(BSPrice($B9*0.8,$J9,$K9,$C9,($I9-#REF!)/365,$G9,$H9,$D9)-BSPrice($B9,$J9,$K9,$C9,($I9-#REF!)/365,$G9,$H9,$D9))*$F9</f>
        <v>#NAME?</v>
      </c>
      <c r="AC9" s="54" t="e">
        <f>(BSPrice($B9*0.9,$J9,$K9,$C9,($I9-#REF!)/365,$G9,$H9,$D9)-BSPrice($B9,$J9,$K9,$C9,($I9-#REF!)/365,$G9,$H9,$D9))*$F9</f>
        <v>#NAME?</v>
      </c>
      <c r="AD9" s="54" t="e">
        <f>(BSPrice($B9*0.95,$J9,$K9,$C9,($I9-#REF!)/365,$G9,$H9,$D9)-BSPrice($B9,$J9,$K9,$C9,($I9-#REF!)/365,$G9,$H9,$D9))*$F9</f>
        <v>#NAME?</v>
      </c>
      <c r="AE9" s="54" t="e">
        <f>(BSPrice($B9*0.98,$J9,$K9,$C9,($I9-#REF!)/365,$G9,$H9,$D9)-BSPrice($B9,$J9,$K9,$C9,($I9-#REF!)/365,$G9,$H9,$D9))*$F9</f>
        <v>#NAME?</v>
      </c>
      <c r="AF9" s="54" t="e">
        <f>(BSPrice($B9*1.02,$J9,$K9,$C9,($I9-#REF!)/365,$G9,$H9,$D9)-BSPrice($B9,$J9,$K9,$C9,($I9-#REF!)/365,$G9,$H9,$D9))*$F9</f>
        <v>#NAME?</v>
      </c>
      <c r="AG9" s="54" t="e">
        <f>(BSPrice($B9*1.05,$J9,$K9,$C9,($I9-#REF!)/365,$G9,$H9,$D9)-BSPrice($B9,$J9,$K9,$C9,($I9-#REF!)/365,$G9,$H9,$D9))*$F9</f>
        <v>#NAME?</v>
      </c>
      <c r="AH9" s="54" t="e">
        <f>(BSPrice($B9*1.1,$J9,$K9,$C9,($I9-#REF!)/365,$G9,$H9,$D9)-BSPrice($B9,$J9,$K9,$C9,($I9-#REF!)/365,$G9,$H9,$D9))*$F9</f>
        <v>#NAME?</v>
      </c>
      <c r="AI9" s="54" t="e">
        <f>(BSPrice($B9*1.2,$J9,$K9,$C9,($I9-#REF!)/365,$G9,$H9,$D9)-BSPrice($B9,$J9,$K9,$C9,($I9-#REF!)/365,$G9,$H9,$D9))*$F9</f>
        <v>#NAME?</v>
      </c>
      <c r="AJ9" s="54" t="e">
        <f>(BSPrice($B9,$J9-0.1,$K9,$C9,($I9-#REF!)/365,$G9,$H9,$D9)-BSPrice($B9,$J9,$K9,$C9,($I9-#REF!)/365,$G9,$H9,$D9))*$F9</f>
        <v>#NAME?</v>
      </c>
      <c r="AK9" s="54" t="e">
        <f>(BSPrice($B9,$J9-0.05,$K9,$C9,($I9-#REF!)/365,$G9,$H9,$D9)-BSPrice($B9,$J9,$K9,$C9,($I9-#REF!)/365,$G9,$H9,$D9))*$F9</f>
        <v>#NAME?</v>
      </c>
      <c r="AL9" s="54" t="e">
        <f>(BSPrice($B9,$J9-0.02,$K9,$C9,($I9-#REF!)/365,$G9,$H9,$D9)-BSPrice($B9,$J9,$K9,$C9,($I9-#REF!)/365,$G9,$H9,$D9))*$F9</f>
        <v>#NAME?</v>
      </c>
      <c r="AM9" s="54" t="e">
        <f>(BSPrice($B9,$J9-0.01,$K9,$C9,($I9-#REF!)/365,$G9,$H9,$D9)-BSPrice($B9,$J9,$K9,$C9,($I9-#REF!)/365,$G9,$H9,$D9))*$F9</f>
        <v>#NAME?</v>
      </c>
      <c r="AN9" s="54" t="e">
        <f>(BSPrice($B9,$J9+0.01,$K9,$C9,($I9-#REF!)/365,$G9,$H9,$D9)-BSPrice($B9,$J9,$K9,$C9,($I9-#REF!)/365,$G9,$H9,$D9))*$F9</f>
        <v>#NAME?</v>
      </c>
      <c r="AO9" s="54" t="e">
        <f>(BSPrice($B9,$J9+0.02,$K9,$C9,($I9-#REF!)/365,$G9,$H9,$D9)-BSPrice($B9,$J9,$K9,$C9,($I9-#REF!)/365,$G9,$H9,$D9))*$F9</f>
        <v>#NAME?</v>
      </c>
      <c r="AP9" s="54" t="e">
        <f>(BSPrice($B9,$J9+0.05,$K9,$C9,($I9-#REF!)/365,$G9,$H9,$D9)-BSPrice($B9,$J9,$K9,$C9,($I9-#REF!)/365,$G9,$H9,$D9))*$F9</f>
        <v>#NAME?</v>
      </c>
      <c r="AQ9" s="54" t="e">
        <f>(BSPrice($B9,$J9+0.1,$K9,$C9,($I9-#REF!)/365,$G9,$H9,$D9)-BSPrice($B9,$J9,$K9,$C9,($I9-#REF!)/365,$G9,$H9,$D9))*$F9</f>
        <v>#NAME?</v>
      </c>
    </row>
    <row r="10" spans="1:43">
      <c r="A10" s="67" t="s">
        <v>52</v>
      </c>
      <c r="B10" s="44">
        <f>VLOOKUP(A10,PriceData!$K$4:$L$6,2,FALSE)</f>
        <v>1100</v>
      </c>
      <c r="C10" s="45">
        <f>VLOOKUP(A10,PriceData!$K$4:$M$6,3,FALSE)</f>
        <v>0.02</v>
      </c>
      <c r="D10" s="44" t="s">
        <v>56</v>
      </c>
      <c r="E10" s="44" t="s">
        <v>54</v>
      </c>
      <c r="F10" s="44">
        <v>-50</v>
      </c>
      <c r="G10" s="44">
        <v>1034</v>
      </c>
      <c r="H10" s="44" t="s">
        <v>57</v>
      </c>
      <c r="I10" s="68">
        <v>40256</v>
      </c>
      <c r="J10" s="45">
        <f>FindImpliedVol(A10,D10,G10,I10)</f>
        <v>0.445828417159741</v>
      </c>
      <c r="K10" s="69">
        <f>VLOOKUP(I10,PriceData!$A$5:$D$7,MATCH($E10,PriceData!$A$4:$D$4,0),FALSE)</f>
        <v>0.011</v>
      </c>
      <c r="L10" s="52" t="e">
        <f>BSPrice($B10,$J10,$K10,$C10,($I10-#REF!)/365,$G10,$H10,$D10)</f>
        <v>#NAME?</v>
      </c>
      <c r="M10" s="52" t="e">
        <f t="shared" si="0"/>
        <v>#NAME?</v>
      </c>
      <c r="N10" s="44" t="s">
        <v>58</v>
      </c>
      <c r="P10" s="49" t="e">
        <f>BSDelta(B10,J10,K10,C10,(I10-#REF!)/365,G10,H10,D10)</f>
        <v>#NAME?</v>
      </c>
      <c r="Q10" s="49" t="e">
        <f>BSGamma(B10,J10,K10,C10,(I10-#REF!)/365,G10,D10)</f>
        <v>#NAME?</v>
      </c>
      <c r="R10" s="51" t="e">
        <f>BSVega(B10,J10,K10,C10,(I10-#REF!)/365,G10,D10)</f>
        <v>#NAME?</v>
      </c>
      <c r="S10" s="51" t="e">
        <f>BSVolga(B10,J10,K10,C10,(I10-#REF!)/365,G10,D10)</f>
        <v>#NAME?</v>
      </c>
      <c r="T10" s="51" t="e">
        <f>BSTheta(B10,J10,K10,C10,(I10-#REF!)/365,G10,H10,D10)</f>
        <v>#NAME?</v>
      </c>
      <c r="U10" s="52" t="e">
        <f>BSRho(B10,J10,K10,C10,(I10-#REF!)/365,G10,H10,D10)</f>
        <v>#NAME?</v>
      </c>
      <c r="V10" s="70" t="e">
        <f t="shared" si="1"/>
        <v>#NAME?</v>
      </c>
      <c r="W10" s="70" t="e">
        <f t="shared" si="2"/>
        <v>#NAME?</v>
      </c>
      <c r="X10" s="54" t="e">
        <f t="shared" si="3"/>
        <v>#NAME?</v>
      </c>
      <c r="Y10" s="54" t="e">
        <f t="shared" si="4"/>
        <v>#NAME?</v>
      </c>
      <c r="Z10" s="54" t="e">
        <f t="shared" si="5"/>
        <v>#NAME?</v>
      </c>
      <c r="AA10" s="54" t="e">
        <f t="shared" si="6"/>
        <v>#NAME?</v>
      </c>
      <c r="AB10" s="54" t="e">
        <f>(BSPrice($B10*0.8,$J10,$K10,$C10,($I10-#REF!)/365,$G10,$H10,$D10)-BSPrice($B10,$J10,$K10,$C10,($I10-#REF!)/365,$G10,$H10,$D10))*$F10</f>
        <v>#NAME?</v>
      </c>
      <c r="AC10" s="54" t="e">
        <f>(BSPrice($B10*0.9,$J10,$K10,$C10,($I10-#REF!)/365,$G10,$H10,$D10)-BSPrice($B10,$J10,$K10,$C10,($I10-#REF!)/365,$G10,$H10,$D10))*$F10</f>
        <v>#NAME?</v>
      </c>
      <c r="AD10" s="54" t="e">
        <f>(BSPrice($B10*0.95,$J10,$K10,$C10,($I10-#REF!)/365,$G10,$H10,$D10)-BSPrice($B10,$J10,$K10,$C10,($I10-#REF!)/365,$G10,$H10,$D10))*$F10</f>
        <v>#NAME?</v>
      </c>
      <c r="AE10" s="54" t="e">
        <f>(BSPrice($B10*0.98,$J10,$K10,$C10,($I10-#REF!)/365,$G10,$H10,$D10)-BSPrice($B10,$J10,$K10,$C10,($I10-#REF!)/365,$G10,$H10,$D10))*$F10</f>
        <v>#NAME?</v>
      </c>
      <c r="AF10" s="54" t="e">
        <f>(BSPrice($B10*1.02,$J10,$K10,$C10,($I10-#REF!)/365,$G10,$H10,$D10)-BSPrice($B10,$J10,$K10,$C10,($I10-#REF!)/365,$G10,$H10,$D10))*$F10</f>
        <v>#NAME?</v>
      </c>
      <c r="AG10" s="54" t="e">
        <f>(BSPrice($B10*1.05,$J10,$K10,$C10,($I10-#REF!)/365,$G10,$H10,$D10)-BSPrice($B10,$J10,$K10,$C10,($I10-#REF!)/365,$G10,$H10,$D10))*$F10</f>
        <v>#NAME?</v>
      </c>
      <c r="AH10" s="54" t="e">
        <f>(BSPrice($B10*1.1,$J10,$K10,$C10,($I10-#REF!)/365,$G10,$H10,$D10)-BSPrice($B10,$J10,$K10,$C10,($I10-#REF!)/365,$G10,$H10,$D10))*$F10</f>
        <v>#NAME?</v>
      </c>
      <c r="AI10" s="54" t="e">
        <f>(BSPrice($B10*1.2,$J10,$K10,$C10,($I10-#REF!)/365,$G10,$H10,$D10)-BSPrice($B10,$J10,$K10,$C10,($I10-#REF!)/365,$G10,$H10,$D10))*$F10</f>
        <v>#NAME?</v>
      </c>
      <c r="AJ10" s="54" t="e">
        <f>(BSPrice($B10,$J10-0.1,$K10,$C10,($I10-#REF!)/365,$G10,$H10,$D10)-BSPrice($B10,$J10,$K10,$C10,($I10-#REF!)/365,$G10,$H10,$D10))*$F10</f>
        <v>#NAME?</v>
      </c>
      <c r="AK10" s="54" t="e">
        <f>(BSPrice($B10,$J10-0.05,$K10,$C10,($I10-#REF!)/365,$G10,$H10,$D10)-BSPrice($B10,$J10,$K10,$C10,($I10-#REF!)/365,$G10,$H10,$D10))*$F10</f>
        <v>#NAME?</v>
      </c>
      <c r="AL10" s="54" t="e">
        <f>(BSPrice($B10,$J10-0.02,$K10,$C10,($I10-#REF!)/365,$G10,$H10,$D10)-BSPrice($B10,$J10,$K10,$C10,($I10-#REF!)/365,$G10,$H10,$D10))*$F10</f>
        <v>#NAME?</v>
      </c>
      <c r="AM10" s="54" t="e">
        <f>(BSPrice($B10,$J10-0.01,$K10,$C10,($I10-#REF!)/365,$G10,$H10,$D10)-BSPrice($B10,$J10,$K10,$C10,($I10-#REF!)/365,$G10,$H10,$D10))*$F10</f>
        <v>#NAME?</v>
      </c>
      <c r="AN10" s="54" t="e">
        <f>(BSPrice($B10,$J10+0.01,$K10,$C10,($I10-#REF!)/365,$G10,$H10,$D10)-BSPrice($B10,$J10,$K10,$C10,($I10-#REF!)/365,$G10,$H10,$D10))*$F10</f>
        <v>#NAME?</v>
      </c>
      <c r="AO10" s="54" t="e">
        <f>(BSPrice($B10,$J10+0.02,$K10,$C10,($I10-#REF!)/365,$G10,$H10,$D10)-BSPrice($B10,$J10,$K10,$C10,($I10-#REF!)/365,$G10,$H10,$D10))*$F10</f>
        <v>#NAME?</v>
      </c>
      <c r="AP10" s="54" t="e">
        <f>(BSPrice($B10,$J10+0.05,$K10,$C10,($I10-#REF!)/365,$G10,$H10,$D10)-BSPrice($B10,$J10,$K10,$C10,($I10-#REF!)/365,$G10,$H10,$D10))*$F10</f>
        <v>#NAME?</v>
      </c>
      <c r="AQ10" s="54" t="e">
        <f>(BSPrice($B10,$J10+0.1,$K10,$C10,($I10-#REF!)/365,$G10,$H10,$D10)-BSPrice($B10,$J10,$K10,$C10,($I10-#REF!)/365,$G10,$H10,$D10))*$F10</f>
        <v>#NAME?</v>
      </c>
    </row>
    <row r="11" spans="1:43">
      <c r="A11" s="67" t="s">
        <v>52</v>
      </c>
      <c r="B11" s="44">
        <f>VLOOKUP(A11,PriceData!$K$4:$L$6,2,FALSE)</f>
        <v>1100</v>
      </c>
      <c r="C11" s="45">
        <f>VLOOKUP(A11,PriceData!$K$4:$M$6,3,FALSE)</f>
        <v>0.02</v>
      </c>
      <c r="D11" s="44" t="s">
        <v>56</v>
      </c>
      <c r="E11" s="44" t="s">
        <v>54</v>
      </c>
      <c r="F11" s="44">
        <v>-50</v>
      </c>
      <c r="G11" s="44">
        <v>1100</v>
      </c>
      <c r="H11" s="44" t="s">
        <v>59</v>
      </c>
      <c r="I11" s="68">
        <v>40256</v>
      </c>
      <c r="J11" s="45">
        <f>FindImpliedVol(A11,D11,G11,I11)</f>
        <v>0.409095866964616</v>
      </c>
      <c r="K11" s="69">
        <f>VLOOKUP(I11,PriceData!$A$5:$D$7,MATCH($E11,PriceData!$A$4:$D$4,0),FALSE)</f>
        <v>0.011</v>
      </c>
      <c r="L11" s="52" t="e">
        <f>BSPrice($B11,$J11,$K11,$C11,($I11-#REF!)/365,$G11,$H11,$D11)</f>
        <v>#NAME?</v>
      </c>
      <c r="M11" s="52" t="e">
        <f t="shared" si="0"/>
        <v>#NAME?</v>
      </c>
      <c r="N11" s="44" t="s">
        <v>58</v>
      </c>
      <c r="P11" s="49" t="e">
        <f>BSDelta(B11,J11,K11,C11,(I11-#REF!)/365,G11,H11,D11)</f>
        <v>#NAME?</v>
      </c>
      <c r="Q11" s="49" t="e">
        <f>BSGamma(B11,J11,K11,C11,(I11-#REF!)/365,G11,D11)</f>
        <v>#NAME?</v>
      </c>
      <c r="R11" s="71" t="e">
        <f>BSVega(B11,J11,K11,C11,(I11-#REF!)/365,G11,D11)</f>
        <v>#NAME?</v>
      </c>
      <c r="S11" s="51" t="e">
        <f>BSVolga(B11,J11,K11,C11,(I11-#REF!)/365,G11,D11)</f>
        <v>#NAME?</v>
      </c>
      <c r="T11" s="51" t="e">
        <f>BSTheta(B11,J11,K11,C11,(I11-#REF!)/365,G11,H11,D11)</f>
        <v>#NAME?</v>
      </c>
      <c r="U11" s="52" t="e">
        <f>BSRho(B11,J11,K11,C11,(I11-#REF!)/365,G11,H11,D11)</f>
        <v>#NAME?</v>
      </c>
      <c r="V11" s="70" t="e">
        <f t="shared" si="1"/>
        <v>#NAME?</v>
      </c>
      <c r="W11" s="70" t="e">
        <f t="shared" si="2"/>
        <v>#NAME?</v>
      </c>
      <c r="X11" s="54" t="e">
        <f t="shared" si="3"/>
        <v>#NAME?</v>
      </c>
      <c r="Y11" s="54" t="e">
        <f t="shared" si="4"/>
        <v>#NAME?</v>
      </c>
      <c r="Z11" s="54" t="e">
        <f t="shared" si="5"/>
        <v>#NAME?</v>
      </c>
      <c r="AA11" s="54" t="e">
        <f t="shared" si="6"/>
        <v>#NAME?</v>
      </c>
      <c r="AB11" s="54" t="e">
        <f>(BSPrice($B11*0.8,$J11,$K11,$C11,($I11-#REF!)/365,$G11,$H11,$D11)-BSPrice($B11,$J11,$K11,$C11,($I11-#REF!)/365,$G11,$H11,$D11))*$F11</f>
        <v>#NAME?</v>
      </c>
      <c r="AC11" s="54" t="e">
        <f>(BSPrice($B11*0.9,$J11,$K11,$C11,($I11-#REF!)/365,$G11,$H11,$D11)-BSPrice($B11,$J11,$K11,$C11,($I11-#REF!)/365,$G11,$H11,$D11))*$F11</f>
        <v>#NAME?</v>
      </c>
      <c r="AD11" s="54" t="e">
        <f>(BSPrice($B11*0.95,$J11,$K11,$C11,($I11-#REF!)/365,$G11,$H11,$D11)-BSPrice($B11,$J11,$K11,$C11,($I11-#REF!)/365,$G11,$H11,$D11))*$F11</f>
        <v>#NAME?</v>
      </c>
      <c r="AE11" s="54" t="e">
        <f>(BSPrice($B11*0.98,$J11,$K11,$C11,($I11-#REF!)/365,$G11,$H11,$D11)-BSPrice($B11,$J11,$K11,$C11,($I11-#REF!)/365,$G11,$H11,$D11))*$F11</f>
        <v>#NAME?</v>
      </c>
      <c r="AF11" s="54" t="e">
        <f>(BSPrice($B11*1.02,$J11,$K11,$C11,($I11-#REF!)/365,$G11,$H11,$D11)-BSPrice($B11,$J11,$K11,$C11,($I11-#REF!)/365,$G11,$H11,$D11))*$F11</f>
        <v>#NAME?</v>
      </c>
      <c r="AG11" s="54" t="e">
        <f>(BSPrice($B11*1.05,$J11,$K11,$C11,($I11-#REF!)/365,$G11,$H11,$D11)-BSPrice($B11,$J11,$K11,$C11,($I11-#REF!)/365,$G11,$H11,$D11))*$F11</f>
        <v>#NAME?</v>
      </c>
      <c r="AH11" s="54" t="e">
        <f>(BSPrice($B11*1.1,$J11,$K11,$C11,($I11-#REF!)/365,$G11,$H11,$D11)-BSPrice($B11,$J11,$K11,$C11,($I11-#REF!)/365,$G11,$H11,$D11))*$F11</f>
        <v>#NAME?</v>
      </c>
      <c r="AI11" s="54" t="e">
        <f>(BSPrice($B11*1.2,$J11,$K11,$C11,($I11-#REF!)/365,$G11,$H11,$D11)-BSPrice($B11,$J11,$K11,$C11,($I11-#REF!)/365,$G11,$H11,$D11))*$F11</f>
        <v>#NAME?</v>
      </c>
      <c r="AJ11" s="54" t="e">
        <f>(BSPrice($B11,$J11-0.1,$K11,$C11,($I11-#REF!)/365,$G11,$H11,$D11)-BSPrice($B11,$J11,$K11,$C11,($I11-#REF!)/365,$G11,$H11,$D11))*$F11</f>
        <v>#NAME?</v>
      </c>
      <c r="AK11" s="54" t="e">
        <f>(BSPrice($B11,$J11-0.05,$K11,$C11,($I11-#REF!)/365,$G11,$H11,$D11)-BSPrice($B11,$J11,$K11,$C11,($I11-#REF!)/365,$G11,$H11,$D11))*$F11</f>
        <v>#NAME?</v>
      </c>
      <c r="AL11" s="54" t="e">
        <f>(BSPrice($B11,$J11-0.02,$K11,$C11,($I11-#REF!)/365,$G11,$H11,$D11)-BSPrice($B11,$J11,$K11,$C11,($I11-#REF!)/365,$G11,$H11,$D11))*$F11</f>
        <v>#NAME?</v>
      </c>
      <c r="AM11" s="54" t="e">
        <f>(BSPrice($B11,$J11-0.01,$K11,$C11,($I11-#REF!)/365,$G11,$H11,$D11)-BSPrice($B11,$J11,$K11,$C11,($I11-#REF!)/365,$G11,$H11,$D11))*$F11</f>
        <v>#NAME?</v>
      </c>
      <c r="AN11" s="54" t="e">
        <f>(BSPrice($B11,$J11+0.01,$K11,$C11,($I11-#REF!)/365,$G11,$H11,$D11)-BSPrice($B11,$J11,$K11,$C11,($I11-#REF!)/365,$G11,$H11,$D11))*$F11</f>
        <v>#NAME?</v>
      </c>
      <c r="AO11" s="54" t="e">
        <f>(BSPrice($B11,$J11+0.02,$K11,$C11,($I11-#REF!)/365,$G11,$H11,$D11)-BSPrice($B11,$J11,$K11,$C11,($I11-#REF!)/365,$G11,$H11,$D11))*$F11</f>
        <v>#NAME?</v>
      </c>
      <c r="AP11" s="54" t="e">
        <f>(BSPrice($B11,$J11+0.05,$K11,$C11,($I11-#REF!)/365,$G11,$H11,$D11)-BSPrice($B11,$J11,$K11,$C11,($I11-#REF!)/365,$G11,$H11,$D11))*$F11</f>
        <v>#NAME?</v>
      </c>
      <c r="AQ11" s="54" t="e">
        <f>(BSPrice($B11,$J11+0.1,$K11,$C11,($I11-#REF!)/365,$G11,$H11,$D11)-BSPrice($B11,$J11,$K11,$C11,($I11-#REF!)/365,$G11,$H11,$D11))*$F11</f>
        <v>#NAME?</v>
      </c>
    </row>
    <row r="12" spans="1:43">
      <c r="A12" s="67" t="s">
        <v>52</v>
      </c>
      <c r="B12" s="44">
        <f>VLOOKUP(A12,PriceData!$K$4:$L$6,2,FALSE)</f>
        <v>1100</v>
      </c>
      <c r="C12" s="45">
        <f>VLOOKUP(A12,PriceData!$K$4:$M$6,3,FALSE)</f>
        <v>0.02</v>
      </c>
      <c r="D12" s="44" t="s">
        <v>56</v>
      </c>
      <c r="E12" s="44" t="s">
        <v>54</v>
      </c>
      <c r="F12" s="44">
        <v>30</v>
      </c>
      <c r="G12" s="44">
        <v>1232</v>
      </c>
      <c r="H12" s="44" t="s">
        <v>59</v>
      </c>
      <c r="I12" s="68">
        <v>40256</v>
      </c>
      <c r="J12" s="45">
        <f>FindImpliedVol(A12,D12,G12,I12)</f>
        <v>0.379345955952052</v>
      </c>
      <c r="K12" s="69">
        <f>VLOOKUP(I12,PriceData!$A$5:$D$7,MATCH($E12,PriceData!$A$4:$D$4,0),FALSE)</f>
        <v>0.011</v>
      </c>
      <c r="L12" s="52" t="e">
        <f>BSPrice($B12,$J12,$K12,$C12,($I12-#REF!)/365,$G12,$H12,$D12)</f>
        <v>#NAME?</v>
      </c>
      <c r="M12" s="52" t="e">
        <f t="shared" si="0"/>
        <v>#NAME?</v>
      </c>
      <c r="N12" s="44" t="s">
        <v>55</v>
      </c>
      <c r="P12" s="49" t="e">
        <f>BSDelta(B12,J12,K12,C12,(I12-#REF!)/365,G12,H12,D12)</f>
        <v>#NAME?</v>
      </c>
      <c r="Q12" s="49" t="e">
        <f>BSGamma(B12,J12,K12,C12,(I12-#REF!)/365,G12,D12)</f>
        <v>#NAME?</v>
      </c>
      <c r="R12" s="51" t="e">
        <f>BSVega(B12,J12,K12,C12,(I12-#REF!)/365,G12,D12)</f>
        <v>#NAME?</v>
      </c>
      <c r="S12" s="51" t="e">
        <f>BSVolga(B12,J12,K12,C12,(I12-#REF!)/365,G12,D12)</f>
        <v>#NAME?</v>
      </c>
      <c r="T12" s="51" t="e">
        <f>BSTheta(B12,J12,K12,C12,(I12-#REF!)/365,G12,H12,D12)</f>
        <v>#NAME?</v>
      </c>
      <c r="U12" s="52" t="e">
        <f>BSRho(B12,J12,K12,C12,(I12-#REF!)/365,G12,H12,D12)</f>
        <v>#NAME?</v>
      </c>
      <c r="V12" s="70" t="e">
        <f t="shared" si="1"/>
        <v>#NAME?</v>
      </c>
      <c r="W12" s="70" t="e">
        <f t="shared" si="2"/>
        <v>#NAME?</v>
      </c>
      <c r="X12" s="54" t="e">
        <f t="shared" si="3"/>
        <v>#NAME?</v>
      </c>
      <c r="Y12" s="54" t="e">
        <f t="shared" si="4"/>
        <v>#NAME?</v>
      </c>
      <c r="Z12" s="54" t="e">
        <f t="shared" si="5"/>
        <v>#NAME?</v>
      </c>
      <c r="AA12" s="54" t="e">
        <f t="shared" si="6"/>
        <v>#NAME?</v>
      </c>
      <c r="AB12" s="54" t="e">
        <f>(BSPrice($B12*0.8,$J12,$K12,$C12,($I12-#REF!)/365,$G12,$H12,$D12)-BSPrice($B12,$J12,$K12,$C12,($I12-#REF!)/365,$G12,$H12,$D12))*$F12</f>
        <v>#NAME?</v>
      </c>
      <c r="AC12" s="54" t="e">
        <f>(BSPrice($B12*0.9,$J12,$K12,$C12,($I12-#REF!)/365,$G12,$H12,$D12)-BSPrice($B12,$J12,$K12,$C12,($I12-#REF!)/365,$G12,$H12,$D12))*$F12</f>
        <v>#NAME?</v>
      </c>
      <c r="AD12" s="54" t="e">
        <f>(BSPrice($B12*0.95,$J12,$K12,$C12,($I12-#REF!)/365,$G12,$H12,$D12)-BSPrice($B12,$J12,$K12,$C12,($I12-#REF!)/365,$G12,$H12,$D12))*$F12</f>
        <v>#NAME?</v>
      </c>
      <c r="AE12" s="54" t="e">
        <f>(BSPrice($B12*0.98,$J12,$K12,$C12,($I12-#REF!)/365,$G12,$H12,$D12)-BSPrice($B12,$J12,$K12,$C12,($I12-#REF!)/365,$G12,$H12,$D12))*$F12</f>
        <v>#NAME?</v>
      </c>
      <c r="AF12" s="54" t="e">
        <f>(BSPrice($B12*1.02,$J12,$K12,$C12,($I12-#REF!)/365,$G12,$H12,$D12)-BSPrice($B12,$J12,$K12,$C12,($I12-#REF!)/365,$G12,$H12,$D12))*$F12</f>
        <v>#NAME?</v>
      </c>
      <c r="AG12" s="54" t="e">
        <f>(BSPrice($B12*1.05,$J12,$K12,$C12,($I12-#REF!)/365,$G12,$H12,$D12)-BSPrice($B12,$J12,$K12,$C12,($I12-#REF!)/365,$G12,$H12,$D12))*$F12</f>
        <v>#NAME?</v>
      </c>
      <c r="AH12" s="54" t="e">
        <f>(BSPrice($B12*1.1,$J12,$K12,$C12,($I12-#REF!)/365,$G12,$H12,$D12)-BSPrice($B12,$J12,$K12,$C12,($I12-#REF!)/365,$G12,$H12,$D12))*$F12</f>
        <v>#NAME?</v>
      </c>
      <c r="AI12" s="54" t="e">
        <f>(BSPrice($B12*1.2,$J12,$K12,$C12,($I12-#REF!)/365,$G12,$H12,$D12)-BSPrice($B12,$J12,$K12,$C12,($I12-#REF!)/365,$G12,$H12,$D12))*$F12</f>
        <v>#NAME?</v>
      </c>
      <c r="AJ12" s="54" t="e">
        <f>(BSPrice($B12,$J12-0.1,$K12,$C12,($I12-#REF!)/365,$G12,$H12,$D12)-BSPrice($B12,$J12,$K12,$C12,($I12-#REF!)/365,$G12,$H12,$D12))*$F12</f>
        <v>#NAME?</v>
      </c>
      <c r="AK12" s="54" t="e">
        <f>(BSPrice($B12,$J12-0.05,$K12,$C12,($I12-#REF!)/365,$G12,$H12,$D12)-BSPrice($B12,$J12,$K12,$C12,($I12-#REF!)/365,$G12,$H12,$D12))*$F12</f>
        <v>#NAME?</v>
      </c>
      <c r="AL12" s="54" t="e">
        <f>(BSPrice($B12,$J12-0.02,$K12,$C12,($I12-#REF!)/365,$G12,$H12,$D12)-BSPrice($B12,$J12,$K12,$C12,($I12-#REF!)/365,$G12,$H12,$D12))*$F12</f>
        <v>#NAME?</v>
      </c>
      <c r="AM12" s="54" t="e">
        <f>(BSPrice($B12,$J12-0.01,$K12,$C12,($I12-#REF!)/365,$G12,$H12,$D12)-BSPrice($B12,$J12,$K12,$C12,($I12-#REF!)/365,$G12,$H12,$D12))*$F12</f>
        <v>#NAME?</v>
      </c>
      <c r="AN12" s="54" t="e">
        <f>(BSPrice($B12,$J12+0.01,$K12,$C12,($I12-#REF!)/365,$G12,$H12,$D12)-BSPrice($B12,$J12,$K12,$C12,($I12-#REF!)/365,$G12,$H12,$D12))*$F12</f>
        <v>#NAME?</v>
      </c>
      <c r="AO12" s="54" t="e">
        <f>(BSPrice($B12,$J12+0.02,$K12,$C12,($I12-#REF!)/365,$G12,$H12,$D12)-BSPrice($B12,$J12,$K12,$C12,($I12-#REF!)/365,$G12,$H12,$D12))*$F12</f>
        <v>#NAME?</v>
      </c>
      <c r="AP12" s="54" t="e">
        <f>(BSPrice($B12,$J12+0.05,$K12,$C12,($I12-#REF!)/365,$G12,$H12,$D12)-BSPrice($B12,$J12,$K12,$C12,($I12-#REF!)/365,$G12,$H12,$D12))*$F12</f>
        <v>#NAME?</v>
      </c>
      <c r="AQ12" s="54" t="e">
        <f>(BSPrice($B12,$J12+0.1,$K12,$C12,($I12-#REF!)/365,$G12,$H12,$D12)-BSPrice($B12,$J12,$K12,$C12,($I12-#REF!)/365,$G12,$H12,$D12))*$F12</f>
        <v>#NAME?</v>
      </c>
    </row>
    <row r="13" spans="1:43">
      <c r="A13" s="67" t="s">
        <v>52</v>
      </c>
      <c r="B13" s="44">
        <f>VLOOKUP(A13,PriceData!$K$4:$L$6,2,FALSE)</f>
        <v>1100</v>
      </c>
      <c r="C13" s="45">
        <f>VLOOKUP(A13,PriceData!$K$4:$M$6,3,FALSE)</f>
        <v>0.02</v>
      </c>
      <c r="D13" s="44" t="s">
        <v>56</v>
      </c>
      <c r="E13" s="44" t="s">
        <v>54</v>
      </c>
      <c r="F13" s="44">
        <v>25</v>
      </c>
      <c r="G13" s="44">
        <v>935</v>
      </c>
      <c r="H13" s="44" t="s">
        <v>57</v>
      </c>
      <c r="I13" s="68">
        <v>40256</v>
      </c>
      <c r="J13" s="45">
        <f>FindImpliedVol(A13,D13,G13,I13)</f>
        <v>0.532308083497779</v>
      </c>
      <c r="K13" s="69">
        <f>VLOOKUP(I13,PriceData!$A$5:$D$7,MATCH($E13,PriceData!$A$4:$D$4,0),FALSE)</f>
        <v>0.011</v>
      </c>
      <c r="L13" s="52" t="e">
        <f>BSPrice($B13,$J13,$K13,$C13,($I13-#REF!)/365,$G13,$H13,$D13)</f>
        <v>#NAME?</v>
      </c>
      <c r="M13" s="52" t="e">
        <f t="shared" si="0"/>
        <v>#NAME?</v>
      </c>
      <c r="N13" s="44" t="s">
        <v>55</v>
      </c>
      <c r="P13" s="49" t="e">
        <f>BSDelta(B13,J13,K13,C13,(I13-#REF!)/365,G13,H13,D13)</f>
        <v>#NAME?</v>
      </c>
      <c r="Q13" s="49" t="e">
        <f>BSGamma(B13,J13,K13,C13,(I13-#REF!)/365,G13,D13)</f>
        <v>#NAME?</v>
      </c>
      <c r="R13" s="51" t="e">
        <f>BSVega(B13,J13,K13,C13,(I13-#REF!)/365,G13,D13)</f>
        <v>#NAME?</v>
      </c>
      <c r="S13" s="51" t="e">
        <f>BSVolga(B13,J13,K13,C13,(I13-#REF!)/365,G13,D13)</f>
        <v>#NAME?</v>
      </c>
      <c r="T13" s="51" t="e">
        <f>BSTheta(B13,J13,K13,C13,(I13-#REF!)/365,G13,H13,D13)</f>
        <v>#NAME?</v>
      </c>
      <c r="U13" s="52" t="e">
        <f>BSRho(B13,J13,K13,C13,(I13-#REF!)/365,G13,H13,D13)</f>
        <v>#NAME?</v>
      </c>
      <c r="V13" s="70" t="e">
        <f t="shared" si="1"/>
        <v>#NAME?</v>
      </c>
      <c r="W13" s="70" t="e">
        <f t="shared" si="2"/>
        <v>#NAME?</v>
      </c>
      <c r="X13" s="54" t="e">
        <f t="shared" si="3"/>
        <v>#NAME?</v>
      </c>
      <c r="Y13" s="54" t="e">
        <f t="shared" si="4"/>
        <v>#NAME?</v>
      </c>
      <c r="Z13" s="54" t="e">
        <f t="shared" si="5"/>
        <v>#NAME?</v>
      </c>
      <c r="AA13" s="54" t="e">
        <f t="shared" si="6"/>
        <v>#NAME?</v>
      </c>
      <c r="AB13" s="54" t="e">
        <f>(BSPrice($B13*0.8,$J13,$K13,$C13,($I13-#REF!)/365,$G13,$H13,$D13)-BSPrice($B13,$J13,$K13,$C13,($I13-#REF!)/365,$G13,$H13,$D13))*$F13</f>
        <v>#NAME?</v>
      </c>
      <c r="AC13" s="54" t="e">
        <f>(BSPrice($B13*0.9,$J13,$K13,$C13,($I13-#REF!)/365,$G13,$H13,$D13)-BSPrice($B13,$J13,$K13,$C13,($I13-#REF!)/365,$G13,$H13,$D13))*$F13</f>
        <v>#NAME?</v>
      </c>
      <c r="AD13" s="54" t="e">
        <f>(BSPrice($B13*0.95,$J13,$K13,$C13,($I13-#REF!)/365,$G13,$H13,$D13)-BSPrice($B13,$J13,$K13,$C13,($I13-#REF!)/365,$G13,$H13,$D13))*$F13</f>
        <v>#NAME?</v>
      </c>
      <c r="AE13" s="54" t="e">
        <f>(BSPrice($B13*0.98,$J13,$K13,$C13,($I13-#REF!)/365,$G13,$H13,$D13)-BSPrice($B13,$J13,$K13,$C13,($I13-#REF!)/365,$G13,$H13,$D13))*$F13</f>
        <v>#NAME?</v>
      </c>
      <c r="AF13" s="54" t="e">
        <f>(BSPrice($B13*1.02,$J13,$K13,$C13,($I13-#REF!)/365,$G13,$H13,$D13)-BSPrice($B13,$J13,$K13,$C13,($I13-#REF!)/365,$G13,$H13,$D13))*$F13</f>
        <v>#NAME?</v>
      </c>
      <c r="AG13" s="54" t="e">
        <f>(BSPrice($B13*1.05,$J13,$K13,$C13,($I13-#REF!)/365,$G13,$H13,$D13)-BSPrice($B13,$J13,$K13,$C13,($I13-#REF!)/365,$G13,$H13,$D13))*$F13</f>
        <v>#NAME?</v>
      </c>
      <c r="AH13" s="54" t="e">
        <f>(BSPrice($B13*1.1,$J13,$K13,$C13,($I13-#REF!)/365,$G13,$H13,$D13)-BSPrice($B13,$J13,$K13,$C13,($I13-#REF!)/365,$G13,$H13,$D13))*$F13</f>
        <v>#NAME?</v>
      </c>
      <c r="AI13" s="54" t="e">
        <f>(BSPrice($B13*1.2,$J13,$K13,$C13,($I13-#REF!)/365,$G13,$H13,$D13)-BSPrice($B13,$J13,$K13,$C13,($I13-#REF!)/365,$G13,$H13,$D13))*$F13</f>
        <v>#NAME?</v>
      </c>
      <c r="AJ13" s="54" t="e">
        <f>(BSPrice($B13,$J13-0.1,$K13,$C13,($I13-#REF!)/365,$G13,$H13,$D13)-BSPrice($B13,$J13,$K13,$C13,($I13-#REF!)/365,$G13,$H13,$D13))*$F13</f>
        <v>#NAME?</v>
      </c>
      <c r="AK13" s="54" t="e">
        <f>(BSPrice($B13,$J13-0.05,$K13,$C13,($I13-#REF!)/365,$G13,$H13,$D13)-BSPrice($B13,$J13,$K13,$C13,($I13-#REF!)/365,$G13,$H13,$D13))*$F13</f>
        <v>#NAME?</v>
      </c>
      <c r="AL13" s="54" t="e">
        <f>(BSPrice($B13,$J13-0.02,$K13,$C13,($I13-#REF!)/365,$G13,$H13,$D13)-BSPrice($B13,$J13,$K13,$C13,($I13-#REF!)/365,$G13,$H13,$D13))*$F13</f>
        <v>#NAME?</v>
      </c>
      <c r="AM13" s="54" t="e">
        <f>(BSPrice($B13,$J13-0.01,$K13,$C13,($I13-#REF!)/365,$G13,$H13,$D13)-BSPrice($B13,$J13,$K13,$C13,($I13-#REF!)/365,$G13,$H13,$D13))*$F13</f>
        <v>#NAME?</v>
      </c>
      <c r="AN13" s="54" t="e">
        <f>(BSPrice($B13,$J13+0.01,$K13,$C13,($I13-#REF!)/365,$G13,$H13,$D13)-BSPrice($B13,$J13,$K13,$C13,($I13-#REF!)/365,$G13,$H13,$D13))*$F13</f>
        <v>#NAME?</v>
      </c>
      <c r="AO13" s="54" t="e">
        <f>(BSPrice($B13,$J13+0.02,$K13,$C13,($I13-#REF!)/365,$G13,$H13,$D13)-BSPrice($B13,$J13,$K13,$C13,($I13-#REF!)/365,$G13,$H13,$D13))*$F13</f>
        <v>#NAME?</v>
      </c>
      <c r="AP13" s="54" t="e">
        <f>(BSPrice($B13,$J13+0.05,$K13,$C13,($I13-#REF!)/365,$G13,$H13,$D13)-BSPrice($B13,$J13,$K13,$C13,($I13-#REF!)/365,$G13,$H13,$D13))*$F13</f>
        <v>#NAME?</v>
      </c>
      <c r="AQ13" s="54" t="e">
        <f>(BSPrice($B13,$J13+0.1,$K13,$C13,($I13-#REF!)/365,$G13,$H13,$D13)-BSPrice($B13,$J13,$K13,$C13,($I13-#REF!)/365,$G13,$H13,$D13))*$F13</f>
        <v>#NAME?</v>
      </c>
    </row>
    <row r="14" spans="1:43">
      <c r="A14" s="67" t="s">
        <v>52</v>
      </c>
      <c r="B14" s="44">
        <f>VLOOKUP(A14,PriceData!$K$4:$L$6,2,FALSE)</f>
        <v>1100</v>
      </c>
      <c r="C14" s="45">
        <f>VLOOKUP(A14,PriceData!$K$4:$M$6,3,FALSE)</f>
        <v>0.02</v>
      </c>
      <c r="D14" s="44" t="s">
        <v>56</v>
      </c>
      <c r="E14" s="44" t="s">
        <v>54</v>
      </c>
      <c r="F14" s="44">
        <v>-20</v>
      </c>
      <c r="G14" s="44">
        <v>1001</v>
      </c>
      <c r="H14" s="44" t="s">
        <v>59</v>
      </c>
      <c r="I14" s="68">
        <v>40256</v>
      </c>
      <c r="J14" s="45">
        <f>FindImpliedVol(A14,D14,G14,I14)</f>
        <v>0.470612121476085</v>
      </c>
      <c r="K14" s="69">
        <f>VLOOKUP(I14,PriceData!$A$5:$D$7,MATCH($E14,PriceData!$A$4:$D$4,0),FALSE)</f>
        <v>0.011</v>
      </c>
      <c r="L14" s="52" t="e">
        <f>BSPrice($B14,$J14,$K14,$C14,($I14-#REF!)/365,$G14,$H14,$D14)</f>
        <v>#NAME?</v>
      </c>
      <c r="M14" s="52" t="e">
        <f t="shared" si="0"/>
        <v>#NAME?</v>
      </c>
      <c r="N14" s="44" t="s">
        <v>60</v>
      </c>
      <c r="P14" s="49" t="e">
        <f>BSDelta(B14,J14,K14,C14,(I14-#REF!)/365,G14,H14,D14)</f>
        <v>#NAME?</v>
      </c>
      <c r="Q14" s="49" t="e">
        <f>BSGamma(B14,J14,K14,C14,(I14-#REF!)/365,G14,D14)</f>
        <v>#NAME?</v>
      </c>
      <c r="R14" s="51" t="e">
        <f>BSVega(B14,J14,K14,C14,(I14-#REF!)/365,G14,D14)</f>
        <v>#NAME?</v>
      </c>
      <c r="S14" s="51" t="e">
        <f>BSVolga(B14,J14,K14,C14,(I14-#REF!)/365,G14,D14)</f>
        <v>#NAME?</v>
      </c>
      <c r="T14" s="51" t="e">
        <f>BSTheta(B14,J14,K14,C14,(I14-#REF!)/365,G14,H14,D14)</f>
        <v>#NAME?</v>
      </c>
      <c r="U14" s="52" t="e">
        <f>BSRho(B14,J14,K14,C14,(I14-#REF!)/365,G14,H14,D14)</f>
        <v>#NAME?</v>
      </c>
      <c r="V14" s="70" t="e">
        <f t="shared" si="1"/>
        <v>#NAME?</v>
      </c>
      <c r="W14" s="70" t="e">
        <f t="shared" si="2"/>
        <v>#NAME?</v>
      </c>
      <c r="X14" s="54" t="e">
        <f t="shared" si="3"/>
        <v>#NAME?</v>
      </c>
      <c r="Y14" s="54" t="e">
        <f t="shared" si="4"/>
        <v>#NAME?</v>
      </c>
      <c r="Z14" s="54" t="e">
        <f t="shared" si="5"/>
        <v>#NAME?</v>
      </c>
      <c r="AA14" s="54" t="e">
        <f t="shared" si="6"/>
        <v>#NAME?</v>
      </c>
      <c r="AB14" s="54" t="e">
        <f>(BSPrice($B14*0.8,$J14,$K14,$C14,($I14-#REF!)/365,$G14,$H14,$D14)-BSPrice($B14,$J14,$K14,$C14,($I14-#REF!)/365,$G14,$H14,$D14))*$F14</f>
        <v>#NAME?</v>
      </c>
      <c r="AC14" s="54" t="e">
        <f>(BSPrice($B14*0.9,$J14,$K14,$C14,($I14-#REF!)/365,$G14,$H14,$D14)-BSPrice($B14,$J14,$K14,$C14,($I14-#REF!)/365,$G14,$H14,$D14))*$F14</f>
        <v>#NAME?</v>
      </c>
      <c r="AD14" s="54" t="e">
        <f>(BSPrice($B14*0.95,$J14,$K14,$C14,($I14-#REF!)/365,$G14,$H14,$D14)-BSPrice($B14,$J14,$K14,$C14,($I14-#REF!)/365,$G14,$H14,$D14))*$F14</f>
        <v>#NAME?</v>
      </c>
      <c r="AE14" s="54" t="e">
        <f>(BSPrice($B14*0.98,$J14,$K14,$C14,($I14-#REF!)/365,$G14,$H14,$D14)-BSPrice($B14,$J14,$K14,$C14,($I14-#REF!)/365,$G14,$H14,$D14))*$F14</f>
        <v>#NAME?</v>
      </c>
      <c r="AF14" s="54" t="e">
        <f>(BSPrice($B14*1.02,$J14,$K14,$C14,($I14-#REF!)/365,$G14,$H14,$D14)-BSPrice($B14,$J14,$K14,$C14,($I14-#REF!)/365,$G14,$H14,$D14))*$F14</f>
        <v>#NAME?</v>
      </c>
      <c r="AG14" s="54" t="e">
        <f>(BSPrice($B14*1.05,$J14,$K14,$C14,($I14-#REF!)/365,$G14,$H14,$D14)-BSPrice($B14,$J14,$K14,$C14,($I14-#REF!)/365,$G14,$H14,$D14))*$F14</f>
        <v>#NAME?</v>
      </c>
      <c r="AH14" s="54" t="e">
        <f>(BSPrice($B14*1.1,$J14,$K14,$C14,($I14-#REF!)/365,$G14,$H14,$D14)-BSPrice($B14,$J14,$K14,$C14,($I14-#REF!)/365,$G14,$H14,$D14))*$F14</f>
        <v>#NAME?</v>
      </c>
      <c r="AI14" s="54" t="e">
        <f>(BSPrice($B14*1.2,$J14,$K14,$C14,($I14-#REF!)/365,$G14,$H14,$D14)-BSPrice($B14,$J14,$K14,$C14,($I14-#REF!)/365,$G14,$H14,$D14))*$F14</f>
        <v>#NAME?</v>
      </c>
      <c r="AJ14" s="54" t="e">
        <f>(BSPrice($B14,$J14-0.1,$K14,$C14,($I14-#REF!)/365,$G14,$H14,$D14)-BSPrice($B14,$J14,$K14,$C14,($I14-#REF!)/365,$G14,$H14,$D14))*$F14</f>
        <v>#NAME?</v>
      </c>
      <c r="AK14" s="54" t="e">
        <f>(BSPrice($B14,$J14-0.05,$K14,$C14,($I14-#REF!)/365,$G14,$H14,$D14)-BSPrice($B14,$J14,$K14,$C14,($I14-#REF!)/365,$G14,$H14,$D14))*$F14</f>
        <v>#NAME?</v>
      </c>
      <c r="AL14" s="54" t="e">
        <f>(BSPrice($B14,$J14-0.02,$K14,$C14,($I14-#REF!)/365,$G14,$H14,$D14)-BSPrice($B14,$J14,$K14,$C14,($I14-#REF!)/365,$G14,$H14,$D14))*$F14</f>
        <v>#NAME?</v>
      </c>
      <c r="AM14" s="54" t="e">
        <f>(BSPrice($B14,$J14-0.01,$K14,$C14,($I14-#REF!)/365,$G14,$H14,$D14)-BSPrice($B14,$J14,$K14,$C14,($I14-#REF!)/365,$G14,$H14,$D14))*$F14</f>
        <v>#NAME?</v>
      </c>
      <c r="AN14" s="54" t="e">
        <f>(BSPrice($B14,$J14+0.01,$K14,$C14,($I14-#REF!)/365,$G14,$H14,$D14)-BSPrice($B14,$J14,$K14,$C14,($I14-#REF!)/365,$G14,$H14,$D14))*$F14</f>
        <v>#NAME?</v>
      </c>
      <c r="AO14" s="54" t="e">
        <f>(BSPrice($B14,$J14+0.02,$K14,$C14,($I14-#REF!)/365,$G14,$H14,$D14)-BSPrice($B14,$J14,$K14,$C14,($I14-#REF!)/365,$G14,$H14,$D14))*$F14</f>
        <v>#NAME?</v>
      </c>
      <c r="AP14" s="54" t="e">
        <f>(BSPrice($B14,$J14+0.05,$K14,$C14,($I14-#REF!)/365,$G14,$H14,$D14)-BSPrice($B14,$J14,$K14,$C14,($I14-#REF!)/365,$G14,$H14,$D14))*$F14</f>
        <v>#NAME?</v>
      </c>
      <c r="AQ14" s="54" t="e">
        <f>(BSPrice($B14,$J14+0.1,$K14,$C14,($I14-#REF!)/365,$G14,$H14,$D14)-BSPrice($B14,$J14,$K14,$C14,($I14-#REF!)/365,$G14,$H14,$D14))*$F14</f>
        <v>#NAME?</v>
      </c>
    </row>
    <row r="15" spans="1:43">
      <c r="A15" s="67" t="s">
        <v>52</v>
      </c>
      <c r="B15" s="44">
        <f>VLOOKUP(A15,PriceData!$K$4:$L$6,2,FALSE)</f>
        <v>1100</v>
      </c>
      <c r="C15" s="45">
        <f>VLOOKUP(A15,PriceData!$K$4:$M$6,3,FALSE)</f>
        <v>0.02</v>
      </c>
      <c r="D15" s="44" t="s">
        <v>56</v>
      </c>
      <c r="E15" s="44" t="s">
        <v>54</v>
      </c>
      <c r="F15" s="44">
        <v>-50</v>
      </c>
      <c r="G15" s="44">
        <v>1100</v>
      </c>
      <c r="H15" s="44" t="s">
        <v>57</v>
      </c>
      <c r="I15" s="68">
        <v>40347</v>
      </c>
      <c r="J15" s="45">
        <f>FindImpliedVol(A15,D15,G15,I15)</f>
        <v>0.358905934721634</v>
      </c>
      <c r="K15" s="69">
        <f>VLOOKUP(I15,PriceData!$A$5:$D$7,MATCH($E15,PriceData!$A$4:$D$4,0),FALSE)</f>
        <v>0.015</v>
      </c>
      <c r="L15" s="52" t="e">
        <f>BSPrice($B15,$J15,$K15,$C15,($I15-#REF!)/365,$G15,$H15,$D15)</f>
        <v>#NAME?</v>
      </c>
      <c r="M15" s="52" t="e">
        <f t="shared" si="0"/>
        <v>#NAME?</v>
      </c>
      <c r="N15" s="44" t="s">
        <v>55</v>
      </c>
      <c r="P15" s="49" t="e">
        <f>BSDelta(B15,J15,K15,C15,(I15-#REF!)/365,G15,H15,D15)</f>
        <v>#NAME?</v>
      </c>
      <c r="Q15" s="49" t="e">
        <f>BSGamma(B15,J15,K15,C15,(I15-#REF!)/365,G15,D15)</f>
        <v>#NAME?</v>
      </c>
      <c r="R15" s="51" t="e">
        <f>BSVega(B15,J15,K15,C15,(I15-#REF!)/365,G15,D15)</f>
        <v>#NAME?</v>
      </c>
      <c r="S15" s="51" t="e">
        <f>BSVolga(B15,J15,K15,C15,(I15-#REF!)/365,G15,D15)</f>
        <v>#NAME?</v>
      </c>
      <c r="T15" s="51" t="e">
        <f>BSTheta(B15,J15,K15,C15,(I15-#REF!)/365,G15,H15,D15)</f>
        <v>#NAME?</v>
      </c>
      <c r="U15" s="72" t="e">
        <f>BSRho(B15,J15,K15,C15,(I15-#REF!)/365,G15,H15,D15)</f>
        <v>#NAME?</v>
      </c>
      <c r="V15" s="70" t="e">
        <f t="shared" si="1"/>
        <v>#NAME?</v>
      </c>
      <c r="W15" s="70" t="e">
        <f t="shared" si="2"/>
        <v>#NAME?</v>
      </c>
      <c r="X15" s="54" t="e">
        <f t="shared" si="3"/>
        <v>#NAME?</v>
      </c>
      <c r="Y15" s="54" t="e">
        <f t="shared" si="4"/>
        <v>#NAME?</v>
      </c>
      <c r="Z15" s="54" t="e">
        <f t="shared" si="5"/>
        <v>#NAME?</v>
      </c>
      <c r="AA15" s="54" t="e">
        <f t="shared" si="6"/>
        <v>#NAME?</v>
      </c>
      <c r="AB15" s="54" t="e">
        <f>(BSPrice($B15*0.8,$J15,$K15,$C15,($I15-#REF!)/365,$G15,$H15,$D15)-BSPrice($B15,$J15,$K15,$C15,($I15-#REF!)/365,$G15,$H15,$D15))*$F15</f>
        <v>#NAME?</v>
      </c>
      <c r="AC15" s="54" t="e">
        <f>(BSPrice($B15*0.9,$J15,$K15,$C15,($I15-#REF!)/365,$G15,$H15,$D15)-BSPrice($B15,$J15,$K15,$C15,($I15-#REF!)/365,$G15,$H15,$D15))*$F15</f>
        <v>#NAME?</v>
      </c>
      <c r="AD15" s="54" t="e">
        <f>(BSPrice($B15*0.95,$J15,$K15,$C15,($I15-#REF!)/365,$G15,$H15,$D15)-BSPrice($B15,$J15,$K15,$C15,($I15-#REF!)/365,$G15,$H15,$D15))*$F15</f>
        <v>#NAME?</v>
      </c>
      <c r="AE15" s="54" t="e">
        <f>(BSPrice($B15*0.98,$J15,$K15,$C15,($I15-#REF!)/365,$G15,$H15,$D15)-BSPrice($B15,$J15,$K15,$C15,($I15-#REF!)/365,$G15,$H15,$D15))*$F15</f>
        <v>#NAME?</v>
      </c>
      <c r="AF15" s="54" t="e">
        <f>(BSPrice($B15*1.02,$J15,$K15,$C15,($I15-#REF!)/365,$G15,$H15,$D15)-BSPrice($B15,$J15,$K15,$C15,($I15-#REF!)/365,$G15,$H15,$D15))*$F15</f>
        <v>#NAME?</v>
      </c>
      <c r="AG15" s="54" t="e">
        <f>(BSPrice($B15*1.05,$J15,$K15,$C15,($I15-#REF!)/365,$G15,$H15,$D15)-BSPrice($B15,$J15,$K15,$C15,($I15-#REF!)/365,$G15,$H15,$D15))*$F15</f>
        <v>#NAME?</v>
      </c>
      <c r="AH15" s="54" t="e">
        <f>(BSPrice($B15*1.1,$J15,$K15,$C15,($I15-#REF!)/365,$G15,$H15,$D15)-BSPrice($B15,$J15,$K15,$C15,($I15-#REF!)/365,$G15,$H15,$D15))*$F15</f>
        <v>#NAME?</v>
      </c>
      <c r="AI15" s="54" t="e">
        <f>(BSPrice($B15*1.2,$J15,$K15,$C15,($I15-#REF!)/365,$G15,$H15,$D15)-BSPrice($B15,$J15,$K15,$C15,($I15-#REF!)/365,$G15,$H15,$D15))*$F15</f>
        <v>#NAME?</v>
      </c>
      <c r="AJ15" s="54" t="e">
        <f>(BSPrice($B15,$J15-0.1,$K15,$C15,($I15-#REF!)/365,$G15,$H15,$D15)-BSPrice($B15,$J15,$K15,$C15,($I15-#REF!)/365,$G15,$H15,$D15))*$F15</f>
        <v>#NAME?</v>
      </c>
      <c r="AK15" s="54" t="e">
        <f>(BSPrice($B15,$J15-0.05,$K15,$C15,($I15-#REF!)/365,$G15,$H15,$D15)-BSPrice($B15,$J15,$K15,$C15,($I15-#REF!)/365,$G15,$H15,$D15))*$F15</f>
        <v>#NAME?</v>
      </c>
      <c r="AL15" s="54" t="e">
        <f>(BSPrice($B15,$J15-0.02,$K15,$C15,($I15-#REF!)/365,$G15,$H15,$D15)-BSPrice($B15,$J15,$K15,$C15,($I15-#REF!)/365,$G15,$H15,$D15))*$F15</f>
        <v>#NAME?</v>
      </c>
      <c r="AM15" s="54" t="e">
        <f>(BSPrice($B15,$J15-0.01,$K15,$C15,($I15-#REF!)/365,$G15,$H15,$D15)-BSPrice($B15,$J15,$K15,$C15,($I15-#REF!)/365,$G15,$H15,$D15))*$F15</f>
        <v>#NAME?</v>
      </c>
      <c r="AN15" s="54" t="e">
        <f>(BSPrice($B15,$J15+0.01,$K15,$C15,($I15-#REF!)/365,$G15,$H15,$D15)-BSPrice($B15,$J15,$K15,$C15,($I15-#REF!)/365,$G15,$H15,$D15))*$F15</f>
        <v>#NAME?</v>
      </c>
      <c r="AO15" s="54" t="e">
        <f>(BSPrice($B15,$J15+0.02,$K15,$C15,($I15-#REF!)/365,$G15,$H15,$D15)-BSPrice($B15,$J15,$K15,$C15,($I15-#REF!)/365,$G15,$H15,$D15))*$F15</f>
        <v>#NAME?</v>
      </c>
      <c r="AP15" s="54" t="e">
        <f>(BSPrice($B15,$J15+0.05,$K15,$C15,($I15-#REF!)/365,$G15,$H15,$D15)-BSPrice($B15,$J15,$K15,$C15,($I15-#REF!)/365,$G15,$H15,$D15))*$F15</f>
        <v>#NAME?</v>
      </c>
      <c r="AQ15" s="54" t="e">
        <f>(BSPrice($B15,$J15+0.1,$K15,$C15,($I15-#REF!)/365,$G15,$H15,$D15)-BSPrice($B15,$J15,$K15,$C15,($I15-#REF!)/365,$G15,$H15,$D15))*$F15</f>
        <v>#NAME?</v>
      </c>
    </row>
    <row r="16" spans="1:43">
      <c r="A16" s="67" t="s">
        <v>52</v>
      </c>
      <c r="B16" s="44">
        <f>VLOOKUP(A16,PriceData!$K$4:$L$6,2,FALSE)</f>
        <v>1100</v>
      </c>
      <c r="C16" s="45">
        <f>VLOOKUP(A16,PriceData!$K$4:$M$6,3,FALSE)</f>
        <v>0.02</v>
      </c>
      <c r="D16" s="44" t="s">
        <v>56</v>
      </c>
      <c r="E16" s="44" t="s">
        <v>54</v>
      </c>
      <c r="F16" s="44">
        <v>20</v>
      </c>
      <c r="G16" s="44">
        <v>1034</v>
      </c>
      <c r="H16" s="44" t="s">
        <v>59</v>
      </c>
      <c r="I16" s="68">
        <v>40347</v>
      </c>
      <c r="J16" s="45">
        <f>FindImpliedVol(A16,D16,G16,I16)</f>
        <v>0.39554283909253</v>
      </c>
      <c r="K16" s="69">
        <f>VLOOKUP(I16,PriceData!$A$5:$D$7,MATCH($E16,PriceData!$A$4:$D$4,0),FALSE)</f>
        <v>0.015</v>
      </c>
      <c r="L16" s="52" t="e">
        <f>BSPrice($B16,$J16,$K16,$C16,($I16-#REF!)/365,$G16,$H16,$D16)</f>
        <v>#NAME?</v>
      </c>
      <c r="M16" s="52" t="e">
        <f t="shared" si="0"/>
        <v>#NAME?</v>
      </c>
      <c r="N16" s="44" t="s">
        <v>55</v>
      </c>
      <c r="P16" s="49" t="e">
        <f>BSDelta(B16,J16,K16,C16,(I16-#REF!)/365,G16,H16,D16)</f>
        <v>#NAME?</v>
      </c>
      <c r="Q16" s="49" t="e">
        <f>BSGamma(B16,J16,K16,C16,(I16-#REF!)/365,G16,D16)</f>
        <v>#NAME?</v>
      </c>
      <c r="R16" s="51" t="e">
        <f>BSVega(B16,J16,K16,C16,(I16-#REF!)/365,G16,D16)</f>
        <v>#NAME?</v>
      </c>
      <c r="S16" s="51" t="e">
        <f>BSVolga(B16,J16,K16,C16,(I16-#REF!)/365,G16,D16)</f>
        <v>#NAME?</v>
      </c>
      <c r="T16" s="51" t="e">
        <f>BSTheta(B16,J16,K16,C16,(I16-#REF!)/365,G16,H16,D16)</f>
        <v>#NAME?</v>
      </c>
      <c r="U16" s="52" t="e">
        <f>BSRho(B16,J16,K16,C16,(I16-#REF!)/365,G16,H16,D16)</f>
        <v>#NAME?</v>
      </c>
      <c r="V16" s="70" t="e">
        <f t="shared" si="1"/>
        <v>#NAME?</v>
      </c>
      <c r="W16" s="70" t="e">
        <f t="shared" si="2"/>
        <v>#NAME?</v>
      </c>
      <c r="X16" s="54" t="e">
        <f t="shared" si="3"/>
        <v>#NAME?</v>
      </c>
      <c r="Y16" s="54" t="e">
        <f t="shared" si="4"/>
        <v>#NAME?</v>
      </c>
      <c r="Z16" s="54" t="e">
        <f t="shared" si="5"/>
        <v>#NAME?</v>
      </c>
      <c r="AA16" s="54" t="e">
        <f t="shared" si="6"/>
        <v>#NAME?</v>
      </c>
      <c r="AB16" s="54" t="e">
        <f>(BSPrice($B16*0.8,$J16,$K16,$C16,($I16-#REF!)/365,$G16,$H16,$D16)-BSPrice($B16,$J16,$K16,$C16,($I16-#REF!)/365,$G16,$H16,$D16))*$F16</f>
        <v>#NAME?</v>
      </c>
      <c r="AC16" s="54" t="e">
        <f>(BSPrice($B16*0.9,$J16,$K16,$C16,($I16-#REF!)/365,$G16,$H16,$D16)-BSPrice($B16,$J16,$K16,$C16,($I16-#REF!)/365,$G16,$H16,$D16))*$F16</f>
        <v>#NAME?</v>
      </c>
      <c r="AD16" s="54" t="e">
        <f>(BSPrice($B16*0.95,$J16,$K16,$C16,($I16-#REF!)/365,$G16,$H16,$D16)-BSPrice($B16,$J16,$K16,$C16,($I16-#REF!)/365,$G16,$H16,$D16))*$F16</f>
        <v>#NAME?</v>
      </c>
      <c r="AE16" s="54" t="e">
        <f>(BSPrice($B16*0.98,$J16,$K16,$C16,($I16-#REF!)/365,$G16,$H16,$D16)-BSPrice($B16,$J16,$K16,$C16,($I16-#REF!)/365,$G16,$H16,$D16))*$F16</f>
        <v>#NAME?</v>
      </c>
      <c r="AF16" s="54" t="e">
        <f>(BSPrice($B16*1.02,$J16,$K16,$C16,($I16-#REF!)/365,$G16,$H16,$D16)-BSPrice($B16,$J16,$K16,$C16,($I16-#REF!)/365,$G16,$H16,$D16))*$F16</f>
        <v>#NAME?</v>
      </c>
      <c r="AG16" s="54" t="e">
        <f>(BSPrice($B16*1.05,$J16,$K16,$C16,($I16-#REF!)/365,$G16,$H16,$D16)-BSPrice($B16,$J16,$K16,$C16,($I16-#REF!)/365,$G16,$H16,$D16))*$F16</f>
        <v>#NAME?</v>
      </c>
      <c r="AH16" s="54" t="e">
        <f>(BSPrice($B16*1.1,$J16,$K16,$C16,($I16-#REF!)/365,$G16,$H16,$D16)-BSPrice($B16,$J16,$K16,$C16,($I16-#REF!)/365,$G16,$H16,$D16))*$F16</f>
        <v>#NAME?</v>
      </c>
      <c r="AI16" s="54" t="e">
        <f>(BSPrice($B16*1.2,$J16,$K16,$C16,($I16-#REF!)/365,$G16,$H16,$D16)-BSPrice($B16,$J16,$K16,$C16,($I16-#REF!)/365,$G16,$H16,$D16))*$F16</f>
        <v>#NAME?</v>
      </c>
      <c r="AJ16" s="54" t="e">
        <f>(BSPrice($B16,$J16-0.1,$K16,$C16,($I16-#REF!)/365,$G16,$H16,$D16)-BSPrice($B16,$J16,$K16,$C16,($I16-#REF!)/365,$G16,$H16,$D16))*$F16</f>
        <v>#NAME?</v>
      </c>
      <c r="AK16" s="54" t="e">
        <f>(BSPrice($B16,$J16-0.05,$K16,$C16,($I16-#REF!)/365,$G16,$H16,$D16)-BSPrice($B16,$J16,$K16,$C16,($I16-#REF!)/365,$G16,$H16,$D16))*$F16</f>
        <v>#NAME?</v>
      </c>
      <c r="AL16" s="54" t="e">
        <f>(BSPrice($B16,$J16-0.02,$K16,$C16,($I16-#REF!)/365,$G16,$H16,$D16)-BSPrice($B16,$J16,$K16,$C16,($I16-#REF!)/365,$G16,$H16,$D16))*$F16</f>
        <v>#NAME?</v>
      </c>
      <c r="AM16" s="54" t="e">
        <f>(BSPrice($B16,$J16-0.01,$K16,$C16,($I16-#REF!)/365,$G16,$H16,$D16)-BSPrice($B16,$J16,$K16,$C16,($I16-#REF!)/365,$G16,$H16,$D16))*$F16</f>
        <v>#NAME?</v>
      </c>
      <c r="AN16" s="54" t="e">
        <f>(BSPrice($B16,$J16+0.01,$K16,$C16,($I16-#REF!)/365,$G16,$H16,$D16)-BSPrice($B16,$J16,$K16,$C16,($I16-#REF!)/365,$G16,$H16,$D16))*$F16</f>
        <v>#NAME?</v>
      </c>
      <c r="AO16" s="54" t="e">
        <f>(BSPrice($B16,$J16+0.02,$K16,$C16,($I16-#REF!)/365,$G16,$H16,$D16)-BSPrice($B16,$J16,$K16,$C16,($I16-#REF!)/365,$G16,$H16,$D16))*$F16</f>
        <v>#NAME?</v>
      </c>
      <c r="AP16" s="54" t="e">
        <f>(BSPrice($B16,$J16+0.05,$K16,$C16,($I16-#REF!)/365,$G16,$H16,$D16)-BSPrice($B16,$J16,$K16,$C16,($I16-#REF!)/365,$G16,$H16,$D16))*$F16</f>
        <v>#NAME?</v>
      </c>
      <c r="AQ16" s="54" t="e">
        <f>(BSPrice($B16,$J16+0.1,$K16,$C16,($I16-#REF!)/365,$G16,$H16,$D16)-BSPrice($B16,$J16,$K16,$C16,($I16-#REF!)/365,$G16,$H16,$D16))*$F16</f>
        <v>#NAME?</v>
      </c>
    </row>
    <row r="17" spans="1:43">
      <c r="A17" s="67" t="s">
        <v>52</v>
      </c>
      <c r="B17" s="44">
        <f>VLOOKUP(A17,PriceData!$K$4:$L$6,2,FALSE)</f>
        <v>1100</v>
      </c>
      <c r="C17" s="45">
        <f>VLOOKUP(A17,PriceData!$K$4:$M$6,3,FALSE)</f>
        <v>0.02</v>
      </c>
      <c r="D17" s="44" t="s">
        <v>56</v>
      </c>
      <c r="E17" s="44" t="s">
        <v>54</v>
      </c>
      <c r="F17" s="44">
        <v>25</v>
      </c>
      <c r="G17" s="44">
        <v>902</v>
      </c>
      <c r="H17" s="44" t="s">
        <v>57</v>
      </c>
      <c r="I17" s="68">
        <v>40347</v>
      </c>
      <c r="J17" s="45">
        <f>FindImpliedVol(A17,D17,G17,I17)</f>
        <v>0.518258415340766</v>
      </c>
      <c r="K17" s="69">
        <f>VLOOKUP(I17,PriceData!$A$5:$D$7,MATCH($E17,PriceData!$A$4:$D$4,0),FALSE)</f>
        <v>0.015</v>
      </c>
      <c r="L17" s="52" t="e">
        <f>BSPrice($B17,$J17,$K17,$C17,($I17-#REF!)/365,$G17,$H17,$D17)</f>
        <v>#NAME?</v>
      </c>
      <c r="M17" s="52" t="e">
        <f t="shared" si="0"/>
        <v>#NAME?</v>
      </c>
      <c r="N17" s="44" t="s">
        <v>58</v>
      </c>
      <c r="P17" s="49" t="e">
        <f>BSDelta(B17,J17,K17,C17,(I17-#REF!)/365,G17,H17,D17)</f>
        <v>#NAME?</v>
      </c>
      <c r="Q17" s="49" t="e">
        <f>BSGamma(B17,J17,K17,C17,(I17-#REF!)/365,G17,D17)</f>
        <v>#NAME?</v>
      </c>
      <c r="R17" s="51" t="e">
        <f>BSVega(B17,J17,K17,C17,(I17-#REF!)/365,G17,D17)</f>
        <v>#NAME?</v>
      </c>
      <c r="S17" s="51" t="e">
        <f>BSVolga(B17,J17,K17,C17,(I17-#REF!)/365,G17,D17)</f>
        <v>#NAME?</v>
      </c>
      <c r="T17" s="51" t="e">
        <f>BSTheta(B17,J17,K17,C17,(I17-#REF!)/365,G17,H17,D17)</f>
        <v>#NAME?</v>
      </c>
      <c r="U17" s="52" t="e">
        <f>BSRho(B17,J17,K17,C17,(I17-#REF!)/365,G17,H17,D17)</f>
        <v>#NAME?</v>
      </c>
      <c r="V17" s="70" t="e">
        <f t="shared" si="1"/>
        <v>#NAME?</v>
      </c>
      <c r="W17" s="70" t="e">
        <f t="shared" si="2"/>
        <v>#NAME?</v>
      </c>
      <c r="X17" s="54" t="e">
        <f t="shared" si="3"/>
        <v>#NAME?</v>
      </c>
      <c r="Y17" s="54" t="e">
        <f t="shared" si="4"/>
        <v>#NAME?</v>
      </c>
      <c r="Z17" s="54" t="e">
        <f t="shared" si="5"/>
        <v>#NAME?</v>
      </c>
      <c r="AA17" s="54" t="e">
        <f t="shared" si="6"/>
        <v>#NAME?</v>
      </c>
      <c r="AB17" s="54" t="e">
        <f>(BSPrice($B17*0.8,$J17,$K17,$C17,($I17-#REF!)/365,$G17,$H17,$D17)-BSPrice($B17,$J17,$K17,$C17,($I17-#REF!)/365,$G17,$H17,$D17))*$F17</f>
        <v>#NAME?</v>
      </c>
      <c r="AC17" s="54" t="e">
        <f>(BSPrice($B17*0.9,$J17,$K17,$C17,($I17-#REF!)/365,$G17,$H17,$D17)-BSPrice($B17,$J17,$K17,$C17,($I17-#REF!)/365,$G17,$H17,$D17))*$F17</f>
        <v>#NAME?</v>
      </c>
      <c r="AD17" s="54" t="e">
        <f>(BSPrice($B17*0.95,$J17,$K17,$C17,($I17-#REF!)/365,$G17,$H17,$D17)-BSPrice($B17,$J17,$K17,$C17,($I17-#REF!)/365,$G17,$H17,$D17))*$F17</f>
        <v>#NAME?</v>
      </c>
      <c r="AE17" s="54" t="e">
        <f>(BSPrice($B17*0.98,$J17,$K17,$C17,($I17-#REF!)/365,$G17,$H17,$D17)-BSPrice($B17,$J17,$K17,$C17,($I17-#REF!)/365,$G17,$H17,$D17))*$F17</f>
        <v>#NAME?</v>
      </c>
      <c r="AF17" s="54" t="e">
        <f>(BSPrice($B17*1.02,$J17,$K17,$C17,($I17-#REF!)/365,$G17,$H17,$D17)-BSPrice($B17,$J17,$K17,$C17,($I17-#REF!)/365,$G17,$H17,$D17))*$F17</f>
        <v>#NAME?</v>
      </c>
      <c r="AG17" s="54" t="e">
        <f>(BSPrice($B17*1.05,$J17,$K17,$C17,($I17-#REF!)/365,$G17,$H17,$D17)-BSPrice($B17,$J17,$K17,$C17,($I17-#REF!)/365,$G17,$H17,$D17))*$F17</f>
        <v>#NAME?</v>
      </c>
      <c r="AH17" s="54" t="e">
        <f>(BSPrice($B17*1.1,$J17,$K17,$C17,($I17-#REF!)/365,$G17,$H17,$D17)-BSPrice($B17,$J17,$K17,$C17,($I17-#REF!)/365,$G17,$H17,$D17))*$F17</f>
        <v>#NAME?</v>
      </c>
      <c r="AI17" s="54" t="e">
        <f>(BSPrice($B17*1.2,$J17,$K17,$C17,($I17-#REF!)/365,$G17,$H17,$D17)-BSPrice($B17,$J17,$K17,$C17,($I17-#REF!)/365,$G17,$H17,$D17))*$F17</f>
        <v>#NAME?</v>
      </c>
      <c r="AJ17" s="54" t="e">
        <f>(BSPrice($B17,$J17-0.1,$K17,$C17,($I17-#REF!)/365,$G17,$H17,$D17)-BSPrice($B17,$J17,$K17,$C17,($I17-#REF!)/365,$G17,$H17,$D17))*$F17</f>
        <v>#NAME?</v>
      </c>
      <c r="AK17" s="54" t="e">
        <f>(BSPrice($B17,$J17-0.05,$K17,$C17,($I17-#REF!)/365,$G17,$H17,$D17)-BSPrice($B17,$J17,$K17,$C17,($I17-#REF!)/365,$G17,$H17,$D17))*$F17</f>
        <v>#NAME?</v>
      </c>
      <c r="AL17" s="54" t="e">
        <f>(BSPrice($B17,$J17-0.02,$K17,$C17,($I17-#REF!)/365,$G17,$H17,$D17)-BSPrice($B17,$J17,$K17,$C17,($I17-#REF!)/365,$G17,$H17,$D17))*$F17</f>
        <v>#NAME?</v>
      </c>
      <c r="AM17" s="54" t="e">
        <f>(BSPrice($B17,$J17-0.01,$K17,$C17,($I17-#REF!)/365,$G17,$H17,$D17)-BSPrice($B17,$J17,$K17,$C17,($I17-#REF!)/365,$G17,$H17,$D17))*$F17</f>
        <v>#NAME?</v>
      </c>
      <c r="AN17" s="54" t="e">
        <f>(BSPrice($B17,$J17+0.01,$K17,$C17,($I17-#REF!)/365,$G17,$H17,$D17)-BSPrice($B17,$J17,$K17,$C17,($I17-#REF!)/365,$G17,$H17,$D17))*$F17</f>
        <v>#NAME?</v>
      </c>
      <c r="AO17" s="54" t="e">
        <f>(BSPrice($B17,$J17+0.02,$K17,$C17,($I17-#REF!)/365,$G17,$H17,$D17)-BSPrice($B17,$J17,$K17,$C17,($I17-#REF!)/365,$G17,$H17,$D17))*$F17</f>
        <v>#NAME?</v>
      </c>
      <c r="AP17" s="54" t="e">
        <f>(BSPrice($B17,$J17+0.05,$K17,$C17,($I17-#REF!)/365,$G17,$H17,$D17)-BSPrice($B17,$J17,$K17,$C17,($I17-#REF!)/365,$G17,$H17,$D17))*$F17</f>
        <v>#NAME?</v>
      </c>
      <c r="AQ17" s="54" t="e">
        <f>(BSPrice($B17,$J17+0.1,$K17,$C17,($I17-#REF!)/365,$G17,$H17,$D17)-BSPrice($B17,$J17,$K17,$C17,($I17-#REF!)/365,$G17,$H17,$D17))*$F17</f>
        <v>#NAME?</v>
      </c>
    </row>
    <row r="18" spans="1:43">
      <c r="A18" s="67" t="s">
        <v>52</v>
      </c>
      <c r="B18" s="44">
        <f>VLOOKUP(A18,PriceData!$K$4:$L$6,2,FALSE)</f>
        <v>1100</v>
      </c>
      <c r="C18" s="45">
        <f>VLOOKUP(A18,PriceData!$K$4:$M$6,3,FALSE)</f>
        <v>0.02</v>
      </c>
      <c r="D18" s="44" t="s">
        <v>56</v>
      </c>
      <c r="E18" s="44" t="s">
        <v>54</v>
      </c>
      <c r="F18" s="44">
        <v>25</v>
      </c>
      <c r="G18" s="44">
        <v>902</v>
      </c>
      <c r="H18" s="44" t="s">
        <v>57</v>
      </c>
      <c r="I18" s="68">
        <v>40347</v>
      </c>
      <c r="J18" s="45">
        <f>FindImpliedVol(A18,D18,G18,I18)</f>
        <v>0.518258415340766</v>
      </c>
      <c r="K18" s="69">
        <f>VLOOKUP(I18,PriceData!$A$5:$D$7,MATCH($E18,PriceData!$A$4:$D$4,0),FALSE)</f>
        <v>0.015</v>
      </c>
      <c r="L18" s="52" t="e">
        <f>BSPrice($B18,$J18,$K18,$C18,($I18-#REF!)/365,$G18,$H18,$D18)</f>
        <v>#NAME?</v>
      </c>
      <c r="M18" s="52" t="e">
        <f t="shared" si="0"/>
        <v>#NAME?</v>
      </c>
      <c r="N18" s="44" t="s">
        <v>55</v>
      </c>
      <c r="P18" s="49" t="e">
        <f>BSDelta(B18,J18,K18,C18,(I18-#REF!)/365,G18,H18,D18)</f>
        <v>#NAME?</v>
      </c>
      <c r="Q18" s="49" t="e">
        <f>BSGamma(B18,J18,K18,C18,(I18-#REF!)/365,G18,D18)</f>
        <v>#NAME?</v>
      </c>
      <c r="R18" s="51" t="e">
        <f>BSVega(B18,J18,K18,C18,(I18-#REF!)/365,G18,D18)</f>
        <v>#NAME?</v>
      </c>
      <c r="S18" s="51" t="e">
        <f>BSVolga(B18,J18,K18,C18,(I18-#REF!)/365,G18,D18)</f>
        <v>#NAME?</v>
      </c>
      <c r="T18" s="51" t="e">
        <f>BSTheta(B18,J18,K18,C18,(I18-#REF!)/365,G18,H18,D18)</f>
        <v>#NAME?</v>
      </c>
      <c r="U18" s="52" t="e">
        <f>BSRho(B18,J18,K18,C18,(I18-#REF!)/365,G18,H18,D18)</f>
        <v>#NAME?</v>
      </c>
      <c r="V18" s="70" t="e">
        <f t="shared" si="1"/>
        <v>#NAME?</v>
      </c>
      <c r="W18" s="70" t="e">
        <f t="shared" si="2"/>
        <v>#NAME?</v>
      </c>
      <c r="X18" s="54" t="e">
        <f t="shared" si="3"/>
        <v>#NAME?</v>
      </c>
      <c r="Y18" s="54" t="e">
        <f t="shared" si="4"/>
        <v>#NAME?</v>
      </c>
      <c r="Z18" s="54" t="e">
        <f t="shared" si="5"/>
        <v>#NAME?</v>
      </c>
      <c r="AA18" s="54" t="e">
        <f t="shared" si="6"/>
        <v>#NAME?</v>
      </c>
      <c r="AB18" s="54" t="e">
        <f>(BSPrice($B18*0.8,$J18,$K18,$C18,($I18-#REF!)/365,$G18,$H18,$D18)-BSPrice($B18,$J18,$K18,$C18,($I18-#REF!)/365,$G18,$H18,$D18))*$F18</f>
        <v>#NAME?</v>
      </c>
      <c r="AC18" s="54" t="e">
        <f>(BSPrice($B18*0.9,$J18,$K18,$C18,($I18-#REF!)/365,$G18,$H18,$D18)-BSPrice($B18,$J18,$K18,$C18,($I18-#REF!)/365,$G18,$H18,$D18))*$F18</f>
        <v>#NAME?</v>
      </c>
      <c r="AD18" s="54" t="e">
        <f>(BSPrice($B18*0.95,$J18,$K18,$C18,($I18-#REF!)/365,$G18,$H18,$D18)-BSPrice($B18,$J18,$K18,$C18,($I18-#REF!)/365,$G18,$H18,$D18))*$F18</f>
        <v>#NAME?</v>
      </c>
      <c r="AE18" s="54" t="e">
        <f>(BSPrice($B18*0.98,$J18,$K18,$C18,($I18-#REF!)/365,$G18,$H18,$D18)-BSPrice($B18,$J18,$K18,$C18,($I18-#REF!)/365,$G18,$H18,$D18))*$F18</f>
        <v>#NAME?</v>
      </c>
      <c r="AF18" s="54" t="e">
        <f>(BSPrice($B18*1.02,$J18,$K18,$C18,($I18-#REF!)/365,$G18,$H18,$D18)-BSPrice($B18,$J18,$K18,$C18,($I18-#REF!)/365,$G18,$H18,$D18))*$F18</f>
        <v>#NAME?</v>
      </c>
      <c r="AG18" s="54" t="e">
        <f>(BSPrice($B18*1.05,$J18,$K18,$C18,($I18-#REF!)/365,$G18,$H18,$D18)-BSPrice($B18,$J18,$K18,$C18,($I18-#REF!)/365,$G18,$H18,$D18))*$F18</f>
        <v>#NAME?</v>
      </c>
      <c r="AH18" s="54" t="e">
        <f>(BSPrice($B18*1.1,$J18,$K18,$C18,($I18-#REF!)/365,$G18,$H18,$D18)-BSPrice($B18,$J18,$K18,$C18,($I18-#REF!)/365,$G18,$H18,$D18))*$F18</f>
        <v>#NAME?</v>
      </c>
      <c r="AI18" s="54" t="e">
        <f>(BSPrice($B18*1.2,$J18,$K18,$C18,($I18-#REF!)/365,$G18,$H18,$D18)-BSPrice($B18,$J18,$K18,$C18,($I18-#REF!)/365,$G18,$H18,$D18))*$F18</f>
        <v>#NAME?</v>
      </c>
      <c r="AJ18" s="54" t="e">
        <f>(BSPrice($B18,$J18-0.1,$K18,$C18,($I18-#REF!)/365,$G18,$H18,$D18)-BSPrice($B18,$J18,$K18,$C18,($I18-#REF!)/365,$G18,$H18,$D18))*$F18</f>
        <v>#NAME?</v>
      </c>
      <c r="AK18" s="54" t="e">
        <f>(BSPrice($B18,$J18-0.05,$K18,$C18,($I18-#REF!)/365,$G18,$H18,$D18)-BSPrice($B18,$J18,$K18,$C18,($I18-#REF!)/365,$G18,$H18,$D18))*$F18</f>
        <v>#NAME?</v>
      </c>
      <c r="AL18" s="54" t="e">
        <f>(BSPrice($B18,$J18-0.02,$K18,$C18,($I18-#REF!)/365,$G18,$H18,$D18)-BSPrice($B18,$J18,$K18,$C18,($I18-#REF!)/365,$G18,$H18,$D18))*$F18</f>
        <v>#NAME?</v>
      </c>
      <c r="AM18" s="54" t="e">
        <f>(BSPrice($B18,$J18-0.01,$K18,$C18,($I18-#REF!)/365,$G18,$H18,$D18)-BSPrice($B18,$J18,$K18,$C18,($I18-#REF!)/365,$G18,$H18,$D18))*$F18</f>
        <v>#NAME?</v>
      </c>
      <c r="AN18" s="54" t="e">
        <f>(BSPrice($B18,$J18+0.01,$K18,$C18,($I18-#REF!)/365,$G18,$H18,$D18)-BSPrice($B18,$J18,$K18,$C18,($I18-#REF!)/365,$G18,$H18,$D18))*$F18</f>
        <v>#NAME?</v>
      </c>
      <c r="AO18" s="54" t="e">
        <f>(BSPrice($B18,$J18+0.02,$K18,$C18,($I18-#REF!)/365,$G18,$H18,$D18)-BSPrice($B18,$J18,$K18,$C18,($I18-#REF!)/365,$G18,$H18,$D18))*$F18</f>
        <v>#NAME?</v>
      </c>
      <c r="AP18" s="54" t="e">
        <f>(BSPrice($B18,$J18+0.05,$K18,$C18,($I18-#REF!)/365,$G18,$H18,$D18)-BSPrice($B18,$J18,$K18,$C18,($I18-#REF!)/365,$G18,$H18,$D18))*$F18</f>
        <v>#NAME?</v>
      </c>
      <c r="AQ18" s="54" t="e">
        <f>(BSPrice($B18,$J18+0.1,$K18,$C18,($I18-#REF!)/365,$G18,$H18,$D18)-BSPrice($B18,$J18,$K18,$C18,($I18-#REF!)/365,$G18,$H18,$D18))*$F18</f>
        <v>#NAME?</v>
      </c>
    </row>
    <row r="19" spans="1:43">
      <c r="A19" s="67" t="s">
        <v>52</v>
      </c>
      <c r="B19" s="44">
        <f>VLOOKUP(A19,PriceData!$K$4:$L$6,2,FALSE)</f>
        <v>1100</v>
      </c>
      <c r="C19" s="45">
        <f>VLOOKUP(A19,PriceData!$K$4:$M$6,3,FALSE)</f>
        <v>0.02</v>
      </c>
      <c r="D19" s="44" t="s">
        <v>56</v>
      </c>
      <c r="E19" s="44" t="s">
        <v>54</v>
      </c>
      <c r="F19" s="44">
        <v>50</v>
      </c>
      <c r="G19" s="44">
        <v>1331</v>
      </c>
      <c r="H19" s="44" t="s">
        <v>59</v>
      </c>
      <c r="I19" s="68">
        <v>40347</v>
      </c>
      <c r="J19" s="45">
        <f>FindImpliedVol(A19,D19,G19,I19)</f>
        <v>0.329703728044274</v>
      </c>
      <c r="K19" s="69">
        <f>VLOOKUP(I19,PriceData!$A$5:$D$7,MATCH($E19,PriceData!$A$4:$D$4,0),FALSE)</f>
        <v>0.015</v>
      </c>
      <c r="L19" s="52" t="e">
        <f>BSPrice($B19,$J19,$K19,$C19,($I19-#REF!)/365,$G19,$H19,$D19)</f>
        <v>#NAME?</v>
      </c>
      <c r="M19" s="52" t="e">
        <f t="shared" si="0"/>
        <v>#NAME?</v>
      </c>
      <c r="N19" s="44" t="s">
        <v>55</v>
      </c>
      <c r="P19" s="49" t="e">
        <f>BSDelta(B19,J19,K19,C19,(I19-#REF!)/365,G19,H19,D19)</f>
        <v>#NAME?</v>
      </c>
      <c r="Q19" s="49" t="e">
        <f>BSGamma(B19,J19,K19,C19,(I19-#REF!)/365,G19,D19)</f>
        <v>#NAME?</v>
      </c>
      <c r="R19" s="51" t="e">
        <f>BSVega(B19,J19,K19,C19,(I19-#REF!)/365,G19,D19)</f>
        <v>#NAME?</v>
      </c>
      <c r="S19" s="51" t="e">
        <f>BSVolga(B19,J19,K19,C19,(I19-#REF!)/365,G19,D19)</f>
        <v>#NAME?</v>
      </c>
      <c r="T19" s="51" t="e">
        <f>BSTheta(B19,J19,K19,C19,(I19-#REF!)/365,G19,H19,D19)</f>
        <v>#NAME?</v>
      </c>
      <c r="U19" s="52" t="e">
        <f>BSRho(B19,J19,K19,C19,(I19-#REF!)/365,G19,H19,D19)</f>
        <v>#NAME?</v>
      </c>
      <c r="V19" s="70" t="e">
        <f t="shared" si="1"/>
        <v>#NAME?</v>
      </c>
      <c r="W19" s="70" t="e">
        <f t="shared" si="2"/>
        <v>#NAME?</v>
      </c>
      <c r="X19" s="54" t="e">
        <f t="shared" si="3"/>
        <v>#NAME?</v>
      </c>
      <c r="Y19" s="54" t="e">
        <f t="shared" si="4"/>
        <v>#NAME?</v>
      </c>
      <c r="Z19" s="54" t="e">
        <f t="shared" si="5"/>
        <v>#NAME?</v>
      </c>
      <c r="AA19" s="54" t="e">
        <f t="shared" si="6"/>
        <v>#NAME?</v>
      </c>
      <c r="AB19" s="54" t="e">
        <f>(BSPrice($B19*0.8,$J19,$K19,$C19,($I19-#REF!)/365,$G19,$H19,$D19)-BSPrice($B19,$J19,$K19,$C19,($I19-#REF!)/365,$G19,$H19,$D19))*$F19</f>
        <v>#NAME?</v>
      </c>
      <c r="AC19" s="54" t="e">
        <f>(BSPrice($B19*0.9,$J19,$K19,$C19,($I19-#REF!)/365,$G19,$H19,$D19)-BSPrice($B19,$J19,$K19,$C19,($I19-#REF!)/365,$G19,$H19,$D19))*$F19</f>
        <v>#NAME?</v>
      </c>
      <c r="AD19" s="54" t="e">
        <f>(BSPrice($B19*0.95,$J19,$K19,$C19,($I19-#REF!)/365,$G19,$H19,$D19)-BSPrice($B19,$J19,$K19,$C19,($I19-#REF!)/365,$G19,$H19,$D19))*$F19</f>
        <v>#NAME?</v>
      </c>
      <c r="AE19" s="54" t="e">
        <f>(BSPrice($B19*0.98,$J19,$K19,$C19,($I19-#REF!)/365,$G19,$H19,$D19)-BSPrice($B19,$J19,$K19,$C19,($I19-#REF!)/365,$G19,$H19,$D19))*$F19</f>
        <v>#NAME?</v>
      </c>
      <c r="AF19" s="54" t="e">
        <f>(BSPrice($B19*1.02,$J19,$K19,$C19,($I19-#REF!)/365,$G19,$H19,$D19)-BSPrice($B19,$J19,$K19,$C19,($I19-#REF!)/365,$G19,$H19,$D19))*$F19</f>
        <v>#NAME?</v>
      </c>
      <c r="AG19" s="54" t="e">
        <f>(BSPrice($B19*1.05,$J19,$K19,$C19,($I19-#REF!)/365,$G19,$H19,$D19)-BSPrice($B19,$J19,$K19,$C19,($I19-#REF!)/365,$G19,$H19,$D19))*$F19</f>
        <v>#NAME?</v>
      </c>
      <c r="AH19" s="54" t="e">
        <f>(BSPrice($B19*1.1,$J19,$K19,$C19,($I19-#REF!)/365,$G19,$H19,$D19)-BSPrice($B19,$J19,$K19,$C19,($I19-#REF!)/365,$G19,$H19,$D19))*$F19</f>
        <v>#NAME?</v>
      </c>
      <c r="AI19" s="54" t="e">
        <f>(BSPrice($B19*1.2,$J19,$K19,$C19,($I19-#REF!)/365,$G19,$H19,$D19)-BSPrice($B19,$J19,$K19,$C19,($I19-#REF!)/365,$G19,$H19,$D19))*$F19</f>
        <v>#NAME?</v>
      </c>
      <c r="AJ19" s="54" t="e">
        <f>(BSPrice($B19,$J19-0.1,$K19,$C19,($I19-#REF!)/365,$G19,$H19,$D19)-BSPrice($B19,$J19,$K19,$C19,($I19-#REF!)/365,$G19,$H19,$D19))*$F19</f>
        <v>#NAME?</v>
      </c>
      <c r="AK19" s="54" t="e">
        <f>(BSPrice($B19,$J19-0.05,$K19,$C19,($I19-#REF!)/365,$G19,$H19,$D19)-BSPrice($B19,$J19,$K19,$C19,($I19-#REF!)/365,$G19,$H19,$D19))*$F19</f>
        <v>#NAME?</v>
      </c>
      <c r="AL19" s="54" t="e">
        <f>(BSPrice($B19,$J19-0.02,$K19,$C19,($I19-#REF!)/365,$G19,$H19,$D19)-BSPrice($B19,$J19,$K19,$C19,($I19-#REF!)/365,$G19,$H19,$D19))*$F19</f>
        <v>#NAME?</v>
      </c>
      <c r="AM19" s="54" t="e">
        <f>(BSPrice($B19,$J19-0.01,$K19,$C19,($I19-#REF!)/365,$G19,$H19,$D19)-BSPrice($B19,$J19,$K19,$C19,($I19-#REF!)/365,$G19,$H19,$D19))*$F19</f>
        <v>#NAME?</v>
      </c>
      <c r="AN19" s="54" t="e">
        <f>(BSPrice($B19,$J19+0.01,$K19,$C19,($I19-#REF!)/365,$G19,$H19,$D19)-BSPrice($B19,$J19,$K19,$C19,($I19-#REF!)/365,$G19,$H19,$D19))*$F19</f>
        <v>#NAME?</v>
      </c>
      <c r="AO19" s="54" t="e">
        <f>(BSPrice($B19,$J19+0.02,$K19,$C19,($I19-#REF!)/365,$G19,$H19,$D19)-BSPrice($B19,$J19,$K19,$C19,($I19-#REF!)/365,$G19,$H19,$D19))*$F19</f>
        <v>#NAME?</v>
      </c>
      <c r="AP19" s="54" t="e">
        <f>(BSPrice($B19,$J19+0.05,$K19,$C19,($I19-#REF!)/365,$G19,$H19,$D19)-BSPrice($B19,$J19,$K19,$C19,($I19-#REF!)/365,$G19,$H19,$D19))*$F19</f>
        <v>#NAME?</v>
      </c>
      <c r="AQ19" s="54" t="e">
        <f>(BSPrice($B19,$J19+0.1,$K19,$C19,($I19-#REF!)/365,$G19,$H19,$D19)-BSPrice($B19,$J19,$K19,$C19,($I19-#REF!)/365,$G19,$H19,$D19))*$F19</f>
        <v>#NAME?</v>
      </c>
    </row>
    <row r="20" spans="1:43">
      <c r="A20" s="67" t="s">
        <v>52</v>
      </c>
      <c r="B20" s="44">
        <f>VLOOKUP(A20,PriceData!$K$4:$L$6,2,FALSE)</f>
        <v>1100</v>
      </c>
      <c r="C20" s="45">
        <f>VLOOKUP(A20,PriceData!$K$4:$M$6,3,FALSE)</f>
        <v>0.02</v>
      </c>
      <c r="D20" s="44" t="s">
        <v>56</v>
      </c>
      <c r="E20" s="44" t="s">
        <v>54</v>
      </c>
      <c r="F20" s="44">
        <v>50</v>
      </c>
      <c r="G20" s="44">
        <v>1298</v>
      </c>
      <c r="H20" s="44" t="s">
        <v>59</v>
      </c>
      <c r="I20" s="68">
        <v>40347</v>
      </c>
      <c r="J20" s="45">
        <f>FindImpliedVol(A20,D20,G20,I20)</f>
        <v>0.328311460759489</v>
      </c>
      <c r="K20" s="69">
        <f>VLOOKUP(I20,PriceData!$A$5:$D$7,MATCH($E20,PriceData!$A$4:$D$4,0),FALSE)</f>
        <v>0.015</v>
      </c>
      <c r="L20" s="52" t="e">
        <f>BSPrice($B20,$J20,$K20,$C20,($I20-#REF!)/365,$G20,$H20,$D20)</f>
        <v>#NAME?</v>
      </c>
      <c r="M20" s="52" t="e">
        <f t="shared" si="0"/>
        <v>#NAME?</v>
      </c>
      <c r="N20" s="44" t="s">
        <v>55</v>
      </c>
      <c r="P20" s="49" t="e">
        <f>BSDelta(B20,J20,K20,C20,(I20-#REF!)/365,G20,H20,D20)</f>
        <v>#NAME?</v>
      </c>
      <c r="Q20" s="49" t="e">
        <f>BSGamma(B20,J20,K20,C20,(I20-#REF!)/365,G20,D20)</f>
        <v>#NAME?</v>
      </c>
      <c r="R20" s="51" t="e">
        <f>BSVega(B20,J20,K20,C20,(I20-#REF!)/365,G20,D20)</f>
        <v>#NAME?</v>
      </c>
      <c r="S20" s="51" t="e">
        <f>BSVolga(B20,J20,K20,C20,(I20-#REF!)/365,G20,D20)</f>
        <v>#NAME?</v>
      </c>
      <c r="T20" s="51" t="e">
        <f>BSTheta(B20,J20,K20,C20,(I20-#REF!)/365,G20,H20,D20)</f>
        <v>#NAME?</v>
      </c>
      <c r="U20" s="52" t="e">
        <f>BSRho(B20,J20,K20,C20,(I20-#REF!)/365,G20,H20,D20)</f>
        <v>#NAME?</v>
      </c>
      <c r="V20" s="70" t="e">
        <f t="shared" si="1"/>
        <v>#NAME?</v>
      </c>
      <c r="W20" s="70" t="e">
        <f t="shared" si="2"/>
        <v>#NAME?</v>
      </c>
      <c r="X20" s="54" t="e">
        <f t="shared" si="3"/>
        <v>#NAME?</v>
      </c>
      <c r="Y20" s="54" t="e">
        <f t="shared" si="4"/>
        <v>#NAME?</v>
      </c>
      <c r="Z20" s="54" t="e">
        <f t="shared" si="5"/>
        <v>#NAME?</v>
      </c>
      <c r="AA20" s="54" t="e">
        <f t="shared" si="6"/>
        <v>#NAME?</v>
      </c>
      <c r="AB20" s="54" t="e">
        <f>(BSPrice($B20*0.8,$J20,$K20,$C20,($I20-#REF!)/365,$G20,$H20,$D20)-BSPrice($B20,$J20,$K20,$C20,($I20-#REF!)/365,$G20,$H20,$D20))*$F20</f>
        <v>#NAME?</v>
      </c>
      <c r="AC20" s="54" t="e">
        <f>(BSPrice($B20*0.9,$J20,$K20,$C20,($I20-#REF!)/365,$G20,$H20,$D20)-BSPrice($B20,$J20,$K20,$C20,($I20-#REF!)/365,$G20,$H20,$D20))*$F20</f>
        <v>#NAME?</v>
      </c>
      <c r="AD20" s="54" t="e">
        <f>(BSPrice($B20*0.95,$J20,$K20,$C20,($I20-#REF!)/365,$G20,$H20,$D20)-BSPrice($B20,$J20,$K20,$C20,($I20-#REF!)/365,$G20,$H20,$D20))*$F20</f>
        <v>#NAME?</v>
      </c>
      <c r="AE20" s="54" t="e">
        <f>(BSPrice($B20*0.98,$J20,$K20,$C20,($I20-#REF!)/365,$G20,$H20,$D20)-BSPrice($B20,$J20,$K20,$C20,($I20-#REF!)/365,$G20,$H20,$D20))*$F20</f>
        <v>#NAME?</v>
      </c>
      <c r="AF20" s="54" t="e">
        <f>(BSPrice($B20*1.02,$J20,$K20,$C20,($I20-#REF!)/365,$G20,$H20,$D20)-BSPrice($B20,$J20,$K20,$C20,($I20-#REF!)/365,$G20,$H20,$D20))*$F20</f>
        <v>#NAME?</v>
      </c>
      <c r="AG20" s="54" t="e">
        <f>(BSPrice($B20*1.05,$J20,$K20,$C20,($I20-#REF!)/365,$G20,$H20,$D20)-BSPrice($B20,$J20,$K20,$C20,($I20-#REF!)/365,$G20,$H20,$D20))*$F20</f>
        <v>#NAME?</v>
      </c>
      <c r="AH20" s="54" t="e">
        <f>(BSPrice($B20*1.1,$J20,$K20,$C20,($I20-#REF!)/365,$G20,$H20,$D20)-BSPrice($B20,$J20,$K20,$C20,($I20-#REF!)/365,$G20,$H20,$D20))*$F20</f>
        <v>#NAME?</v>
      </c>
      <c r="AI20" s="54" t="e">
        <f>(BSPrice($B20*1.2,$J20,$K20,$C20,($I20-#REF!)/365,$G20,$H20,$D20)-BSPrice($B20,$J20,$K20,$C20,($I20-#REF!)/365,$G20,$H20,$D20))*$F20</f>
        <v>#NAME?</v>
      </c>
      <c r="AJ20" s="54" t="e">
        <f>(BSPrice($B20,$J20-0.1,$K20,$C20,($I20-#REF!)/365,$G20,$H20,$D20)-BSPrice($B20,$J20,$K20,$C20,($I20-#REF!)/365,$G20,$H20,$D20))*$F20</f>
        <v>#NAME?</v>
      </c>
      <c r="AK20" s="54" t="e">
        <f>(BSPrice($B20,$J20-0.05,$K20,$C20,($I20-#REF!)/365,$G20,$H20,$D20)-BSPrice($B20,$J20,$K20,$C20,($I20-#REF!)/365,$G20,$H20,$D20))*$F20</f>
        <v>#NAME?</v>
      </c>
      <c r="AL20" s="54" t="e">
        <f>(BSPrice($B20,$J20-0.02,$K20,$C20,($I20-#REF!)/365,$G20,$H20,$D20)-BSPrice($B20,$J20,$K20,$C20,($I20-#REF!)/365,$G20,$H20,$D20))*$F20</f>
        <v>#NAME?</v>
      </c>
      <c r="AM20" s="54" t="e">
        <f>(BSPrice($B20,$J20-0.01,$K20,$C20,($I20-#REF!)/365,$G20,$H20,$D20)-BSPrice($B20,$J20,$K20,$C20,($I20-#REF!)/365,$G20,$H20,$D20))*$F20</f>
        <v>#NAME?</v>
      </c>
      <c r="AN20" s="54" t="e">
        <f>(BSPrice($B20,$J20+0.01,$K20,$C20,($I20-#REF!)/365,$G20,$H20,$D20)-BSPrice($B20,$J20,$K20,$C20,($I20-#REF!)/365,$G20,$H20,$D20))*$F20</f>
        <v>#NAME?</v>
      </c>
      <c r="AO20" s="54" t="e">
        <f>(BSPrice($B20,$J20+0.02,$K20,$C20,($I20-#REF!)/365,$G20,$H20,$D20)-BSPrice($B20,$J20,$K20,$C20,($I20-#REF!)/365,$G20,$H20,$D20))*$F20</f>
        <v>#NAME?</v>
      </c>
      <c r="AP20" s="54" t="e">
        <f>(BSPrice($B20,$J20+0.05,$K20,$C20,($I20-#REF!)/365,$G20,$H20,$D20)-BSPrice($B20,$J20,$K20,$C20,($I20-#REF!)/365,$G20,$H20,$D20))*$F20</f>
        <v>#NAME?</v>
      </c>
      <c r="AQ20" s="54" t="e">
        <f>(BSPrice($B20,$J20+0.1,$K20,$C20,($I20-#REF!)/365,$G20,$H20,$D20)-BSPrice($B20,$J20,$K20,$C20,($I20-#REF!)/365,$G20,$H20,$D20))*$F20</f>
        <v>#NAME?</v>
      </c>
    </row>
    <row r="21" spans="1:43">
      <c r="A21" s="67" t="s">
        <v>52</v>
      </c>
      <c r="B21" s="44">
        <f>VLOOKUP(A21,PriceData!$K$4:$L$6,2,FALSE)</f>
        <v>1100</v>
      </c>
      <c r="C21" s="45">
        <f>VLOOKUP(A21,PriceData!$K$4:$M$6,3,FALSE)</f>
        <v>0.02</v>
      </c>
      <c r="D21" s="44" t="s">
        <v>56</v>
      </c>
      <c r="E21" s="44" t="s">
        <v>54</v>
      </c>
      <c r="F21" s="44">
        <v>-30</v>
      </c>
      <c r="G21" s="44">
        <v>1232</v>
      </c>
      <c r="H21" s="44" t="s">
        <v>59</v>
      </c>
      <c r="I21" s="68">
        <v>40347</v>
      </c>
      <c r="J21" s="45">
        <f>FindImpliedVol(A21,D21,G21,I21)</f>
        <v>0.329313693436319</v>
      </c>
      <c r="K21" s="69">
        <f>VLOOKUP(I21,PriceData!$A$5:$D$7,MATCH($E21,PriceData!$A$4:$D$4,0),FALSE)</f>
        <v>0.015</v>
      </c>
      <c r="L21" s="52" t="e">
        <f>BSPrice($B21,$J21,$K21,$C21,($I21-#REF!)/365,$G21,$H21,$D21)</f>
        <v>#NAME?</v>
      </c>
      <c r="M21" s="52" t="e">
        <f t="shared" si="0"/>
        <v>#NAME?</v>
      </c>
      <c r="N21" s="44" t="s">
        <v>55</v>
      </c>
      <c r="P21" s="49" t="e">
        <f>BSDelta(B21,J21,K21,C21,(I21-#REF!)/365,G21,H21,D21)</f>
        <v>#NAME?</v>
      </c>
      <c r="Q21" s="49" t="e">
        <f>BSGamma(B21,J21,K21,C21,(I21-#REF!)/365,G21,D21)</f>
        <v>#NAME?</v>
      </c>
      <c r="R21" s="51" t="e">
        <f>BSVega(B21,J21,K21,C21,(I21-#REF!)/365,G21,D21)</f>
        <v>#NAME?</v>
      </c>
      <c r="S21" s="51" t="e">
        <f>BSVolga(B21,J21,K21,C21,(I21-#REF!)/365,G21,D21)</f>
        <v>#NAME?</v>
      </c>
      <c r="T21" s="51" t="e">
        <f>BSTheta(B21,J21,K21,C21,(I21-#REF!)/365,G21,H21,D21)</f>
        <v>#NAME?</v>
      </c>
      <c r="U21" s="52" t="e">
        <f>BSRho(B21,J21,K21,C21,(I21-#REF!)/365,G21,H21,D21)</f>
        <v>#NAME?</v>
      </c>
      <c r="V21" s="70" t="e">
        <f t="shared" si="1"/>
        <v>#NAME?</v>
      </c>
      <c r="W21" s="70" t="e">
        <f t="shared" si="2"/>
        <v>#NAME?</v>
      </c>
      <c r="X21" s="54" t="e">
        <f t="shared" si="3"/>
        <v>#NAME?</v>
      </c>
      <c r="Y21" s="54" t="e">
        <f t="shared" si="4"/>
        <v>#NAME?</v>
      </c>
      <c r="Z21" s="54" t="e">
        <f t="shared" si="5"/>
        <v>#NAME?</v>
      </c>
      <c r="AA21" s="54" t="e">
        <f t="shared" si="6"/>
        <v>#NAME?</v>
      </c>
      <c r="AB21" s="54" t="e">
        <f>(BSPrice($B21*0.8,$J21,$K21,$C21,($I21-#REF!)/365,$G21,$H21,$D21)-BSPrice($B21,$J21,$K21,$C21,($I21-#REF!)/365,$G21,$H21,$D21))*$F21</f>
        <v>#NAME?</v>
      </c>
      <c r="AC21" s="54" t="e">
        <f>(BSPrice($B21*0.9,$J21,$K21,$C21,($I21-#REF!)/365,$G21,$H21,$D21)-BSPrice($B21,$J21,$K21,$C21,($I21-#REF!)/365,$G21,$H21,$D21))*$F21</f>
        <v>#NAME?</v>
      </c>
      <c r="AD21" s="54" t="e">
        <f>(BSPrice($B21*0.95,$J21,$K21,$C21,($I21-#REF!)/365,$G21,$H21,$D21)-BSPrice($B21,$J21,$K21,$C21,($I21-#REF!)/365,$G21,$H21,$D21))*$F21</f>
        <v>#NAME?</v>
      </c>
      <c r="AE21" s="54" t="e">
        <f>(BSPrice($B21*0.98,$J21,$K21,$C21,($I21-#REF!)/365,$G21,$H21,$D21)-BSPrice($B21,$J21,$K21,$C21,($I21-#REF!)/365,$G21,$H21,$D21))*$F21</f>
        <v>#NAME?</v>
      </c>
      <c r="AF21" s="54" t="e">
        <f>(BSPrice($B21*1.02,$J21,$K21,$C21,($I21-#REF!)/365,$G21,$H21,$D21)-BSPrice($B21,$J21,$K21,$C21,($I21-#REF!)/365,$G21,$H21,$D21))*$F21</f>
        <v>#NAME?</v>
      </c>
      <c r="AG21" s="54" t="e">
        <f>(BSPrice($B21*1.05,$J21,$K21,$C21,($I21-#REF!)/365,$G21,$H21,$D21)-BSPrice($B21,$J21,$K21,$C21,($I21-#REF!)/365,$G21,$H21,$D21))*$F21</f>
        <v>#NAME?</v>
      </c>
      <c r="AH21" s="54" t="e">
        <f>(BSPrice($B21*1.1,$J21,$K21,$C21,($I21-#REF!)/365,$G21,$H21,$D21)-BSPrice($B21,$J21,$K21,$C21,($I21-#REF!)/365,$G21,$H21,$D21))*$F21</f>
        <v>#NAME?</v>
      </c>
      <c r="AI21" s="54" t="e">
        <f>(BSPrice($B21*1.2,$J21,$K21,$C21,($I21-#REF!)/365,$G21,$H21,$D21)-BSPrice($B21,$J21,$K21,$C21,($I21-#REF!)/365,$G21,$H21,$D21))*$F21</f>
        <v>#NAME?</v>
      </c>
      <c r="AJ21" s="54" t="e">
        <f>(BSPrice($B21,$J21-0.1,$K21,$C21,($I21-#REF!)/365,$G21,$H21,$D21)-BSPrice($B21,$J21,$K21,$C21,($I21-#REF!)/365,$G21,$H21,$D21))*$F21</f>
        <v>#NAME?</v>
      </c>
      <c r="AK21" s="54" t="e">
        <f>(BSPrice($B21,$J21-0.05,$K21,$C21,($I21-#REF!)/365,$G21,$H21,$D21)-BSPrice($B21,$J21,$K21,$C21,($I21-#REF!)/365,$G21,$H21,$D21))*$F21</f>
        <v>#NAME?</v>
      </c>
      <c r="AL21" s="54" t="e">
        <f>(BSPrice($B21,$J21-0.02,$K21,$C21,($I21-#REF!)/365,$G21,$H21,$D21)-BSPrice($B21,$J21,$K21,$C21,($I21-#REF!)/365,$G21,$H21,$D21))*$F21</f>
        <v>#NAME?</v>
      </c>
      <c r="AM21" s="54" t="e">
        <f>(BSPrice($B21,$J21-0.01,$K21,$C21,($I21-#REF!)/365,$G21,$H21,$D21)-BSPrice($B21,$J21,$K21,$C21,($I21-#REF!)/365,$G21,$H21,$D21))*$F21</f>
        <v>#NAME?</v>
      </c>
      <c r="AN21" s="54" t="e">
        <f>(BSPrice($B21,$J21+0.01,$K21,$C21,($I21-#REF!)/365,$G21,$H21,$D21)-BSPrice($B21,$J21,$K21,$C21,($I21-#REF!)/365,$G21,$H21,$D21))*$F21</f>
        <v>#NAME?</v>
      </c>
      <c r="AO21" s="54" t="e">
        <f>(BSPrice($B21,$J21+0.02,$K21,$C21,($I21-#REF!)/365,$G21,$H21,$D21)-BSPrice($B21,$J21,$K21,$C21,($I21-#REF!)/365,$G21,$H21,$D21))*$F21</f>
        <v>#NAME?</v>
      </c>
      <c r="AP21" s="54" t="e">
        <f>(BSPrice($B21,$J21+0.05,$K21,$C21,($I21-#REF!)/365,$G21,$H21,$D21)-BSPrice($B21,$J21,$K21,$C21,($I21-#REF!)/365,$G21,$H21,$D21))*$F21</f>
        <v>#NAME?</v>
      </c>
      <c r="AQ21" s="54" t="e">
        <f>(BSPrice($B21,$J21+0.1,$K21,$C21,($I21-#REF!)/365,$G21,$H21,$D21)-BSPrice($B21,$J21,$K21,$C21,($I21-#REF!)/365,$G21,$H21,$D21))*$F21</f>
        <v>#NAME?</v>
      </c>
    </row>
    <row r="22" spans="1:43">
      <c r="A22" s="67" t="s">
        <v>52</v>
      </c>
      <c r="B22" s="44">
        <f>VLOOKUP(A22,PriceData!$K$4:$L$6,2,FALSE)</f>
        <v>1100</v>
      </c>
      <c r="C22" s="45">
        <f>VLOOKUP(A22,PriceData!$K$4:$M$6,3,FALSE)</f>
        <v>0.02</v>
      </c>
      <c r="D22" s="44" t="s">
        <v>56</v>
      </c>
      <c r="E22" s="44" t="s">
        <v>54</v>
      </c>
      <c r="F22" s="44">
        <v>-30</v>
      </c>
      <c r="G22" s="44">
        <v>1001</v>
      </c>
      <c r="H22" s="44" t="s">
        <v>57</v>
      </c>
      <c r="I22" s="68">
        <v>40347</v>
      </c>
      <c r="J22" s="45">
        <f>FindImpliedVol(A22,D22,G22,I22)</f>
        <v>0.420283906366369</v>
      </c>
      <c r="K22" s="69">
        <f>VLOOKUP(I22,PriceData!$A$5:$D$7,MATCH($E22,PriceData!$A$4:$D$4,0),FALSE)</f>
        <v>0.015</v>
      </c>
      <c r="L22" s="52" t="e">
        <f>BSPrice($B22,$J22,$K22,$C22,($I22-#REF!)/365,$G22,$H22,$D22)</f>
        <v>#NAME?</v>
      </c>
      <c r="M22" s="52" t="e">
        <f t="shared" si="0"/>
        <v>#NAME?</v>
      </c>
      <c r="N22" s="44" t="s">
        <v>60</v>
      </c>
      <c r="P22" s="49" t="e">
        <f>BSDelta(B22,J22,K22,C22,(I22-#REF!)/365,G22,H22,D22)</f>
        <v>#NAME?</v>
      </c>
      <c r="Q22" s="49" t="e">
        <f>BSGamma(B22,J22,K22,C22,(I22-#REF!)/365,G22,D22)</f>
        <v>#NAME?</v>
      </c>
      <c r="R22" s="51" t="e">
        <f>BSVega(B22,J22,K22,C22,(I22-#REF!)/365,G22,D22)</f>
        <v>#NAME?</v>
      </c>
      <c r="S22" s="51" t="e">
        <f>BSVolga(B22,J22,K22,C22,(I22-#REF!)/365,G22,D22)</f>
        <v>#NAME?</v>
      </c>
      <c r="T22" s="51" t="e">
        <f>BSTheta(B22,J22,K22,C22,(I22-#REF!)/365,G22,H22,D22)</f>
        <v>#NAME?</v>
      </c>
      <c r="U22" s="52" t="e">
        <f>BSRho(B22,J22,K22,C22,(I22-#REF!)/365,G22,H22,D22)</f>
        <v>#NAME?</v>
      </c>
      <c r="V22" s="70" t="e">
        <f t="shared" si="1"/>
        <v>#NAME?</v>
      </c>
      <c r="W22" s="70" t="e">
        <f t="shared" si="2"/>
        <v>#NAME?</v>
      </c>
      <c r="X22" s="54" t="e">
        <f t="shared" si="3"/>
        <v>#NAME?</v>
      </c>
      <c r="Y22" s="54" t="e">
        <f t="shared" si="4"/>
        <v>#NAME?</v>
      </c>
      <c r="Z22" s="54" t="e">
        <f t="shared" si="5"/>
        <v>#NAME?</v>
      </c>
      <c r="AA22" s="54" t="e">
        <f t="shared" si="6"/>
        <v>#NAME?</v>
      </c>
      <c r="AB22" s="54" t="e">
        <f>(BSPrice($B22*0.8,$J22,$K22,$C22,($I22-#REF!)/365,$G22,$H22,$D22)-BSPrice($B22,$J22,$K22,$C22,($I22-#REF!)/365,$G22,$H22,$D22))*$F22</f>
        <v>#NAME?</v>
      </c>
      <c r="AC22" s="54" t="e">
        <f>(BSPrice($B22*0.9,$J22,$K22,$C22,($I22-#REF!)/365,$G22,$H22,$D22)-BSPrice($B22,$J22,$K22,$C22,($I22-#REF!)/365,$G22,$H22,$D22))*$F22</f>
        <v>#NAME?</v>
      </c>
      <c r="AD22" s="54" t="e">
        <f>(BSPrice($B22*0.95,$J22,$K22,$C22,($I22-#REF!)/365,$G22,$H22,$D22)-BSPrice($B22,$J22,$K22,$C22,($I22-#REF!)/365,$G22,$H22,$D22))*$F22</f>
        <v>#NAME?</v>
      </c>
      <c r="AE22" s="54" t="e">
        <f>(BSPrice($B22*0.98,$J22,$K22,$C22,($I22-#REF!)/365,$G22,$H22,$D22)-BSPrice($B22,$J22,$K22,$C22,($I22-#REF!)/365,$G22,$H22,$D22))*$F22</f>
        <v>#NAME?</v>
      </c>
      <c r="AF22" s="54" t="e">
        <f>(BSPrice($B22*1.02,$J22,$K22,$C22,($I22-#REF!)/365,$G22,$H22,$D22)-BSPrice($B22,$J22,$K22,$C22,($I22-#REF!)/365,$G22,$H22,$D22))*$F22</f>
        <v>#NAME?</v>
      </c>
      <c r="AG22" s="54" t="e">
        <f>(BSPrice($B22*1.05,$J22,$K22,$C22,($I22-#REF!)/365,$G22,$H22,$D22)-BSPrice($B22,$J22,$K22,$C22,($I22-#REF!)/365,$G22,$H22,$D22))*$F22</f>
        <v>#NAME?</v>
      </c>
      <c r="AH22" s="54" t="e">
        <f>(BSPrice($B22*1.1,$J22,$K22,$C22,($I22-#REF!)/365,$G22,$H22,$D22)-BSPrice($B22,$J22,$K22,$C22,($I22-#REF!)/365,$G22,$H22,$D22))*$F22</f>
        <v>#NAME?</v>
      </c>
      <c r="AI22" s="54" t="e">
        <f>(BSPrice($B22*1.2,$J22,$K22,$C22,($I22-#REF!)/365,$G22,$H22,$D22)-BSPrice($B22,$J22,$K22,$C22,($I22-#REF!)/365,$G22,$H22,$D22))*$F22</f>
        <v>#NAME?</v>
      </c>
      <c r="AJ22" s="54" t="e">
        <f>(BSPrice($B22,$J22-0.1,$K22,$C22,($I22-#REF!)/365,$G22,$H22,$D22)-BSPrice($B22,$J22,$K22,$C22,($I22-#REF!)/365,$G22,$H22,$D22))*$F22</f>
        <v>#NAME?</v>
      </c>
      <c r="AK22" s="54" t="e">
        <f>(BSPrice($B22,$J22-0.05,$K22,$C22,($I22-#REF!)/365,$G22,$H22,$D22)-BSPrice($B22,$J22,$K22,$C22,($I22-#REF!)/365,$G22,$H22,$D22))*$F22</f>
        <v>#NAME?</v>
      </c>
      <c r="AL22" s="54" t="e">
        <f>(BSPrice($B22,$J22-0.02,$K22,$C22,($I22-#REF!)/365,$G22,$H22,$D22)-BSPrice($B22,$J22,$K22,$C22,($I22-#REF!)/365,$G22,$H22,$D22))*$F22</f>
        <v>#NAME?</v>
      </c>
      <c r="AM22" s="54" t="e">
        <f>(BSPrice($B22,$J22-0.01,$K22,$C22,($I22-#REF!)/365,$G22,$H22,$D22)-BSPrice($B22,$J22,$K22,$C22,($I22-#REF!)/365,$G22,$H22,$D22))*$F22</f>
        <v>#NAME?</v>
      </c>
      <c r="AN22" s="54" t="e">
        <f>(BSPrice($B22,$J22+0.01,$K22,$C22,($I22-#REF!)/365,$G22,$H22,$D22)-BSPrice($B22,$J22,$K22,$C22,($I22-#REF!)/365,$G22,$H22,$D22))*$F22</f>
        <v>#NAME?</v>
      </c>
      <c r="AO22" s="54" t="e">
        <f>(BSPrice($B22,$J22+0.02,$K22,$C22,($I22-#REF!)/365,$G22,$H22,$D22)-BSPrice($B22,$J22,$K22,$C22,($I22-#REF!)/365,$G22,$H22,$D22))*$F22</f>
        <v>#NAME?</v>
      </c>
      <c r="AP22" s="54" t="e">
        <f>(BSPrice($B22,$J22+0.05,$K22,$C22,($I22-#REF!)/365,$G22,$H22,$D22)-BSPrice($B22,$J22,$K22,$C22,($I22-#REF!)/365,$G22,$H22,$D22))*$F22</f>
        <v>#NAME?</v>
      </c>
      <c r="AQ22" s="54" t="e">
        <f>(BSPrice($B22,$J22+0.1,$K22,$C22,($I22-#REF!)/365,$G22,$H22,$D22)-BSPrice($B22,$J22,$K22,$C22,($I22-#REF!)/365,$G22,$H22,$D22))*$F22</f>
        <v>#NAME?</v>
      </c>
    </row>
    <row r="23" spans="1:43">
      <c r="A23" s="67" t="s">
        <v>52</v>
      </c>
      <c r="B23" s="44">
        <f>VLOOKUP(A23,PriceData!$K$4:$L$6,2,FALSE)</f>
        <v>1100</v>
      </c>
      <c r="C23" s="45">
        <f>VLOOKUP(A23,PriceData!$K$4:$M$6,3,FALSE)</f>
        <v>0.02</v>
      </c>
      <c r="D23" s="44" t="s">
        <v>56</v>
      </c>
      <c r="E23" s="44" t="s">
        <v>54</v>
      </c>
      <c r="F23" s="44">
        <v>-50</v>
      </c>
      <c r="G23" s="44">
        <v>1100</v>
      </c>
      <c r="H23" s="44" t="s">
        <v>59</v>
      </c>
      <c r="I23" s="68">
        <v>40347</v>
      </c>
      <c r="J23" s="45">
        <f>FindImpliedVol(A23,D23,G23,I23)</f>
        <v>0.358905934721634</v>
      </c>
      <c r="K23" s="69">
        <f>VLOOKUP(I23,PriceData!$A$5:$D$7,MATCH($E23,PriceData!$A$4:$D$4,0),FALSE)</f>
        <v>0.015</v>
      </c>
      <c r="L23" s="52" t="e">
        <f>BSPrice($B23,$J23,$K23,$C23,($I23-#REF!)/365,$G23,$H23,$D23)</f>
        <v>#NAME?</v>
      </c>
      <c r="M23" s="52" t="e">
        <f t="shared" si="0"/>
        <v>#NAME?</v>
      </c>
      <c r="N23" s="44" t="s">
        <v>55</v>
      </c>
      <c r="P23" s="49" t="e">
        <f>BSDelta(B23,J23,K23,C23,(I23-#REF!)/365,G23,H23,D23)</f>
        <v>#NAME?</v>
      </c>
      <c r="Q23" s="49" t="e">
        <f>BSGamma(B23,J23,K23,C23,(I23-#REF!)/365,G23,D23)</f>
        <v>#NAME?</v>
      </c>
      <c r="R23" s="51" t="e">
        <f>BSVega(B23,J23,K23,C23,(I23-#REF!)/365,G23,D23)</f>
        <v>#NAME?</v>
      </c>
      <c r="S23" s="51" t="e">
        <f>BSVolga(B23,J23,K23,C23,(I23-#REF!)/365,G23,D23)</f>
        <v>#NAME?</v>
      </c>
      <c r="T23" s="51" t="e">
        <f>BSTheta(B23,J23,K23,C23,(I23-#REF!)/365,G23,H23,D23)</f>
        <v>#NAME?</v>
      </c>
      <c r="U23" s="52" t="e">
        <f>BSRho(B23,J23,K23,C23,(I23-#REF!)/365,G23,H23,D23)</f>
        <v>#NAME?</v>
      </c>
      <c r="V23" s="70" t="e">
        <f t="shared" si="1"/>
        <v>#NAME?</v>
      </c>
      <c r="W23" s="70" t="e">
        <f t="shared" si="2"/>
        <v>#NAME?</v>
      </c>
      <c r="X23" s="54" t="e">
        <f t="shared" si="3"/>
        <v>#NAME?</v>
      </c>
      <c r="Y23" s="54" t="e">
        <f t="shared" si="4"/>
        <v>#NAME?</v>
      </c>
      <c r="Z23" s="54" t="e">
        <f t="shared" si="5"/>
        <v>#NAME?</v>
      </c>
      <c r="AA23" s="54" t="e">
        <f t="shared" si="6"/>
        <v>#NAME?</v>
      </c>
      <c r="AB23" s="54" t="e">
        <f>(BSPrice($B23*0.8,$J23,$K23,$C23,($I23-#REF!)/365,$G23,$H23,$D23)-BSPrice($B23,$J23,$K23,$C23,($I23-#REF!)/365,$G23,$H23,$D23))*$F23</f>
        <v>#NAME?</v>
      </c>
      <c r="AC23" s="54" t="e">
        <f>(BSPrice($B23*0.9,$J23,$K23,$C23,($I23-#REF!)/365,$G23,$H23,$D23)-BSPrice($B23,$J23,$K23,$C23,($I23-#REF!)/365,$G23,$H23,$D23))*$F23</f>
        <v>#NAME?</v>
      </c>
      <c r="AD23" s="54" t="e">
        <f>(BSPrice($B23*0.95,$J23,$K23,$C23,($I23-#REF!)/365,$G23,$H23,$D23)-BSPrice($B23,$J23,$K23,$C23,($I23-#REF!)/365,$G23,$H23,$D23))*$F23</f>
        <v>#NAME?</v>
      </c>
      <c r="AE23" s="54" t="e">
        <f>(BSPrice($B23*0.98,$J23,$K23,$C23,($I23-#REF!)/365,$G23,$H23,$D23)-BSPrice($B23,$J23,$K23,$C23,($I23-#REF!)/365,$G23,$H23,$D23))*$F23</f>
        <v>#NAME?</v>
      </c>
      <c r="AF23" s="54" t="e">
        <f>(BSPrice($B23*1.02,$J23,$K23,$C23,($I23-#REF!)/365,$G23,$H23,$D23)-BSPrice($B23,$J23,$K23,$C23,($I23-#REF!)/365,$G23,$H23,$D23))*$F23</f>
        <v>#NAME?</v>
      </c>
      <c r="AG23" s="54" t="e">
        <f>(BSPrice($B23*1.05,$J23,$K23,$C23,($I23-#REF!)/365,$G23,$H23,$D23)-BSPrice($B23,$J23,$K23,$C23,($I23-#REF!)/365,$G23,$H23,$D23))*$F23</f>
        <v>#NAME?</v>
      </c>
      <c r="AH23" s="54" t="e">
        <f>(BSPrice($B23*1.1,$J23,$K23,$C23,($I23-#REF!)/365,$G23,$H23,$D23)-BSPrice($B23,$J23,$K23,$C23,($I23-#REF!)/365,$G23,$H23,$D23))*$F23</f>
        <v>#NAME?</v>
      </c>
      <c r="AI23" s="54" t="e">
        <f>(BSPrice($B23*1.2,$J23,$K23,$C23,($I23-#REF!)/365,$G23,$H23,$D23)-BSPrice($B23,$J23,$K23,$C23,($I23-#REF!)/365,$G23,$H23,$D23))*$F23</f>
        <v>#NAME?</v>
      </c>
      <c r="AJ23" s="54" t="e">
        <f>(BSPrice($B23,$J23-0.1,$K23,$C23,($I23-#REF!)/365,$G23,$H23,$D23)-BSPrice($B23,$J23,$K23,$C23,($I23-#REF!)/365,$G23,$H23,$D23))*$F23</f>
        <v>#NAME?</v>
      </c>
      <c r="AK23" s="54" t="e">
        <f>(BSPrice($B23,$J23-0.05,$K23,$C23,($I23-#REF!)/365,$G23,$H23,$D23)-BSPrice($B23,$J23,$K23,$C23,($I23-#REF!)/365,$G23,$H23,$D23))*$F23</f>
        <v>#NAME?</v>
      </c>
      <c r="AL23" s="54" t="e">
        <f>(BSPrice($B23,$J23-0.02,$K23,$C23,($I23-#REF!)/365,$G23,$H23,$D23)-BSPrice($B23,$J23,$K23,$C23,($I23-#REF!)/365,$G23,$H23,$D23))*$F23</f>
        <v>#NAME?</v>
      </c>
      <c r="AM23" s="54" t="e">
        <f>(BSPrice($B23,$J23-0.01,$K23,$C23,($I23-#REF!)/365,$G23,$H23,$D23)-BSPrice($B23,$J23,$K23,$C23,($I23-#REF!)/365,$G23,$H23,$D23))*$F23</f>
        <v>#NAME?</v>
      </c>
      <c r="AN23" s="54" t="e">
        <f>(BSPrice($B23,$J23+0.01,$K23,$C23,($I23-#REF!)/365,$G23,$H23,$D23)-BSPrice($B23,$J23,$K23,$C23,($I23-#REF!)/365,$G23,$H23,$D23))*$F23</f>
        <v>#NAME?</v>
      </c>
      <c r="AO23" s="54" t="e">
        <f>(BSPrice($B23,$J23+0.02,$K23,$C23,($I23-#REF!)/365,$G23,$H23,$D23)-BSPrice($B23,$J23,$K23,$C23,($I23-#REF!)/365,$G23,$H23,$D23))*$F23</f>
        <v>#NAME?</v>
      </c>
      <c r="AP23" s="54" t="e">
        <f>(BSPrice($B23,$J23+0.05,$K23,$C23,($I23-#REF!)/365,$G23,$H23,$D23)-BSPrice($B23,$J23,$K23,$C23,($I23-#REF!)/365,$G23,$H23,$D23))*$F23</f>
        <v>#NAME?</v>
      </c>
      <c r="AQ23" s="54" t="e">
        <f>(BSPrice($B23,$J23+0.1,$K23,$C23,($I23-#REF!)/365,$G23,$H23,$D23)-BSPrice($B23,$J23,$K23,$C23,($I23-#REF!)/365,$G23,$H23,$D23))*$F23</f>
        <v>#NAME?</v>
      </c>
    </row>
    <row r="24" spans="1:43">
      <c r="A24" s="67" t="s">
        <v>52</v>
      </c>
      <c r="B24" s="44">
        <f>VLOOKUP(A24,PriceData!$K$4:$L$6,2,FALSE)</f>
        <v>1100</v>
      </c>
      <c r="C24" s="45">
        <f>VLOOKUP(A24,PriceData!$K$4:$M$6,3,FALSE)</f>
        <v>0.02</v>
      </c>
      <c r="D24" s="44" t="s">
        <v>56</v>
      </c>
      <c r="E24" s="44" t="s">
        <v>54</v>
      </c>
      <c r="F24" s="44">
        <v>-20</v>
      </c>
      <c r="G24" s="44">
        <v>1034</v>
      </c>
      <c r="H24" s="44" t="s">
        <v>57</v>
      </c>
      <c r="I24" s="68">
        <v>40347</v>
      </c>
      <c r="J24" s="45">
        <f>FindImpliedVol(A24,D24,G24,I24)</f>
        <v>0.39554283909253</v>
      </c>
      <c r="K24" s="69">
        <f>VLOOKUP(I24,PriceData!$A$5:$D$7,MATCH($E24,PriceData!$A$4:$D$4,0),FALSE)</f>
        <v>0.015</v>
      </c>
      <c r="L24" s="52" t="e">
        <f>BSPrice($B24,$J24,$K24,$C24,($I24-#REF!)/365,$G24,$H24,$D24)</f>
        <v>#NAME?</v>
      </c>
      <c r="M24" s="52" t="e">
        <f t="shared" si="0"/>
        <v>#NAME?</v>
      </c>
      <c r="N24" s="44" t="s">
        <v>55</v>
      </c>
      <c r="P24" s="49" t="e">
        <f>BSDelta(B24,J24,K24,C24,(I24-#REF!)/365,G24,H24,D24)</f>
        <v>#NAME?</v>
      </c>
      <c r="Q24" s="49" t="e">
        <f>BSGamma(B24,J24,K24,C24,(I24-#REF!)/365,G24,D24)</f>
        <v>#NAME?</v>
      </c>
      <c r="R24" s="51" t="e">
        <f>BSVega(B24,J24,K24,C24,(I24-#REF!)/365,G24,D24)</f>
        <v>#NAME?</v>
      </c>
      <c r="S24" s="51" t="e">
        <f>BSVolga(B24,J24,K24,C24,(I24-#REF!)/365,G24,D24)</f>
        <v>#NAME?</v>
      </c>
      <c r="T24" s="51" t="e">
        <f>BSTheta(B24,J24,K24,C24,(I24-#REF!)/365,G24,H24,D24)</f>
        <v>#NAME?</v>
      </c>
      <c r="U24" s="52" t="e">
        <f>BSRho(B24,J24,K24,C24,(I24-#REF!)/365,G24,H24,D24)</f>
        <v>#NAME?</v>
      </c>
      <c r="V24" s="70" t="e">
        <f t="shared" si="1"/>
        <v>#NAME?</v>
      </c>
      <c r="W24" s="70" t="e">
        <f t="shared" si="2"/>
        <v>#NAME?</v>
      </c>
      <c r="X24" s="54" t="e">
        <f t="shared" si="3"/>
        <v>#NAME?</v>
      </c>
      <c r="Y24" s="54" t="e">
        <f t="shared" si="4"/>
        <v>#NAME?</v>
      </c>
      <c r="Z24" s="54" t="e">
        <f t="shared" si="5"/>
        <v>#NAME?</v>
      </c>
      <c r="AA24" s="54" t="e">
        <f t="shared" si="6"/>
        <v>#NAME?</v>
      </c>
      <c r="AB24" s="54" t="e">
        <f>(BSPrice($B24*0.8,$J24,$K24,$C24,($I24-#REF!)/365,$G24,$H24,$D24)-BSPrice($B24,$J24,$K24,$C24,($I24-#REF!)/365,$G24,$H24,$D24))*$F24</f>
        <v>#NAME?</v>
      </c>
      <c r="AC24" s="54" t="e">
        <f>(BSPrice($B24*0.9,$J24,$K24,$C24,($I24-#REF!)/365,$G24,$H24,$D24)-BSPrice($B24,$J24,$K24,$C24,($I24-#REF!)/365,$G24,$H24,$D24))*$F24</f>
        <v>#NAME?</v>
      </c>
      <c r="AD24" s="54" t="e">
        <f>(BSPrice($B24*0.95,$J24,$K24,$C24,($I24-#REF!)/365,$G24,$H24,$D24)-BSPrice($B24,$J24,$K24,$C24,($I24-#REF!)/365,$G24,$H24,$D24))*$F24</f>
        <v>#NAME?</v>
      </c>
      <c r="AE24" s="54" t="e">
        <f>(BSPrice($B24*0.98,$J24,$K24,$C24,($I24-#REF!)/365,$G24,$H24,$D24)-BSPrice($B24,$J24,$K24,$C24,($I24-#REF!)/365,$G24,$H24,$D24))*$F24</f>
        <v>#NAME?</v>
      </c>
      <c r="AF24" s="54" t="e">
        <f>(BSPrice($B24*1.02,$J24,$K24,$C24,($I24-#REF!)/365,$G24,$H24,$D24)-BSPrice($B24,$J24,$K24,$C24,($I24-#REF!)/365,$G24,$H24,$D24))*$F24</f>
        <v>#NAME?</v>
      </c>
      <c r="AG24" s="54" t="e">
        <f>(BSPrice($B24*1.05,$J24,$K24,$C24,($I24-#REF!)/365,$G24,$H24,$D24)-BSPrice($B24,$J24,$K24,$C24,($I24-#REF!)/365,$G24,$H24,$D24))*$F24</f>
        <v>#NAME?</v>
      </c>
      <c r="AH24" s="54" t="e">
        <f>(BSPrice($B24*1.1,$J24,$K24,$C24,($I24-#REF!)/365,$G24,$H24,$D24)-BSPrice($B24,$J24,$K24,$C24,($I24-#REF!)/365,$G24,$H24,$D24))*$F24</f>
        <v>#NAME?</v>
      </c>
      <c r="AI24" s="54" t="e">
        <f>(BSPrice($B24*1.2,$J24,$K24,$C24,($I24-#REF!)/365,$G24,$H24,$D24)-BSPrice($B24,$J24,$K24,$C24,($I24-#REF!)/365,$G24,$H24,$D24))*$F24</f>
        <v>#NAME?</v>
      </c>
      <c r="AJ24" s="54" t="e">
        <f>(BSPrice($B24,$J24-0.1,$K24,$C24,($I24-#REF!)/365,$G24,$H24,$D24)-BSPrice($B24,$J24,$K24,$C24,($I24-#REF!)/365,$G24,$H24,$D24))*$F24</f>
        <v>#NAME?</v>
      </c>
      <c r="AK24" s="54" t="e">
        <f>(BSPrice($B24,$J24-0.05,$K24,$C24,($I24-#REF!)/365,$G24,$H24,$D24)-BSPrice($B24,$J24,$K24,$C24,($I24-#REF!)/365,$G24,$H24,$D24))*$F24</f>
        <v>#NAME?</v>
      </c>
      <c r="AL24" s="54" t="e">
        <f>(BSPrice($B24,$J24-0.02,$K24,$C24,($I24-#REF!)/365,$G24,$H24,$D24)-BSPrice($B24,$J24,$K24,$C24,($I24-#REF!)/365,$G24,$H24,$D24))*$F24</f>
        <v>#NAME?</v>
      </c>
      <c r="AM24" s="54" t="e">
        <f>(BSPrice($B24,$J24-0.01,$K24,$C24,($I24-#REF!)/365,$G24,$H24,$D24)-BSPrice($B24,$J24,$K24,$C24,($I24-#REF!)/365,$G24,$H24,$D24))*$F24</f>
        <v>#NAME?</v>
      </c>
      <c r="AN24" s="54" t="e">
        <f>(BSPrice($B24,$J24+0.01,$K24,$C24,($I24-#REF!)/365,$G24,$H24,$D24)-BSPrice($B24,$J24,$K24,$C24,($I24-#REF!)/365,$G24,$H24,$D24))*$F24</f>
        <v>#NAME?</v>
      </c>
      <c r="AO24" s="54" t="e">
        <f>(BSPrice($B24,$J24+0.02,$K24,$C24,($I24-#REF!)/365,$G24,$H24,$D24)-BSPrice($B24,$J24,$K24,$C24,($I24-#REF!)/365,$G24,$H24,$D24))*$F24</f>
        <v>#NAME?</v>
      </c>
      <c r="AP24" s="54" t="e">
        <f>(BSPrice($B24,$J24+0.05,$K24,$C24,($I24-#REF!)/365,$G24,$H24,$D24)-BSPrice($B24,$J24,$K24,$C24,($I24-#REF!)/365,$G24,$H24,$D24))*$F24</f>
        <v>#NAME?</v>
      </c>
      <c r="AQ24" s="54" t="e">
        <f>(BSPrice($B24,$J24+0.1,$K24,$C24,($I24-#REF!)/365,$G24,$H24,$D24)-BSPrice($B24,$J24,$K24,$C24,($I24-#REF!)/365,$G24,$H24,$D24))*$F24</f>
        <v>#NAME?</v>
      </c>
    </row>
    <row r="25" spans="1:43">
      <c r="A25" s="67" t="s">
        <v>52</v>
      </c>
      <c r="B25" s="44">
        <f>VLOOKUP(A25,PriceData!$K$4:$L$6,2,FALSE)</f>
        <v>1100</v>
      </c>
      <c r="C25" s="45">
        <f>VLOOKUP(A25,PriceData!$K$4:$M$6,3,FALSE)</f>
        <v>0.02</v>
      </c>
      <c r="D25" s="44" t="s">
        <v>56</v>
      </c>
      <c r="E25" s="44" t="s">
        <v>54</v>
      </c>
      <c r="F25" s="44">
        <v>-20</v>
      </c>
      <c r="G25" s="44">
        <v>1034</v>
      </c>
      <c r="H25" s="44" t="s">
        <v>59</v>
      </c>
      <c r="I25" s="68">
        <v>40347</v>
      </c>
      <c r="J25" s="45">
        <f>FindImpliedVol(A25,D25,G25,I25)</f>
        <v>0.39554283909253</v>
      </c>
      <c r="K25" s="69">
        <f>VLOOKUP(I25,PriceData!$A$5:$D$7,MATCH($E25,PriceData!$A$4:$D$4,0),FALSE)</f>
        <v>0.015</v>
      </c>
      <c r="L25" s="52" t="e">
        <f>BSPrice($B25,$J25,$K25,$C25,($I25-#REF!)/365,$G25,$H25,$D25)</f>
        <v>#NAME?</v>
      </c>
      <c r="M25" s="52" t="e">
        <f t="shared" si="0"/>
        <v>#NAME?</v>
      </c>
      <c r="N25" s="44" t="s">
        <v>61</v>
      </c>
      <c r="P25" s="49" t="e">
        <f>BSDelta(B25,J25,K25,C25,(I25-#REF!)/365,G25,H25,D25)</f>
        <v>#NAME?</v>
      </c>
      <c r="Q25" s="49" t="e">
        <f>BSGamma(B25,J25,K25,C25,(I25-#REF!)/365,G25,D25)</f>
        <v>#NAME?</v>
      </c>
      <c r="R25" s="51" t="e">
        <f>BSVega(B25,J25,K25,C25,(I25-#REF!)/365,G25,D25)</f>
        <v>#NAME?</v>
      </c>
      <c r="S25" s="51" t="e">
        <f>BSVolga(B25,J25,K25,C25,(I25-#REF!)/365,G25,D25)</f>
        <v>#NAME?</v>
      </c>
      <c r="T25" s="51" t="e">
        <f>BSTheta(B25,J25,K25,C25,(I25-#REF!)/365,G25,H25,D25)</f>
        <v>#NAME?</v>
      </c>
      <c r="U25" s="52" t="e">
        <f>BSRho(B25,J25,K25,C25,(I25-#REF!)/365,G25,H25,D25)</f>
        <v>#NAME?</v>
      </c>
      <c r="V25" s="70" t="e">
        <f t="shared" si="1"/>
        <v>#NAME?</v>
      </c>
      <c r="W25" s="70" t="e">
        <f t="shared" si="2"/>
        <v>#NAME?</v>
      </c>
      <c r="X25" s="54" t="e">
        <f t="shared" si="3"/>
        <v>#NAME?</v>
      </c>
      <c r="Y25" s="54" t="e">
        <f t="shared" si="4"/>
        <v>#NAME?</v>
      </c>
      <c r="Z25" s="54" t="e">
        <f t="shared" si="5"/>
        <v>#NAME?</v>
      </c>
      <c r="AA25" s="54" t="e">
        <f t="shared" si="6"/>
        <v>#NAME?</v>
      </c>
      <c r="AB25" s="54" t="e">
        <f>(BSPrice($B25*0.8,$J25,$K25,$C25,($I25-#REF!)/365,$G25,$H25,$D25)-BSPrice($B25,$J25,$K25,$C25,($I25-#REF!)/365,$G25,$H25,$D25))*$F25</f>
        <v>#NAME?</v>
      </c>
      <c r="AC25" s="54" t="e">
        <f>(BSPrice($B25*0.9,$J25,$K25,$C25,($I25-#REF!)/365,$G25,$H25,$D25)-BSPrice($B25,$J25,$K25,$C25,($I25-#REF!)/365,$G25,$H25,$D25))*$F25</f>
        <v>#NAME?</v>
      </c>
      <c r="AD25" s="54" t="e">
        <f>(BSPrice($B25*0.95,$J25,$K25,$C25,($I25-#REF!)/365,$G25,$H25,$D25)-BSPrice($B25,$J25,$K25,$C25,($I25-#REF!)/365,$G25,$H25,$D25))*$F25</f>
        <v>#NAME?</v>
      </c>
      <c r="AE25" s="54" t="e">
        <f>(BSPrice($B25*0.98,$J25,$K25,$C25,($I25-#REF!)/365,$G25,$H25,$D25)-BSPrice($B25,$J25,$K25,$C25,($I25-#REF!)/365,$G25,$H25,$D25))*$F25</f>
        <v>#NAME?</v>
      </c>
      <c r="AF25" s="54" t="e">
        <f>(BSPrice($B25*1.02,$J25,$K25,$C25,($I25-#REF!)/365,$G25,$H25,$D25)-BSPrice($B25,$J25,$K25,$C25,($I25-#REF!)/365,$G25,$H25,$D25))*$F25</f>
        <v>#NAME?</v>
      </c>
      <c r="AG25" s="54" t="e">
        <f>(BSPrice($B25*1.05,$J25,$K25,$C25,($I25-#REF!)/365,$G25,$H25,$D25)-BSPrice($B25,$J25,$K25,$C25,($I25-#REF!)/365,$G25,$H25,$D25))*$F25</f>
        <v>#NAME?</v>
      </c>
      <c r="AH25" s="54" t="e">
        <f>(BSPrice($B25*1.1,$J25,$K25,$C25,($I25-#REF!)/365,$G25,$H25,$D25)-BSPrice($B25,$J25,$K25,$C25,($I25-#REF!)/365,$G25,$H25,$D25))*$F25</f>
        <v>#NAME?</v>
      </c>
      <c r="AI25" s="54" t="e">
        <f>(BSPrice($B25*1.2,$J25,$K25,$C25,($I25-#REF!)/365,$G25,$H25,$D25)-BSPrice($B25,$J25,$K25,$C25,($I25-#REF!)/365,$G25,$H25,$D25))*$F25</f>
        <v>#NAME?</v>
      </c>
      <c r="AJ25" s="54" t="e">
        <f>(BSPrice($B25,$J25-0.1,$K25,$C25,($I25-#REF!)/365,$G25,$H25,$D25)-BSPrice($B25,$J25,$K25,$C25,($I25-#REF!)/365,$G25,$H25,$D25))*$F25</f>
        <v>#NAME?</v>
      </c>
      <c r="AK25" s="54" t="e">
        <f>(BSPrice($B25,$J25-0.05,$K25,$C25,($I25-#REF!)/365,$G25,$H25,$D25)-BSPrice($B25,$J25,$K25,$C25,($I25-#REF!)/365,$G25,$H25,$D25))*$F25</f>
        <v>#NAME?</v>
      </c>
      <c r="AL25" s="54" t="e">
        <f>(BSPrice($B25,$J25-0.02,$K25,$C25,($I25-#REF!)/365,$G25,$H25,$D25)-BSPrice($B25,$J25,$K25,$C25,($I25-#REF!)/365,$G25,$H25,$D25))*$F25</f>
        <v>#NAME?</v>
      </c>
      <c r="AM25" s="54" t="e">
        <f>(BSPrice($B25,$J25-0.01,$K25,$C25,($I25-#REF!)/365,$G25,$H25,$D25)-BSPrice($B25,$J25,$K25,$C25,($I25-#REF!)/365,$G25,$H25,$D25))*$F25</f>
        <v>#NAME?</v>
      </c>
      <c r="AN25" s="54" t="e">
        <f>(BSPrice($B25,$J25+0.01,$K25,$C25,($I25-#REF!)/365,$G25,$H25,$D25)-BSPrice($B25,$J25,$K25,$C25,($I25-#REF!)/365,$G25,$H25,$D25))*$F25</f>
        <v>#NAME?</v>
      </c>
      <c r="AO25" s="54" t="e">
        <f>(BSPrice($B25,$J25+0.02,$K25,$C25,($I25-#REF!)/365,$G25,$H25,$D25)-BSPrice($B25,$J25,$K25,$C25,($I25-#REF!)/365,$G25,$H25,$D25))*$F25</f>
        <v>#NAME?</v>
      </c>
      <c r="AP25" s="54" t="e">
        <f>(BSPrice($B25,$J25+0.05,$K25,$C25,($I25-#REF!)/365,$G25,$H25,$D25)-BSPrice($B25,$J25,$K25,$C25,($I25-#REF!)/365,$G25,$H25,$D25))*$F25</f>
        <v>#NAME?</v>
      </c>
      <c r="AQ25" s="54" t="e">
        <f>(BSPrice($B25,$J25+0.1,$K25,$C25,($I25-#REF!)/365,$G25,$H25,$D25)-BSPrice($B25,$J25,$K25,$C25,($I25-#REF!)/365,$G25,$H25,$D25))*$F25</f>
        <v>#NAME?</v>
      </c>
    </row>
    <row r="26" spans="1:43">
      <c r="A26" s="67" t="s">
        <v>52</v>
      </c>
      <c r="B26" s="44">
        <f>VLOOKUP(A26,PriceData!$K$4:$L$6,2,FALSE)</f>
        <v>1100</v>
      </c>
      <c r="C26" s="45">
        <f>VLOOKUP(A26,PriceData!$K$4:$M$6,3,FALSE)</f>
        <v>0.02</v>
      </c>
      <c r="D26" s="44" t="s">
        <v>56</v>
      </c>
      <c r="E26" s="44" t="s">
        <v>54</v>
      </c>
      <c r="F26" s="44">
        <v>-50</v>
      </c>
      <c r="G26" s="44">
        <v>1100</v>
      </c>
      <c r="H26" s="44" t="s">
        <v>57</v>
      </c>
      <c r="I26" s="68">
        <v>40438</v>
      </c>
      <c r="J26" s="45">
        <f>FindImpliedVol(A26,D26,G26,I26)</f>
        <v>0.329154786984487</v>
      </c>
      <c r="K26" s="69">
        <f>VLOOKUP(I26,PriceData!$A$5:$D$7,MATCH($E26,PriceData!$A$4:$D$4,0),FALSE)</f>
        <v>0.0175</v>
      </c>
      <c r="L26" s="52" t="e">
        <f>BSPrice($B26,$J26,$K26,$C26,($I26-#REF!)/365,$G26,$H26,$D26)</f>
        <v>#NAME?</v>
      </c>
      <c r="M26" s="52" t="e">
        <f t="shared" si="0"/>
        <v>#NAME?</v>
      </c>
      <c r="N26" s="44" t="s">
        <v>55</v>
      </c>
      <c r="P26" s="49" t="e">
        <f>BSDelta(B26,J26,K26,C26,(I26-#REF!)/365,G26,H26,D26)</f>
        <v>#NAME?</v>
      </c>
      <c r="Q26" s="49" t="e">
        <f>BSGamma(B26,J26,K26,C26,(I26-#REF!)/365,G26,D26)</f>
        <v>#NAME?</v>
      </c>
      <c r="R26" s="51" t="e">
        <f>BSVega(B26,J26,K26,C26,(I26-#REF!)/365,G26,D26)</f>
        <v>#NAME?</v>
      </c>
      <c r="S26" s="51" t="e">
        <f>BSVolga(B26,J26,K26,C26,(I26-#REF!)/365,G26,D26)</f>
        <v>#NAME?</v>
      </c>
      <c r="T26" s="51" t="e">
        <f>BSTheta(B26,J26,K26,C26,(I26-#REF!)/365,G26,H26,D26)</f>
        <v>#NAME?</v>
      </c>
      <c r="U26" s="52" t="e">
        <f>BSRho(B26,J26,K26,C26,(I26-#REF!)/365,G26,H26,D26)</f>
        <v>#NAME?</v>
      </c>
      <c r="V26" s="70" t="e">
        <f t="shared" si="1"/>
        <v>#NAME?</v>
      </c>
      <c r="W26" s="70" t="e">
        <f t="shared" si="2"/>
        <v>#NAME?</v>
      </c>
      <c r="X26" s="54" t="e">
        <f t="shared" si="3"/>
        <v>#NAME?</v>
      </c>
      <c r="Y26" s="54" t="e">
        <f t="shared" si="4"/>
        <v>#NAME?</v>
      </c>
      <c r="Z26" s="54" t="e">
        <f t="shared" si="5"/>
        <v>#NAME?</v>
      </c>
      <c r="AA26" s="54" t="e">
        <f t="shared" si="6"/>
        <v>#NAME?</v>
      </c>
      <c r="AB26" s="54" t="e">
        <f>(BSPrice($B26*0.8,$J26,$K26,$C26,($I26-#REF!)/365,$G26,$H26,$D26)-BSPrice($B26,$J26,$K26,$C26,($I26-#REF!)/365,$G26,$H26,$D26))*$F26</f>
        <v>#NAME?</v>
      </c>
      <c r="AC26" s="54" t="e">
        <f>(BSPrice($B26*0.9,$J26,$K26,$C26,($I26-#REF!)/365,$G26,$H26,$D26)-BSPrice($B26,$J26,$K26,$C26,($I26-#REF!)/365,$G26,$H26,$D26))*$F26</f>
        <v>#NAME?</v>
      </c>
      <c r="AD26" s="54" t="e">
        <f>(BSPrice($B26*0.95,$J26,$K26,$C26,($I26-#REF!)/365,$G26,$H26,$D26)-BSPrice($B26,$J26,$K26,$C26,($I26-#REF!)/365,$G26,$H26,$D26))*$F26</f>
        <v>#NAME?</v>
      </c>
      <c r="AE26" s="54" t="e">
        <f>(BSPrice($B26*0.98,$J26,$K26,$C26,($I26-#REF!)/365,$G26,$H26,$D26)-BSPrice($B26,$J26,$K26,$C26,($I26-#REF!)/365,$G26,$H26,$D26))*$F26</f>
        <v>#NAME?</v>
      </c>
      <c r="AF26" s="54" t="e">
        <f>(BSPrice($B26*1.02,$J26,$K26,$C26,($I26-#REF!)/365,$G26,$H26,$D26)-BSPrice($B26,$J26,$K26,$C26,($I26-#REF!)/365,$G26,$H26,$D26))*$F26</f>
        <v>#NAME?</v>
      </c>
      <c r="AG26" s="54" t="e">
        <f>(BSPrice($B26*1.05,$J26,$K26,$C26,($I26-#REF!)/365,$G26,$H26,$D26)-BSPrice($B26,$J26,$K26,$C26,($I26-#REF!)/365,$G26,$H26,$D26))*$F26</f>
        <v>#NAME?</v>
      </c>
      <c r="AH26" s="54" t="e">
        <f>(BSPrice($B26*1.1,$J26,$K26,$C26,($I26-#REF!)/365,$G26,$H26,$D26)-BSPrice($B26,$J26,$K26,$C26,($I26-#REF!)/365,$G26,$H26,$D26))*$F26</f>
        <v>#NAME?</v>
      </c>
      <c r="AI26" s="54" t="e">
        <f>(BSPrice($B26*1.2,$J26,$K26,$C26,($I26-#REF!)/365,$G26,$H26,$D26)-BSPrice($B26,$J26,$K26,$C26,($I26-#REF!)/365,$G26,$H26,$D26))*$F26</f>
        <v>#NAME?</v>
      </c>
      <c r="AJ26" s="54" t="e">
        <f>(BSPrice($B26,$J26-0.1,$K26,$C26,($I26-#REF!)/365,$G26,$H26,$D26)-BSPrice($B26,$J26,$K26,$C26,($I26-#REF!)/365,$G26,$H26,$D26))*$F26</f>
        <v>#NAME?</v>
      </c>
      <c r="AK26" s="54" t="e">
        <f>(BSPrice($B26,$J26-0.05,$K26,$C26,($I26-#REF!)/365,$G26,$H26,$D26)-BSPrice($B26,$J26,$K26,$C26,($I26-#REF!)/365,$G26,$H26,$D26))*$F26</f>
        <v>#NAME?</v>
      </c>
      <c r="AL26" s="54" t="e">
        <f>(BSPrice($B26,$J26-0.02,$K26,$C26,($I26-#REF!)/365,$G26,$H26,$D26)-BSPrice($B26,$J26,$K26,$C26,($I26-#REF!)/365,$G26,$H26,$D26))*$F26</f>
        <v>#NAME?</v>
      </c>
      <c r="AM26" s="54" t="e">
        <f>(BSPrice($B26,$J26-0.01,$K26,$C26,($I26-#REF!)/365,$G26,$H26,$D26)-BSPrice($B26,$J26,$K26,$C26,($I26-#REF!)/365,$G26,$H26,$D26))*$F26</f>
        <v>#NAME?</v>
      </c>
      <c r="AN26" s="54" t="e">
        <f>(BSPrice($B26,$J26+0.01,$K26,$C26,($I26-#REF!)/365,$G26,$H26,$D26)-BSPrice($B26,$J26,$K26,$C26,($I26-#REF!)/365,$G26,$H26,$D26))*$F26</f>
        <v>#NAME?</v>
      </c>
      <c r="AO26" s="54" t="e">
        <f>(BSPrice($B26,$J26+0.02,$K26,$C26,($I26-#REF!)/365,$G26,$H26,$D26)-BSPrice($B26,$J26,$K26,$C26,($I26-#REF!)/365,$G26,$H26,$D26))*$F26</f>
        <v>#NAME?</v>
      </c>
      <c r="AP26" s="54" t="e">
        <f>(BSPrice($B26,$J26+0.05,$K26,$C26,($I26-#REF!)/365,$G26,$H26,$D26)-BSPrice($B26,$J26,$K26,$C26,($I26-#REF!)/365,$G26,$H26,$D26))*$F26</f>
        <v>#NAME?</v>
      </c>
      <c r="AQ26" s="54" t="e">
        <f>(BSPrice($B26,$J26+0.1,$K26,$C26,($I26-#REF!)/365,$G26,$H26,$D26)-BSPrice($B26,$J26,$K26,$C26,($I26-#REF!)/365,$G26,$H26,$D26))*$F26</f>
        <v>#NAME?</v>
      </c>
    </row>
    <row r="27" spans="1:43">
      <c r="A27" s="67" t="s">
        <v>52</v>
      </c>
      <c r="B27" s="44">
        <f>VLOOKUP(A27,PriceData!$K$4:$L$6,2,FALSE)</f>
        <v>1100</v>
      </c>
      <c r="C27" s="45">
        <f>VLOOKUP(A27,PriceData!$K$4:$M$6,3,FALSE)</f>
        <v>0.02</v>
      </c>
      <c r="D27" s="44" t="s">
        <v>56</v>
      </c>
      <c r="E27" s="44" t="s">
        <v>54</v>
      </c>
      <c r="F27" s="44">
        <v>-50</v>
      </c>
      <c r="G27" s="44">
        <v>1232</v>
      </c>
      <c r="H27" s="44" t="s">
        <v>59</v>
      </c>
      <c r="I27" s="68">
        <v>40438</v>
      </c>
      <c r="J27" s="45">
        <f>FindImpliedVol(A27,D27,G27,I27)</f>
        <v>0.299356027456095</v>
      </c>
      <c r="K27" s="69">
        <f>VLOOKUP(I27,PriceData!$A$5:$D$7,MATCH($E27,PriceData!$A$4:$D$4,0),FALSE)</f>
        <v>0.0175</v>
      </c>
      <c r="L27" s="52" t="e">
        <f>BSPrice($B27,$J27,$K27,$C27,($I27-#REF!)/365,$G27,$H27,$D27)</f>
        <v>#NAME?</v>
      </c>
      <c r="M27" s="52" t="e">
        <f t="shared" si="0"/>
        <v>#NAME?</v>
      </c>
      <c r="N27" s="44" t="s">
        <v>60</v>
      </c>
      <c r="P27" s="49" t="e">
        <f>BSDelta(B27,J27,K27,C27,(I27-#REF!)/365,G27,H27,D27)</f>
        <v>#NAME?</v>
      </c>
      <c r="Q27" s="49" t="e">
        <f>BSGamma(B27,J27,K27,C27,(I27-#REF!)/365,G27,D27)</f>
        <v>#NAME?</v>
      </c>
      <c r="R27" s="51" t="e">
        <f>BSVega(B27,J27,K27,C27,(I27-#REF!)/365,G27,D27)</f>
        <v>#NAME?</v>
      </c>
      <c r="S27" s="51" t="e">
        <f>BSVolga(B27,J27,K27,C27,(I27-#REF!)/365,G27,D27)</f>
        <v>#NAME?</v>
      </c>
      <c r="T27" s="51" t="e">
        <f>BSTheta(B27,J27,K27,C27,(I27-#REF!)/365,G27,H27,D27)</f>
        <v>#NAME?</v>
      </c>
      <c r="U27" s="52" t="e">
        <f>BSRho(B27,J27,K27,C27,(I27-#REF!)/365,G27,H27,D27)</f>
        <v>#NAME?</v>
      </c>
      <c r="V27" s="70" t="e">
        <f t="shared" si="1"/>
        <v>#NAME?</v>
      </c>
      <c r="W27" s="70" t="e">
        <f t="shared" si="2"/>
        <v>#NAME?</v>
      </c>
      <c r="X27" s="54" t="e">
        <f t="shared" si="3"/>
        <v>#NAME?</v>
      </c>
      <c r="Y27" s="54" t="e">
        <f t="shared" si="4"/>
        <v>#NAME?</v>
      </c>
      <c r="Z27" s="54" t="e">
        <f t="shared" si="5"/>
        <v>#NAME?</v>
      </c>
      <c r="AA27" s="54" t="e">
        <f t="shared" si="6"/>
        <v>#NAME?</v>
      </c>
      <c r="AB27" s="54" t="e">
        <f>(BSPrice($B27*0.8,$J27,$K27,$C27,($I27-#REF!)/365,$G27,$H27,$D27)-BSPrice($B27,$J27,$K27,$C27,($I27-#REF!)/365,$G27,$H27,$D27))*$F27</f>
        <v>#NAME?</v>
      </c>
      <c r="AC27" s="54" t="e">
        <f>(BSPrice($B27*0.9,$J27,$K27,$C27,($I27-#REF!)/365,$G27,$H27,$D27)-BSPrice($B27,$J27,$K27,$C27,($I27-#REF!)/365,$G27,$H27,$D27))*$F27</f>
        <v>#NAME?</v>
      </c>
      <c r="AD27" s="54" t="e">
        <f>(BSPrice($B27*0.95,$J27,$K27,$C27,($I27-#REF!)/365,$G27,$H27,$D27)-BSPrice($B27,$J27,$K27,$C27,($I27-#REF!)/365,$G27,$H27,$D27))*$F27</f>
        <v>#NAME?</v>
      </c>
      <c r="AE27" s="54" t="e">
        <f>(BSPrice($B27*0.98,$J27,$K27,$C27,($I27-#REF!)/365,$G27,$H27,$D27)-BSPrice($B27,$J27,$K27,$C27,($I27-#REF!)/365,$G27,$H27,$D27))*$F27</f>
        <v>#NAME?</v>
      </c>
      <c r="AF27" s="54" t="e">
        <f>(BSPrice($B27*1.02,$J27,$K27,$C27,($I27-#REF!)/365,$G27,$H27,$D27)-BSPrice($B27,$J27,$K27,$C27,($I27-#REF!)/365,$G27,$H27,$D27))*$F27</f>
        <v>#NAME?</v>
      </c>
      <c r="AG27" s="54" t="e">
        <f>(BSPrice($B27*1.05,$J27,$K27,$C27,($I27-#REF!)/365,$G27,$H27,$D27)-BSPrice($B27,$J27,$K27,$C27,($I27-#REF!)/365,$G27,$H27,$D27))*$F27</f>
        <v>#NAME?</v>
      </c>
      <c r="AH27" s="54" t="e">
        <f>(BSPrice($B27*1.1,$J27,$K27,$C27,($I27-#REF!)/365,$G27,$H27,$D27)-BSPrice($B27,$J27,$K27,$C27,($I27-#REF!)/365,$G27,$H27,$D27))*$F27</f>
        <v>#NAME?</v>
      </c>
      <c r="AI27" s="54" t="e">
        <f>(BSPrice($B27*1.2,$J27,$K27,$C27,($I27-#REF!)/365,$G27,$H27,$D27)-BSPrice($B27,$J27,$K27,$C27,($I27-#REF!)/365,$G27,$H27,$D27))*$F27</f>
        <v>#NAME?</v>
      </c>
      <c r="AJ27" s="54" t="e">
        <f>(BSPrice($B27,$J27-0.1,$K27,$C27,($I27-#REF!)/365,$G27,$H27,$D27)-BSPrice($B27,$J27,$K27,$C27,($I27-#REF!)/365,$G27,$H27,$D27))*$F27</f>
        <v>#NAME?</v>
      </c>
      <c r="AK27" s="54" t="e">
        <f>(BSPrice($B27,$J27-0.05,$K27,$C27,($I27-#REF!)/365,$G27,$H27,$D27)-BSPrice($B27,$J27,$K27,$C27,($I27-#REF!)/365,$G27,$H27,$D27))*$F27</f>
        <v>#NAME?</v>
      </c>
      <c r="AL27" s="54" t="e">
        <f>(BSPrice($B27,$J27-0.02,$K27,$C27,($I27-#REF!)/365,$G27,$H27,$D27)-BSPrice($B27,$J27,$K27,$C27,($I27-#REF!)/365,$G27,$H27,$D27))*$F27</f>
        <v>#NAME?</v>
      </c>
      <c r="AM27" s="54" t="e">
        <f>(BSPrice($B27,$J27-0.01,$K27,$C27,($I27-#REF!)/365,$G27,$H27,$D27)-BSPrice($B27,$J27,$K27,$C27,($I27-#REF!)/365,$G27,$H27,$D27))*$F27</f>
        <v>#NAME?</v>
      </c>
      <c r="AN27" s="54" t="e">
        <f>(BSPrice($B27,$J27+0.01,$K27,$C27,($I27-#REF!)/365,$G27,$H27,$D27)-BSPrice($B27,$J27,$K27,$C27,($I27-#REF!)/365,$G27,$H27,$D27))*$F27</f>
        <v>#NAME?</v>
      </c>
      <c r="AO27" s="54" t="e">
        <f>(BSPrice($B27,$J27+0.02,$K27,$C27,($I27-#REF!)/365,$G27,$H27,$D27)-BSPrice($B27,$J27,$K27,$C27,($I27-#REF!)/365,$G27,$H27,$D27))*$F27</f>
        <v>#NAME?</v>
      </c>
      <c r="AP27" s="54" t="e">
        <f>(BSPrice($B27,$J27+0.05,$K27,$C27,($I27-#REF!)/365,$G27,$H27,$D27)-BSPrice($B27,$J27,$K27,$C27,($I27-#REF!)/365,$G27,$H27,$D27))*$F27</f>
        <v>#NAME?</v>
      </c>
      <c r="AQ27" s="54" t="e">
        <f>(BSPrice($B27,$J27+0.1,$K27,$C27,($I27-#REF!)/365,$G27,$H27,$D27)-BSPrice($B27,$J27,$K27,$C27,($I27-#REF!)/365,$G27,$H27,$D27))*$F27</f>
        <v>#NAME?</v>
      </c>
    </row>
    <row r="28" spans="1:43">
      <c r="A28" s="67" t="s">
        <v>52</v>
      </c>
      <c r="B28" s="44">
        <f>VLOOKUP(A28,PriceData!$K$4:$L$6,2,FALSE)</f>
        <v>1100</v>
      </c>
      <c r="C28" s="45">
        <f>VLOOKUP(A28,PriceData!$K$4:$M$6,3,FALSE)</f>
        <v>0.02</v>
      </c>
      <c r="D28" s="44" t="s">
        <v>56</v>
      </c>
      <c r="E28" s="44" t="s">
        <v>54</v>
      </c>
      <c r="F28" s="44">
        <v>-20</v>
      </c>
      <c r="G28" s="44">
        <v>1001</v>
      </c>
      <c r="H28" s="44" t="s">
        <v>57</v>
      </c>
      <c r="I28" s="68">
        <v>40438</v>
      </c>
      <c r="J28" s="45">
        <f>FindImpliedVol(A28,D28,G28,I28)</f>
        <v>0.390713810281153</v>
      </c>
      <c r="K28" s="69">
        <f>VLOOKUP(I28,PriceData!$A$5:$D$7,MATCH($E28,PriceData!$A$4:$D$4,0),FALSE)</f>
        <v>0.0175</v>
      </c>
      <c r="L28" s="52" t="e">
        <f>BSPrice($B28,$J28,$K28,$C28,($I28-#REF!)/365,$G28,$H28,$D28)</f>
        <v>#NAME?</v>
      </c>
      <c r="M28" s="52" t="e">
        <f t="shared" si="0"/>
        <v>#NAME?</v>
      </c>
      <c r="N28" s="44" t="s">
        <v>55</v>
      </c>
      <c r="P28" s="49" t="e">
        <f>BSDelta(B28,J28,K28,C28,(I28-#REF!)/365,G28,H28,D28)</f>
        <v>#NAME?</v>
      </c>
      <c r="Q28" s="49" t="e">
        <f>BSGamma(B28,J28,K28,C28,(I28-#REF!)/365,G28,D28)</f>
        <v>#NAME?</v>
      </c>
      <c r="R28" s="51" t="e">
        <f>BSVega(B28,J28,K28,C28,(I28-#REF!)/365,G28,D28)</f>
        <v>#NAME?</v>
      </c>
      <c r="S28" s="51" t="e">
        <f>BSVolga(B28,J28,K28,C28,(I28-#REF!)/365,G28,D28)</f>
        <v>#NAME?</v>
      </c>
      <c r="T28" s="51" t="e">
        <f>BSTheta(B28,J28,K28,C28,(I28-#REF!)/365,G28,H28,D28)</f>
        <v>#NAME?</v>
      </c>
      <c r="U28" s="52" t="e">
        <f>BSRho(B28,J28,K28,C28,(I28-#REF!)/365,G28,H28,D28)</f>
        <v>#NAME?</v>
      </c>
      <c r="V28" s="70" t="e">
        <f t="shared" si="1"/>
        <v>#NAME?</v>
      </c>
      <c r="W28" s="70" t="e">
        <f t="shared" si="2"/>
        <v>#NAME?</v>
      </c>
      <c r="X28" s="54" t="e">
        <f t="shared" si="3"/>
        <v>#NAME?</v>
      </c>
      <c r="Y28" s="54" t="e">
        <f t="shared" si="4"/>
        <v>#NAME?</v>
      </c>
      <c r="Z28" s="54" t="e">
        <f t="shared" si="5"/>
        <v>#NAME?</v>
      </c>
      <c r="AA28" s="54" t="e">
        <f t="shared" si="6"/>
        <v>#NAME?</v>
      </c>
      <c r="AB28" s="54" t="e">
        <f>(BSPrice($B28*0.8,$J28,$K28,$C28,($I28-#REF!)/365,$G28,$H28,$D28)-BSPrice($B28,$J28,$K28,$C28,($I28-#REF!)/365,$G28,$H28,$D28))*$F28</f>
        <v>#NAME?</v>
      </c>
      <c r="AC28" s="54" t="e">
        <f>(BSPrice($B28*0.9,$J28,$K28,$C28,($I28-#REF!)/365,$G28,$H28,$D28)-BSPrice($B28,$J28,$K28,$C28,($I28-#REF!)/365,$G28,$H28,$D28))*$F28</f>
        <v>#NAME?</v>
      </c>
      <c r="AD28" s="54" t="e">
        <f>(BSPrice($B28*0.95,$J28,$K28,$C28,($I28-#REF!)/365,$G28,$H28,$D28)-BSPrice($B28,$J28,$K28,$C28,($I28-#REF!)/365,$G28,$H28,$D28))*$F28</f>
        <v>#NAME?</v>
      </c>
      <c r="AE28" s="54" t="e">
        <f>(BSPrice($B28*0.98,$J28,$K28,$C28,($I28-#REF!)/365,$G28,$H28,$D28)-BSPrice($B28,$J28,$K28,$C28,($I28-#REF!)/365,$G28,$H28,$D28))*$F28</f>
        <v>#NAME?</v>
      </c>
      <c r="AF28" s="54" t="e">
        <f>(BSPrice($B28*1.02,$J28,$K28,$C28,($I28-#REF!)/365,$G28,$H28,$D28)-BSPrice($B28,$J28,$K28,$C28,($I28-#REF!)/365,$G28,$H28,$D28))*$F28</f>
        <v>#NAME?</v>
      </c>
      <c r="AG28" s="54" t="e">
        <f>(BSPrice($B28*1.05,$J28,$K28,$C28,($I28-#REF!)/365,$G28,$H28,$D28)-BSPrice($B28,$J28,$K28,$C28,($I28-#REF!)/365,$G28,$H28,$D28))*$F28</f>
        <v>#NAME?</v>
      </c>
      <c r="AH28" s="54" t="e">
        <f>(BSPrice($B28*1.1,$J28,$K28,$C28,($I28-#REF!)/365,$G28,$H28,$D28)-BSPrice($B28,$J28,$K28,$C28,($I28-#REF!)/365,$G28,$H28,$D28))*$F28</f>
        <v>#NAME?</v>
      </c>
      <c r="AI28" s="54" t="e">
        <f>(BSPrice($B28*1.2,$J28,$K28,$C28,($I28-#REF!)/365,$G28,$H28,$D28)-BSPrice($B28,$J28,$K28,$C28,($I28-#REF!)/365,$G28,$H28,$D28))*$F28</f>
        <v>#NAME?</v>
      </c>
      <c r="AJ28" s="54" t="e">
        <f>(BSPrice($B28,$J28-0.1,$K28,$C28,($I28-#REF!)/365,$G28,$H28,$D28)-BSPrice($B28,$J28,$K28,$C28,($I28-#REF!)/365,$G28,$H28,$D28))*$F28</f>
        <v>#NAME?</v>
      </c>
      <c r="AK28" s="54" t="e">
        <f>(BSPrice($B28,$J28-0.05,$K28,$C28,($I28-#REF!)/365,$G28,$H28,$D28)-BSPrice($B28,$J28,$K28,$C28,($I28-#REF!)/365,$G28,$H28,$D28))*$F28</f>
        <v>#NAME?</v>
      </c>
      <c r="AL28" s="54" t="e">
        <f>(BSPrice($B28,$J28-0.02,$K28,$C28,($I28-#REF!)/365,$G28,$H28,$D28)-BSPrice($B28,$J28,$K28,$C28,($I28-#REF!)/365,$G28,$H28,$D28))*$F28</f>
        <v>#NAME?</v>
      </c>
      <c r="AM28" s="54" t="e">
        <f>(BSPrice($B28,$J28-0.01,$K28,$C28,($I28-#REF!)/365,$G28,$H28,$D28)-BSPrice($B28,$J28,$K28,$C28,($I28-#REF!)/365,$G28,$H28,$D28))*$F28</f>
        <v>#NAME?</v>
      </c>
      <c r="AN28" s="54" t="e">
        <f>(BSPrice($B28,$J28+0.01,$K28,$C28,($I28-#REF!)/365,$G28,$H28,$D28)-BSPrice($B28,$J28,$K28,$C28,($I28-#REF!)/365,$G28,$H28,$D28))*$F28</f>
        <v>#NAME?</v>
      </c>
      <c r="AO28" s="54" t="e">
        <f>(BSPrice($B28,$J28+0.02,$K28,$C28,($I28-#REF!)/365,$G28,$H28,$D28)-BSPrice($B28,$J28,$K28,$C28,($I28-#REF!)/365,$G28,$H28,$D28))*$F28</f>
        <v>#NAME?</v>
      </c>
      <c r="AP28" s="54" t="e">
        <f>(BSPrice($B28,$J28+0.05,$K28,$C28,($I28-#REF!)/365,$G28,$H28,$D28)-BSPrice($B28,$J28,$K28,$C28,($I28-#REF!)/365,$G28,$H28,$D28))*$F28</f>
        <v>#NAME?</v>
      </c>
      <c r="AQ28" s="54" t="e">
        <f>(BSPrice($B28,$J28+0.1,$K28,$C28,($I28-#REF!)/365,$G28,$H28,$D28)-BSPrice($B28,$J28,$K28,$C28,($I28-#REF!)/365,$G28,$H28,$D28))*$F28</f>
        <v>#NAME?</v>
      </c>
    </row>
    <row r="29" spans="1:43">
      <c r="A29" s="67" t="s">
        <v>52</v>
      </c>
      <c r="B29" s="44">
        <f>VLOOKUP(A29,PriceData!$K$4:$L$6,2,FALSE)</f>
        <v>1100</v>
      </c>
      <c r="C29" s="45">
        <f>VLOOKUP(A29,PriceData!$K$4:$M$6,3,FALSE)</f>
        <v>0.02</v>
      </c>
      <c r="D29" s="44" t="s">
        <v>56</v>
      </c>
      <c r="E29" s="44" t="s">
        <v>54</v>
      </c>
      <c r="F29" s="44">
        <v>-50</v>
      </c>
      <c r="G29" s="44">
        <v>1067</v>
      </c>
      <c r="H29" s="44" t="s">
        <v>57</v>
      </c>
      <c r="I29" s="68">
        <v>40438</v>
      </c>
      <c r="J29" s="45">
        <f>FindImpliedVol(A29,D29,G29,I29)</f>
        <v>0.345406220714462</v>
      </c>
      <c r="K29" s="69">
        <f>VLOOKUP(I29,PriceData!$A$5:$D$7,MATCH($E29,PriceData!$A$4:$D$4,0),FALSE)</f>
        <v>0.0175</v>
      </c>
      <c r="L29" s="52" t="e">
        <f>BSPrice($B29,$J29,$K29,$C29,($I29-#REF!)/365,$G29,$H29,$D29)</f>
        <v>#NAME?</v>
      </c>
      <c r="M29" s="52" t="e">
        <f t="shared" si="0"/>
        <v>#NAME?</v>
      </c>
      <c r="N29" s="44" t="s">
        <v>55</v>
      </c>
      <c r="P29" s="49" t="e">
        <f>BSDelta(B29,J29,K29,C29,(I29-#REF!)/365,G29,H29,D29)</f>
        <v>#NAME?</v>
      </c>
      <c r="Q29" s="49" t="e">
        <f>BSGamma(B29,J29,K29,C29,(I29-#REF!)/365,G29,D29)</f>
        <v>#NAME?</v>
      </c>
      <c r="R29" s="51" t="e">
        <f>BSVega(B29,J29,K29,C29,(I29-#REF!)/365,G29,D29)</f>
        <v>#NAME?</v>
      </c>
      <c r="S29" s="51" t="e">
        <f>BSVolga(B29,J29,K29,C29,(I29-#REF!)/365,G29,D29)</f>
        <v>#NAME?</v>
      </c>
      <c r="T29" s="51" t="e">
        <f>BSTheta(B29,J29,K29,C29,(I29-#REF!)/365,G29,H29,D29)</f>
        <v>#NAME?</v>
      </c>
      <c r="U29" s="52" t="e">
        <f>BSRho(B29,J29,K29,C29,(I29-#REF!)/365,G29,H29,D29)</f>
        <v>#NAME?</v>
      </c>
      <c r="V29" s="70" t="e">
        <f t="shared" si="1"/>
        <v>#NAME?</v>
      </c>
      <c r="W29" s="70" t="e">
        <f t="shared" si="2"/>
        <v>#NAME?</v>
      </c>
      <c r="X29" s="54" t="e">
        <f t="shared" si="3"/>
        <v>#NAME?</v>
      </c>
      <c r="Y29" s="54" t="e">
        <f t="shared" si="4"/>
        <v>#NAME?</v>
      </c>
      <c r="Z29" s="54" t="e">
        <f t="shared" si="5"/>
        <v>#NAME?</v>
      </c>
      <c r="AA29" s="54" t="e">
        <f t="shared" si="6"/>
        <v>#NAME?</v>
      </c>
      <c r="AB29" s="54" t="e">
        <f>(BSPrice($B29*0.8,$J29,$K29,$C29,($I29-#REF!)/365,$G29,$H29,$D29)-BSPrice($B29,$J29,$K29,$C29,($I29-#REF!)/365,$G29,$H29,$D29))*$F29</f>
        <v>#NAME?</v>
      </c>
      <c r="AC29" s="54" t="e">
        <f>(BSPrice($B29*0.9,$J29,$K29,$C29,($I29-#REF!)/365,$G29,$H29,$D29)-BSPrice($B29,$J29,$K29,$C29,($I29-#REF!)/365,$G29,$H29,$D29))*$F29</f>
        <v>#NAME?</v>
      </c>
      <c r="AD29" s="54" t="e">
        <f>(BSPrice($B29*0.95,$J29,$K29,$C29,($I29-#REF!)/365,$G29,$H29,$D29)-BSPrice($B29,$J29,$K29,$C29,($I29-#REF!)/365,$G29,$H29,$D29))*$F29</f>
        <v>#NAME?</v>
      </c>
      <c r="AE29" s="54" t="e">
        <f>(BSPrice($B29*0.98,$J29,$K29,$C29,($I29-#REF!)/365,$G29,$H29,$D29)-BSPrice($B29,$J29,$K29,$C29,($I29-#REF!)/365,$G29,$H29,$D29))*$F29</f>
        <v>#NAME?</v>
      </c>
      <c r="AF29" s="54" t="e">
        <f>(BSPrice($B29*1.02,$J29,$K29,$C29,($I29-#REF!)/365,$G29,$H29,$D29)-BSPrice($B29,$J29,$K29,$C29,($I29-#REF!)/365,$G29,$H29,$D29))*$F29</f>
        <v>#NAME?</v>
      </c>
      <c r="AG29" s="54" t="e">
        <f>(BSPrice($B29*1.05,$J29,$K29,$C29,($I29-#REF!)/365,$G29,$H29,$D29)-BSPrice($B29,$J29,$K29,$C29,($I29-#REF!)/365,$G29,$H29,$D29))*$F29</f>
        <v>#NAME?</v>
      </c>
      <c r="AH29" s="54" t="e">
        <f>(BSPrice($B29*1.1,$J29,$K29,$C29,($I29-#REF!)/365,$G29,$H29,$D29)-BSPrice($B29,$J29,$K29,$C29,($I29-#REF!)/365,$G29,$H29,$D29))*$F29</f>
        <v>#NAME?</v>
      </c>
      <c r="AI29" s="54" t="e">
        <f>(BSPrice($B29*1.2,$J29,$K29,$C29,($I29-#REF!)/365,$G29,$H29,$D29)-BSPrice($B29,$J29,$K29,$C29,($I29-#REF!)/365,$G29,$H29,$D29))*$F29</f>
        <v>#NAME?</v>
      </c>
      <c r="AJ29" s="54" t="e">
        <f>(BSPrice($B29,$J29-0.1,$K29,$C29,($I29-#REF!)/365,$G29,$H29,$D29)-BSPrice($B29,$J29,$K29,$C29,($I29-#REF!)/365,$G29,$H29,$D29))*$F29</f>
        <v>#NAME?</v>
      </c>
      <c r="AK29" s="54" t="e">
        <f>(BSPrice($B29,$J29-0.05,$K29,$C29,($I29-#REF!)/365,$G29,$H29,$D29)-BSPrice($B29,$J29,$K29,$C29,($I29-#REF!)/365,$G29,$H29,$D29))*$F29</f>
        <v>#NAME?</v>
      </c>
      <c r="AL29" s="54" t="e">
        <f>(BSPrice($B29,$J29-0.02,$K29,$C29,($I29-#REF!)/365,$G29,$H29,$D29)-BSPrice($B29,$J29,$K29,$C29,($I29-#REF!)/365,$G29,$H29,$D29))*$F29</f>
        <v>#NAME?</v>
      </c>
      <c r="AM29" s="54" t="e">
        <f>(BSPrice($B29,$J29-0.01,$K29,$C29,($I29-#REF!)/365,$G29,$H29,$D29)-BSPrice($B29,$J29,$K29,$C29,($I29-#REF!)/365,$G29,$H29,$D29))*$F29</f>
        <v>#NAME?</v>
      </c>
      <c r="AN29" s="54" t="e">
        <f>(BSPrice($B29,$J29+0.01,$K29,$C29,($I29-#REF!)/365,$G29,$H29,$D29)-BSPrice($B29,$J29,$K29,$C29,($I29-#REF!)/365,$G29,$H29,$D29))*$F29</f>
        <v>#NAME?</v>
      </c>
      <c r="AO29" s="54" t="e">
        <f>(BSPrice($B29,$J29+0.02,$K29,$C29,($I29-#REF!)/365,$G29,$H29,$D29)-BSPrice($B29,$J29,$K29,$C29,($I29-#REF!)/365,$G29,$H29,$D29))*$F29</f>
        <v>#NAME?</v>
      </c>
      <c r="AP29" s="54" t="e">
        <f>(BSPrice($B29,$J29+0.05,$K29,$C29,($I29-#REF!)/365,$G29,$H29,$D29)-BSPrice($B29,$J29,$K29,$C29,($I29-#REF!)/365,$G29,$H29,$D29))*$F29</f>
        <v>#NAME?</v>
      </c>
      <c r="AQ29" s="54" t="e">
        <f>(BSPrice($B29,$J29+0.1,$K29,$C29,($I29-#REF!)/365,$G29,$H29,$D29)-BSPrice($B29,$J29,$K29,$C29,($I29-#REF!)/365,$G29,$H29,$D29))*$F29</f>
        <v>#NAME?</v>
      </c>
    </row>
    <row r="30" spans="1:43">
      <c r="A30" s="67" t="s">
        <v>52</v>
      </c>
      <c r="B30" s="44">
        <f>VLOOKUP(A30,PriceData!$K$4:$L$6,2,FALSE)</f>
        <v>1100</v>
      </c>
      <c r="C30" s="45">
        <f>VLOOKUP(A30,PriceData!$K$4:$M$6,3,FALSE)</f>
        <v>0.02</v>
      </c>
      <c r="D30" s="44" t="s">
        <v>56</v>
      </c>
      <c r="E30" s="44" t="s">
        <v>54</v>
      </c>
      <c r="F30" s="44">
        <v>-50</v>
      </c>
      <c r="G30" s="44">
        <v>1067</v>
      </c>
      <c r="H30" s="44" t="s">
        <v>59</v>
      </c>
      <c r="I30" s="68">
        <v>40438</v>
      </c>
      <c r="J30" s="45">
        <f>FindImpliedVol(A30,D30,G30,I30)</f>
        <v>0.345406220714462</v>
      </c>
      <c r="K30" s="69">
        <f>VLOOKUP(I30,PriceData!$A$5:$D$7,MATCH($E30,PriceData!$A$4:$D$4,0),FALSE)</f>
        <v>0.0175</v>
      </c>
      <c r="L30" s="52" t="e">
        <f>BSPrice($B30,$J30,$K30,$C30,($I30-#REF!)/365,$G30,$H30,$D30)</f>
        <v>#NAME?</v>
      </c>
      <c r="M30" s="52" t="e">
        <f t="shared" si="0"/>
        <v>#NAME?</v>
      </c>
      <c r="N30" s="44" t="s">
        <v>61</v>
      </c>
      <c r="P30" s="49" t="e">
        <f>BSDelta(B30,J30,K30,C30,(I30-#REF!)/365,G30,H30,D30)</f>
        <v>#NAME?</v>
      </c>
      <c r="Q30" s="49" t="e">
        <f>BSGamma(B30,J30,K30,C30,(I30-#REF!)/365,G30,D30)</f>
        <v>#NAME?</v>
      </c>
      <c r="R30" s="51" t="e">
        <f>BSVega(B30,J30,K30,C30,(I30-#REF!)/365,G30,D30)</f>
        <v>#NAME?</v>
      </c>
      <c r="S30" s="51" t="e">
        <f>BSVolga(B30,J30,K30,C30,(I30-#REF!)/365,G30,D30)</f>
        <v>#NAME?</v>
      </c>
      <c r="T30" s="51" t="e">
        <f>BSTheta(B30,J30,K30,C30,(I30-#REF!)/365,G30,H30,D30)</f>
        <v>#NAME?</v>
      </c>
      <c r="U30" s="52" t="e">
        <f>BSRho(B30,J30,K30,C30,(I30-#REF!)/365,G30,H30,D30)</f>
        <v>#NAME?</v>
      </c>
      <c r="V30" s="70" t="e">
        <f t="shared" si="1"/>
        <v>#NAME?</v>
      </c>
      <c r="W30" s="70" t="e">
        <f t="shared" si="2"/>
        <v>#NAME?</v>
      </c>
      <c r="X30" s="54" t="e">
        <f t="shared" si="3"/>
        <v>#NAME?</v>
      </c>
      <c r="Y30" s="54" t="e">
        <f t="shared" si="4"/>
        <v>#NAME?</v>
      </c>
      <c r="Z30" s="54" t="e">
        <f t="shared" si="5"/>
        <v>#NAME?</v>
      </c>
      <c r="AA30" s="54" t="e">
        <f t="shared" si="6"/>
        <v>#NAME?</v>
      </c>
      <c r="AB30" s="54" t="e">
        <f>(BSPrice($B30*0.8,$J30,$K30,$C30,($I30-#REF!)/365,$G30,$H30,$D30)-BSPrice($B30,$J30,$K30,$C30,($I30-#REF!)/365,$G30,$H30,$D30))*$F30</f>
        <v>#NAME?</v>
      </c>
      <c r="AC30" s="54" t="e">
        <f>(BSPrice($B30*0.9,$J30,$K30,$C30,($I30-#REF!)/365,$G30,$H30,$D30)-BSPrice($B30,$J30,$K30,$C30,($I30-#REF!)/365,$G30,$H30,$D30))*$F30</f>
        <v>#NAME?</v>
      </c>
      <c r="AD30" s="54" t="e">
        <f>(BSPrice($B30*0.95,$J30,$K30,$C30,($I30-#REF!)/365,$G30,$H30,$D30)-BSPrice($B30,$J30,$K30,$C30,($I30-#REF!)/365,$G30,$H30,$D30))*$F30</f>
        <v>#NAME?</v>
      </c>
      <c r="AE30" s="54" t="e">
        <f>(BSPrice($B30*0.98,$J30,$K30,$C30,($I30-#REF!)/365,$G30,$H30,$D30)-BSPrice($B30,$J30,$K30,$C30,($I30-#REF!)/365,$G30,$H30,$D30))*$F30</f>
        <v>#NAME?</v>
      </c>
      <c r="AF30" s="54" t="e">
        <f>(BSPrice($B30*1.02,$J30,$K30,$C30,($I30-#REF!)/365,$G30,$H30,$D30)-BSPrice($B30,$J30,$K30,$C30,($I30-#REF!)/365,$G30,$H30,$D30))*$F30</f>
        <v>#NAME?</v>
      </c>
      <c r="AG30" s="54" t="e">
        <f>(BSPrice($B30*1.05,$J30,$K30,$C30,($I30-#REF!)/365,$G30,$H30,$D30)-BSPrice($B30,$J30,$K30,$C30,($I30-#REF!)/365,$G30,$H30,$D30))*$F30</f>
        <v>#NAME?</v>
      </c>
      <c r="AH30" s="54" t="e">
        <f>(BSPrice($B30*1.1,$J30,$K30,$C30,($I30-#REF!)/365,$G30,$H30,$D30)-BSPrice($B30,$J30,$K30,$C30,($I30-#REF!)/365,$G30,$H30,$D30))*$F30</f>
        <v>#NAME?</v>
      </c>
      <c r="AI30" s="54" t="e">
        <f>(BSPrice($B30*1.2,$J30,$K30,$C30,($I30-#REF!)/365,$G30,$H30,$D30)-BSPrice($B30,$J30,$K30,$C30,($I30-#REF!)/365,$G30,$H30,$D30))*$F30</f>
        <v>#NAME?</v>
      </c>
      <c r="AJ30" s="54" t="e">
        <f>(BSPrice($B30,$J30-0.1,$K30,$C30,($I30-#REF!)/365,$G30,$H30,$D30)-BSPrice($B30,$J30,$K30,$C30,($I30-#REF!)/365,$G30,$H30,$D30))*$F30</f>
        <v>#NAME?</v>
      </c>
      <c r="AK30" s="54" t="e">
        <f>(BSPrice($B30,$J30-0.05,$K30,$C30,($I30-#REF!)/365,$G30,$H30,$D30)-BSPrice($B30,$J30,$K30,$C30,($I30-#REF!)/365,$G30,$H30,$D30))*$F30</f>
        <v>#NAME?</v>
      </c>
      <c r="AL30" s="54" t="e">
        <f>(BSPrice($B30,$J30-0.02,$K30,$C30,($I30-#REF!)/365,$G30,$H30,$D30)-BSPrice($B30,$J30,$K30,$C30,($I30-#REF!)/365,$G30,$H30,$D30))*$F30</f>
        <v>#NAME?</v>
      </c>
      <c r="AM30" s="54" t="e">
        <f>(BSPrice($B30,$J30-0.01,$K30,$C30,($I30-#REF!)/365,$G30,$H30,$D30)-BSPrice($B30,$J30,$K30,$C30,($I30-#REF!)/365,$G30,$H30,$D30))*$F30</f>
        <v>#NAME?</v>
      </c>
      <c r="AN30" s="54" t="e">
        <f>(BSPrice($B30,$J30+0.01,$K30,$C30,($I30-#REF!)/365,$G30,$H30,$D30)-BSPrice($B30,$J30,$K30,$C30,($I30-#REF!)/365,$G30,$H30,$D30))*$F30</f>
        <v>#NAME?</v>
      </c>
      <c r="AO30" s="54" t="e">
        <f>(BSPrice($B30,$J30+0.02,$K30,$C30,($I30-#REF!)/365,$G30,$H30,$D30)-BSPrice($B30,$J30,$K30,$C30,($I30-#REF!)/365,$G30,$H30,$D30))*$F30</f>
        <v>#NAME?</v>
      </c>
      <c r="AP30" s="54" t="e">
        <f>(BSPrice($B30,$J30+0.05,$K30,$C30,($I30-#REF!)/365,$G30,$H30,$D30)-BSPrice($B30,$J30,$K30,$C30,($I30-#REF!)/365,$G30,$H30,$D30))*$F30</f>
        <v>#NAME?</v>
      </c>
      <c r="AQ30" s="54" t="e">
        <f>(BSPrice($B30,$J30+0.1,$K30,$C30,($I30-#REF!)/365,$G30,$H30,$D30)-BSPrice($B30,$J30,$K30,$C30,($I30-#REF!)/365,$G30,$H30,$D30))*$F30</f>
        <v>#NAME?</v>
      </c>
    </row>
    <row r="31" spans="1:43">
      <c r="A31" s="67" t="s">
        <v>1</v>
      </c>
      <c r="B31" s="44">
        <f>VLOOKUP(A31,PriceData!$K$4:$L$6,2,FALSE)</f>
        <v>2905</v>
      </c>
      <c r="C31" s="45">
        <f>VLOOKUP(A31,PriceData!$K$4:$M$6,3,FALSE)</f>
        <v>0.022</v>
      </c>
      <c r="D31" s="44" t="s">
        <v>53</v>
      </c>
      <c r="E31" s="44" t="s">
        <v>62</v>
      </c>
      <c r="F31" s="44">
        <v>20</v>
      </c>
      <c r="H31" s="44"/>
      <c r="I31" s="68">
        <v>40256</v>
      </c>
      <c r="J31" s="45">
        <f>FindImpliedVol(A31,D31,G31,I31)</f>
        <v>0</v>
      </c>
      <c r="K31" s="69"/>
      <c r="L31" s="52" t="e">
        <f>BSPrice($B31,$J31,$K31,$C31,($I31-#REF!)/365,$G31,$H31,$D31)</f>
        <v>#NAME?</v>
      </c>
      <c r="M31" s="52" t="e">
        <f t="shared" si="0"/>
        <v>#NAME?</v>
      </c>
      <c r="N31" s="44" t="s">
        <v>55</v>
      </c>
      <c r="P31" s="49" t="e">
        <f>BSDelta(B31,J31,K31,C31,(I31-#REF!)/365,G31,H31,D31)</f>
        <v>#NAME?</v>
      </c>
      <c r="Q31" s="49" t="e">
        <f>BSGamma(B31,J31,K31,C31,(I31-#REF!)/365,G31,D31)</f>
        <v>#NAME?</v>
      </c>
      <c r="R31" s="51" t="e">
        <f>BSVega(B31,J31,K31,C31,(I31-#REF!)/365,G31,D31)</f>
        <v>#NAME?</v>
      </c>
      <c r="S31" s="51" t="e">
        <f>BSVolga(B31,J31,K31,C31,(I31-#REF!)/365,G31,D31)</f>
        <v>#NAME?</v>
      </c>
      <c r="T31" s="51" t="e">
        <f>BSTheta(B31,J31,K31,C31,(I31-#REF!)/365,G31,H31,D31)</f>
        <v>#NAME?</v>
      </c>
      <c r="U31" s="52" t="e">
        <f>BSRho(B31,J31,K31,C31,(I31-#REF!)/365,G31,H31,D31)</f>
        <v>#NAME?</v>
      </c>
      <c r="V31" s="70" t="e">
        <f t="shared" si="1"/>
        <v>#NAME?</v>
      </c>
      <c r="W31" s="70" t="e">
        <f t="shared" si="2"/>
        <v>#NAME?</v>
      </c>
      <c r="X31" s="54" t="e">
        <f t="shared" si="3"/>
        <v>#NAME?</v>
      </c>
      <c r="Y31" s="54" t="e">
        <f t="shared" si="4"/>
        <v>#NAME?</v>
      </c>
      <c r="Z31" s="54" t="e">
        <f t="shared" si="5"/>
        <v>#NAME?</v>
      </c>
      <c r="AA31" s="54" t="e">
        <f t="shared" si="6"/>
        <v>#NAME?</v>
      </c>
      <c r="AB31" s="54" t="e">
        <f>(BSPrice($B31*0.8,$J31,$K31,$C31,($I31-#REF!)/365,$G31,$H31,$D31)-BSPrice($B31,$J31,$K31,$C31,($I31-#REF!)/365,$G31,$H31,$D31))*$F31</f>
        <v>#NAME?</v>
      </c>
      <c r="AC31" s="54" t="e">
        <f>(BSPrice($B31*0.9,$J31,$K31,$C31,($I31-#REF!)/365,$G31,$H31,$D31)-BSPrice($B31,$J31,$K31,$C31,($I31-#REF!)/365,$G31,$H31,$D31))*$F31</f>
        <v>#NAME?</v>
      </c>
      <c r="AD31" s="54" t="e">
        <f>(BSPrice($B31*0.95,$J31,$K31,$C31,($I31-#REF!)/365,$G31,$H31,$D31)-BSPrice($B31,$J31,$K31,$C31,($I31-#REF!)/365,$G31,$H31,$D31))*$F31</f>
        <v>#NAME?</v>
      </c>
      <c r="AE31" s="54" t="e">
        <f>(BSPrice($B31*0.98,$J31,$K31,$C31,($I31-#REF!)/365,$G31,$H31,$D31)-BSPrice($B31,$J31,$K31,$C31,($I31-#REF!)/365,$G31,$H31,$D31))*$F31</f>
        <v>#NAME?</v>
      </c>
      <c r="AF31" s="54" t="e">
        <f>(BSPrice($B31*1.02,$J31,$K31,$C31,($I31-#REF!)/365,$G31,$H31,$D31)-BSPrice($B31,$J31,$K31,$C31,($I31-#REF!)/365,$G31,$H31,$D31))*$F31</f>
        <v>#NAME?</v>
      </c>
      <c r="AG31" s="54" t="e">
        <f>(BSPrice($B31*1.05,$J31,$K31,$C31,($I31-#REF!)/365,$G31,$H31,$D31)-BSPrice($B31,$J31,$K31,$C31,($I31-#REF!)/365,$G31,$H31,$D31))*$F31</f>
        <v>#NAME?</v>
      </c>
      <c r="AH31" s="54" t="e">
        <f>(BSPrice($B31*1.1,$J31,$K31,$C31,($I31-#REF!)/365,$G31,$H31,$D31)-BSPrice($B31,$J31,$K31,$C31,($I31-#REF!)/365,$G31,$H31,$D31))*$F31</f>
        <v>#NAME?</v>
      </c>
      <c r="AI31" s="54" t="e">
        <f>(BSPrice($B31*1.2,$J31,$K31,$C31,($I31-#REF!)/365,$G31,$H31,$D31)-BSPrice($B31,$J31,$K31,$C31,($I31-#REF!)/365,$G31,$H31,$D31))*$F31</f>
        <v>#NAME?</v>
      </c>
      <c r="AJ31" s="54" t="e">
        <f>(BSPrice($B31,$J31-0.1,$K31,$C31,($I31-#REF!)/365,$G31,$H31,$D31)-BSPrice($B31,$J31,$K31,$C31,($I31-#REF!)/365,$G31,$H31,$D31))*$F31</f>
        <v>#NAME?</v>
      </c>
      <c r="AK31" s="54" t="e">
        <f>(BSPrice($B31,$J31-0.05,$K31,$C31,($I31-#REF!)/365,$G31,$H31,$D31)-BSPrice($B31,$J31,$K31,$C31,($I31-#REF!)/365,$G31,$H31,$D31))*$F31</f>
        <v>#NAME?</v>
      </c>
      <c r="AL31" s="54" t="e">
        <f>(BSPrice($B31,$J31-0.02,$K31,$C31,($I31-#REF!)/365,$G31,$H31,$D31)-BSPrice($B31,$J31,$K31,$C31,($I31-#REF!)/365,$G31,$H31,$D31))*$F31</f>
        <v>#NAME?</v>
      </c>
      <c r="AM31" s="54" t="e">
        <f>(BSPrice($B31,$J31-0.01,$K31,$C31,($I31-#REF!)/365,$G31,$H31,$D31)-BSPrice($B31,$J31,$K31,$C31,($I31-#REF!)/365,$G31,$H31,$D31))*$F31</f>
        <v>#NAME?</v>
      </c>
      <c r="AN31" s="54" t="e">
        <f>(BSPrice($B31,$J31+0.01,$K31,$C31,($I31-#REF!)/365,$G31,$H31,$D31)-BSPrice($B31,$J31,$K31,$C31,($I31-#REF!)/365,$G31,$H31,$D31))*$F31</f>
        <v>#NAME?</v>
      </c>
      <c r="AO31" s="54" t="e">
        <f>(BSPrice($B31,$J31+0.02,$K31,$C31,($I31-#REF!)/365,$G31,$H31,$D31)-BSPrice($B31,$J31,$K31,$C31,($I31-#REF!)/365,$G31,$H31,$D31))*$F31</f>
        <v>#NAME?</v>
      </c>
      <c r="AP31" s="54" t="e">
        <f>(BSPrice($B31,$J31+0.05,$K31,$C31,($I31-#REF!)/365,$G31,$H31,$D31)-BSPrice($B31,$J31,$K31,$C31,($I31-#REF!)/365,$G31,$H31,$D31))*$F31</f>
        <v>#NAME?</v>
      </c>
      <c r="AQ31" s="54" t="e">
        <f>(BSPrice($B31,$J31+0.1,$K31,$C31,($I31-#REF!)/365,$G31,$H31,$D31)-BSPrice($B31,$J31,$K31,$C31,($I31-#REF!)/365,$G31,$H31,$D31))*$F31</f>
        <v>#NAME?</v>
      </c>
    </row>
    <row r="32" spans="1:43">
      <c r="A32" s="67" t="s">
        <v>1</v>
      </c>
      <c r="B32" s="44">
        <f>VLOOKUP(A32,PriceData!$K$4:$L$6,2,FALSE)</f>
        <v>2905</v>
      </c>
      <c r="C32" s="45">
        <f>VLOOKUP(A32,PriceData!$K$4:$M$6,3,FALSE)</f>
        <v>0.022</v>
      </c>
      <c r="D32" s="44" t="s">
        <v>56</v>
      </c>
      <c r="E32" s="44" t="s">
        <v>62</v>
      </c>
      <c r="F32" s="44">
        <v>-20</v>
      </c>
      <c r="G32" s="44">
        <v>2992</v>
      </c>
      <c r="H32" s="44" t="s">
        <v>59</v>
      </c>
      <c r="I32" s="68">
        <v>40256</v>
      </c>
      <c r="J32" s="45">
        <f>FindImpliedVol(A32,D32,G32,I32)</f>
        <v>0.397567985636796</v>
      </c>
      <c r="K32" s="69">
        <f>VLOOKUP(I32,PriceData!$A$5:$D$7,MATCH($E32,PriceData!$A$4:$D$4,0),FALSE)</f>
        <v>0.022</v>
      </c>
      <c r="L32" s="52" t="e">
        <f>BSPrice($B32,$J32,$K32,$C32,($I32-#REF!)/365,$G32,$H32,$D32)</f>
        <v>#NAME?</v>
      </c>
      <c r="M32" s="52" t="e">
        <f t="shared" si="0"/>
        <v>#NAME?</v>
      </c>
      <c r="N32" s="44" t="s">
        <v>58</v>
      </c>
      <c r="P32" s="49" t="e">
        <f>BSDelta(B32,J32,K32,C32,(I32-#REF!)/365,G32,H32,D32)</f>
        <v>#NAME?</v>
      </c>
      <c r="Q32" s="49" t="e">
        <f>BSGamma(B32,J32,K32,C32,(I32-#REF!)/365,G32,D32)</f>
        <v>#NAME?</v>
      </c>
      <c r="R32" s="51" t="e">
        <f>BSVega(B32,J32,K32,C32,(I32-#REF!)/365,G32,D32)</f>
        <v>#NAME?</v>
      </c>
      <c r="S32" s="51" t="e">
        <f>BSVolga(B32,J32,K32,C32,(I32-#REF!)/365,G32,D32)</f>
        <v>#NAME?</v>
      </c>
      <c r="T32" s="51" t="e">
        <f>BSTheta(B32,J32,K32,C32,(I32-#REF!)/365,G32,H32,D32)</f>
        <v>#NAME?</v>
      </c>
      <c r="U32" s="52" t="e">
        <f>BSRho(B32,J32,K32,C32,(I32-#REF!)/365,G32,H32,D32)</f>
        <v>#NAME?</v>
      </c>
      <c r="V32" s="70" t="e">
        <f t="shared" si="1"/>
        <v>#NAME?</v>
      </c>
      <c r="W32" s="70" t="e">
        <f t="shared" si="2"/>
        <v>#NAME?</v>
      </c>
      <c r="X32" s="54" t="e">
        <f t="shared" si="3"/>
        <v>#NAME?</v>
      </c>
      <c r="Y32" s="54" t="e">
        <f t="shared" si="4"/>
        <v>#NAME?</v>
      </c>
      <c r="Z32" s="54" t="e">
        <f t="shared" si="5"/>
        <v>#NAME?</v>
      </c>
      <c r="AA32" s="54" t="e">
        <f t="shared" si="6"/>
        <v>#NAME?</v>
      </c>
      <c r="AB32" s="54" t="e">
        <f>(BSPrice($B32*0.8,$J32,$K32,$C32,($I32-#REF!)/365,$G32,$H32,$D32)-BSPrice($B32,$J32,$K32,$C32,($I32-#REF!)/365,$G32,$H32,$D32))*$F32</f>
        <v>#NAME?</v>
      </c>
      <c r="AC32" s="54" t="e">
        <f>(BSPrice($B32*0.9,$J32,$K32,$C32,($I32-#REF!)/365,$G32,$H32,$D32)-BSPrice($B32,$J32,$K32,$C32,($I32-#REF!)/365,$G32,$H32,$D32))*$F32</f>
        <v>#NAME?</v>
      </c>
      <c r="AD32" s="54" t="e">
        <f>(BSPrice($B32*0.95,$J32,$K32,$C32,($I32-#REF!)/365,$G32,$H32,$D32)-BSPrice($B32,$J32,$K32,$C32,($I32-#REF!)/365,$G32,$H32,$D32))*$F32</f>
        <v>#NAME?</v>
      </c>
      <c r="AE32" s="54" t="e">
        <f>(BSPrice($B32*0.98,$J32,$K32,$C32,($I32-#REF!)/365,$G32,$H32,$D32)-BSPrice($B32,$J32,$K32,$C32,($I32-#REF!)/365,$G32,$H32,$D32))*$F32</f>
        <v>#NAME?</v>
      </c>
      <c r="AF32" s="54" t="e">
        <f>(BSPrice($B32*1.02,$J32,$K32,$C32,($I32-#REF!)/365,$G32,$H32,$D32)-BSPrice($B32,$J32,$K32,$C32,($I32-#REF!)/365,$G32,$H32,$D32))*$F32</f>
        <v>#NAME?</v>
      </c>
      <c r="AG32" s="54" t="e">
        <f>(BSPrice($B32*1.05,$J32,$K32,$C32,($I32-#REF!)/365,$G32,$H32,$D32)-BSPrice($B32,$J32,$K32,$C32,($I32-#REF!)/365,$G32,$H32,$D32))*$F32</f>
        <v>#NAME?</v>
      </c>
      <c r="AH32" s="54" t="e">
        <f>(BSPrice($B32*1.1,$J32,$K32,$C32,($I32-#REF!)/365,$G32,$H32,$D32)-BSPrice($B32,$J32,$K32,$C32,($I32-#REF!)/365,$G32,$H32,$D32))*$F32</f>
        <v>#NAME?</v>
      </c>
      <c r="AI32" s="54" t="e">
        <f>(BSPrice($B32*1.2,$J32,$K32,$C32,($I32-#REF!)/365,$G32,$H32,$D32)-BSPrice($B32,$J32,$K32,$C32,($I32-#REF!)/365,$G32,$H32,$D32))*$F32</f>
        <v>#NAME?</v>
      </c>
      <c r="AJ32" s="54" t="e">
        <f>(BSPrice($B32,$J32-0.1,$K32,$C32,($I32-#REF!)/365,$G32,$H32,$D32)-BSPrice($B32,$J32,$K32,$C32,($I32-#REF!)/365,$G32,$H32,$D32))*$F32</f>
        <v>#NAME?</v>
      </c>
      <c r="AK32" s="54" t="e">
        <f>(BSPrice($B32,$J32-0.05,$K32,$C32,($I32-#REF!)/365,$G32,$H32,$D32)-BSPrice($B32,$J32,$K32,$C32,($I32-#REF!)/365,$G32,$H32,$D32))*$F32</f>
        <v>#NAME?</v>
      </c>
      <c r="AL32" s="54" t="e">
        <f>(BSPrice($B32,$J32-0.02,$K32,$C32,($I32-#REF!)/365,$G32,$H32,$D32)-BSPrice($B32,$J32,$K32,$C32,($I32-#REF!)/365,$G32,$H32,$D32))*$F32</f>
        <v>#NAME?</v>
      </c>
      <c r="AM32" s="54" t="e">
        <f>(BSPrice($B32,$J32-0.01,$K32,$C32,($I32-#REF!)/365,$G32,$H32,$D32)-BSPrice($B32,$J32,$K32,$C32,($I32-#REF!)/365,$G32,$H32,$D32))*$F32</f>
        <v>#NAME?</v>
      </c>
      <c r="AN32" s="54" t="e">
        <f>(BSPrice($B32,$J32+0.01,$K32,$C32,($I32-#REF!)/365,$G32,$H32,$D32)-BSPrice($B32,$J32,$K32,$C32,($I32-#REF!)/365,$G32,$H32,$D32))*$F32</f>
        <v>#NAME?</v>
      </c>
      <c r="AO32" s="54" t="e">
        <f>(BSPrice($B32,$J32+0.02,$K32,$C32,($I32-#REF!)/365,$G32,$H32,$D32)-BSPrice($B32,$J32,$K32,$C32,($I32-#REF!)/365,$G32,$H32,$D32))*$F32</f>
        <v>#NAME?</v>
      </c>
      <c r="AP32" s="54" t="e">
        <f>(BSPrice($B32,$J32+0.05,$K32,$C32,($I32-#REF!)/365,$G32,$H32,$D32)-BSPrice($B32,$J32,$K32,$C32,($I32-#REF!)/365,$G32,$H32,$D32))*$F32</f>
        <v>#NAME?</v>
      </c>
      <c r="AQ32" s="54" t="e">
        <f>(BSPrice($B32,$J32+0.1,$K32,$C32,($I32-#REF!)/365,$G32,$H32,$D32)-BSPrice($B32,$J32,$K32,$C32,($I32-#REF!)/365,$G32,$H32,$D32))*$F32</f>
        <v>#NAME?</v>
      </c>
    </row>
    <row r="33" spans="1:43">
      <c r="A33" s="67" t="s">
        <v>1</v>
      </c>
      <c r="B33" s="44">
        <f>VLOOKUP(A33,PriceData!$K$4:$L$6,2,FALSE)</f>
        <v>2905</v>
      </c>
      <c r="C33" s="45">
        <f>VLOOKUP(A33,PriceData!$K$4:$M$6,3,FALSE)</f>
        <v>0.022</v>
      </c>
      <c r="D33" s="44" t="s">
        <v>56</v>
      </c>
      <c r="E33" s="44" t="s">
        <v>62</v>
      </c>
      <c r="F33" s="44">
        <v>-30</v>
      </c>
      <c r="G33" s="44">
        <v>2818</v>
      </c>
      <c r="H33" s="44" t="s">
        <v>59</v>
      </c>
      <c r="I33" s="68">
        <v>40256</v>
      </c>
      <c r="J33" s="45">
        <f>FindImpliedVol(A33,D33,G33,I33)</f>
        <v>0.426433353154432</v>
      </c>
      <c r="K33" s="69">
        <f>VLOOKUP(I33,PriceData!$A$5:$D$7,MATCH($E33,PriceData!$A$4:$D$4,0),FALSE)</f>
        <v>0.022</v>
      </c>
      <c r="L33" s="52" t="e">
        <f>BSPrice($B33,$J33,$K33,$C33,($I33-#REF!)/365,$G33,$H33,$D33)</f>
        <v>#NAME?</v>
      </c>
      <c r="M33" s="52" t="e">
        <f t="shared" si="0"/>
        <v>#NAME?</v>
      </c>
      <c r="N33" s="44" t="s">
        <v>55</v>
      </c>
      <c r="P33" s="49" t="e">
        <f>BSDelta(B33,J33,K33,C33,(I33-#REF!)/365,G33,H33,D33)</f>
        <v>#NAME?</v>
      </c>
      <c r="Q33" s="49" t="e">
        <f>BSGamma(B33,J33,K33,C33,(I33-#REF!)/365,G33,D33)</f>
        <v>#NAME?</v>
      </c>
      <c r="R33" s="51" t="e">
        <f>BSVega(B33,J33,K33,C33,(I33-#REF!)/365,G33,D33)</f>
        <v>#NAME?</v>
      </c>
      <c r="S33" s="51" t="e">
        <f>BSVolga(B33,J33,K33,C33,(I33-#REF!)/365,G33,D33)</f>
        <v>#NAME?</v>
      </c>
      <c r="T33" s="51" t="e">
        <f>BSTheta(B33,J33,K33,C33,(I33-#REF!)/365,G33,H33,D33)</f>
        <v>#NAME?</v>
      </c>
      <c r="U33" s="52" t="e">
        <f>BSRho(B33,J33,K33,C33,(I33-#REF!)/365,G33,H33,D33)</f>
        <v>#NAME?</v>
      </c>
      <c r="V33" s="70" t="e">
        <f t="shared" si="1"/>
        <v>#NAME?</v>
      </c>
      <c r="W33" s="70" t="e">
        <f t="shared" si="2"/>
        <v>#NAME?</v>
      </c>
      <c r="X33" s="54" t="e">
        <f t="shared" si="3"/>
        <v>#NAME?</v>
      </c>
      <c r="Y33" s="54" t="e">
        <f t="shared" si="4"/>
        <v>#NAME?</v>
      </c>
      <c r="Z33" s="54" t="e">
        <f t="shared" si="5"/>
        <v>#NAME?</v>
      </c>
      <c r="AA33" s="54" t="e">
        <f t="shared" si="6"/>
        <v>#NAME?</v>
      </c>
      <c r="AB33" s="54" t="e">
        <f>(BSPrice($B33*0.8,$J33,$K33,$C33,($I33-#REF!)/365,$G33,$H33,$D33)-BSPrice($B33,$J33,$K33,$C33,($I33-#REF!)/365,$G33,$H33,$D33))*$F33</f>
        <v>#NAME?</v>
      </c>
      <c r="AC33" s="54" t="e">
        <f>(BSPrice($B33*0.9,$J33,$K33,$C33,($I33-#REF!)/365,$G33,$H33,$D33)-BSPrice($B33,$J33,$K33,$C33,($I33-#REF!)/365,$G33,$H33,$D33))*$F33</f>
        <v>#NAME?</v>
      </c>
      <c r="AD33" s="54" t="e">
        <f>(BSPrice($B33*0.95,$J33,$K33,$C33,($I33-#REF!)/365,$G33,$H33,$D33)-BSPrice($B33,$J33,$K33,$C33,($I33-#REF!)/365,$G33,$H33,$D33))*$F33</f>
        <v>#NAME?</v>
      </c>
      <c r="AE33" s="54" t="e">
        <f>(BSPrice($B33*0.98,$J33,$K33,$C33,($I33-#REF!)/365,$G33,$H33,$D33)-BSPrice($B33,$J33,$K33,$C33,($I33-#REF!)/365,$G33,$H33,$D33))*$F33</f>
        <v>#NAME?</v>
      </c>
      <c r="AF33" s="54" t="e">
        <f>(BSPrice($B33*1.02,$J33,$K33,$C33,($I33-#REF!)/365,$G33,$H33,$D33)-BSPrice($B33,$J33,$K33,$C33,($I33-#REF!)/365,$G33,$H33,$D33))*$F33</f>
        <v>#NAME?</v>
      </c>
      <c r="AG33" s="54" t="e">
        <f>(BSPrice($B33*1.05,$J33,$K33,$C33,($I33-#REF!)/365,$G33,$H33,$D33)-BSPrice($B33,$J33,$K33,$C33,($I33-#REF!)/365,$G33,$H33,$D33))*$F33</f>
        <v>#NAME?</v>
      </c>
      <c r="AH33" s="54" t="e">
        <f>(BSPrice($B33*1.1,$J33,$K33,$C33,($I33-#REF!)/365,$G33,$H33,$D33)-BSPrice($B33,$J33,$K33,$C33,($I33-#REF!)/365,$G33,$H33,$D33))*$F33</f>
        <v>#NAME?</v>
      </c>
      <c r="AI33" s="54" t="e">
        <f>(BSPrice($B33*1.2,$J33,$K33,$C33,($I33-#REF!)/365,$G33,$H33,$D33)-BSPrice($B33,$J33,$K33,$C33,($I33-#REF!)/365,$G33,$H33,$D33))*$F33</f>
        <v>#NAME?</v>
      </c>
      <c r="AJ33" s="54" t="e">
        <f>(BSPrice($B33,$J33-0.1,$K33,$C33,($I33-#REF!)/365,$G33,$H33,$D33)-BSPrice($B33,$J33,$K33,$C33,($I33-#REF!)/365,$G33,$H33,$D33))*$F33</f>
        <v>#NAME?</v>
      </c>
      <c r="AK33" s="54" t="e">
        <f>(BSPrice($B33,$J33-0.05,$K33,$C33,($I33-#REF!)/365,$G33,$H33,$D33)-BSPrice($B33,$J33,$K33,$C33,($I33-#REF!)/365,$G33,$H33,$D33))*$F33</f>
        <v>#NAME?</v>
      </c>
      <c r="AL33" s="54" t="e">
        <f>(BSPrice($B33,$J33-0.02,$K33,$C33,($I33-#REF!)/365,$G33,$H33,$D33)-BSPrice($B33,$J33,$K33,$C33,($I33-#REF!)/365,$G33,$H33,$D33))*$F33</f>
        <v>#NAME?</v>
      </c>
      <c r="AM33" s="54" t="e">
        <f>(BSPrice($B33,$J33-0.01,$K33,$C33,($I33-#REF!)/365,$G33,$H33,$D33)-BSPrice($B33,$J33,$K33,$C33,($I33-#REF!)/365,$G33,$H33,$D33))*$F33</f>
        <v>#NAME?</v>
      </c>
      <c r="AN33" s="54" t="e">
        <f>(BSPrice($B33,$J33+0.01,$K33,$C33,($I33-#REF!)/365,$G33,$H33,$D33)-BSPrice($B33,$J33,$K33,$C33,($I33-#REF!)/365,$G33,$H33,$D33))*$F33</f>
        <v>#NAME?</v>
      </c>
      <c r="AO33" s="54" t="e">
        <f>(BSPrice($B33,$J33+0.02,$K33,$C33,($I33-#REF!)/365,$G33,$H33,$D33)-BSPrice($B33,$J33,$K33,$C33,($I33-#REF!)/365,$G33,$H33,$D33))*$F33</f>
        <v>#NAME?</v>
      </c>
      <c r="AP33" s="54" t="e">
        <f>(BSPrice($B33,$J33+0.05,$K33,$C33,($I33-#REF!)/365,$G33,$H33,$D33)-BSPrice($B33,$J33,$K33,$C33,($I33-#REF!)/365,$G33,$H33,$D33))*$F33</f>
        <v>#NAME?</v>
      </c>
      <c r="AQ33" s="54" t="e">
        <f>(BSPrice($B33,$J33+0.1,$K33,$C33,($I33-#REF!)/365,$G33,$H33,$D33)-BSPrice($B33,$J33,$K33,$C33,($I33-#REF!)/365,$G33,$H33,$D33))*$F33</f>
        <v>#NAME?</v>
      </c>
    </row>
    <row r="34" spans="1:43">
      <c r="A34" s="67" t="s">
        <v>1</v>
      </c>
      <c r="B34" s="44">
        <f>VLOOKUP(A34,PriceData!$K$4:$L$6,2,FALSE)</f>
        <v>2905</v>
      </c>
      <c r="C34" s="45">
        <f>VLOOKUP(A34,PriceData!$K$4:$M$6,3,FALSE)</f>
        <v>0.022</v>
      </c>
      <c r="D34" s="44" t="s">
        <v>56</v>
      </c>
      <c r="E34" s="44" t="s">
        <v>62</v>
      </c>
      <c r="F34" s="44">
        <v>-20</v>
      </c>
      <c r="G34" s="44">
        <v>2992</v>
      </c>
      <c r="H34" s="44" t="s">
        <v>57</v>
      </c>
      <c r="I34" s="68">
        <v>40256</v>
      </c>
      <c r="J34" s="45">
        <f>FindImpliedVol(A34,D34,G34,I34)</f>
        <v>0.397567985636796</v>
      </c>
      <c r="K34" s="69">
        <f>VLOOKUP(I34,PriceData!$A$5:$D$7,MATCH($E34,PriceData!$A$4:$D$4,0),FALSE)</f>
        <v>0.022</v>
      </c>
      <c r="L34" s="52" t="e">
        <f>BSPrice($B34,$J34,$K34,$C34,($I34-#REF!)/365,$G34,$H34,$D34)</f>
        <v>#NAME?</v>
      </c>
      <c r="M34" s="52" t="e">
        <f t="shared" si="0"/>
        <v>#NAME?</v>
      </c>
      <c r="N34" s="44" t="s">
        <v>55</v>
      </c>
      <c r="P34" s="49" t="e">
        <f>BSDelta(B34,J34,K34,C34,(I34-#REF!)/365,G34,H34,D34)</f>
        <v>#NAME?</v>
      </c>
      <c r="Q34" s="49" t="e">
        <f>BSGamma(B34,J34,K34,C34,(I34-#REF!)/365,G34,D34)</f>
        <v>#NAME?</v>
      </c>
      <c r="R34" s="51" t="e">
        <f>BSVega(B34,J34,K34,C34,(I34-#REF!)/365,G34,D34)</f>
        <v>#NAME?</v>
      </c>
      <c r="S34" s="51" t="e">
        <f>BSVolga(B34,J34,K34,C34,(I34-#REF!)/365,G34,D34)</f>
        <v>#NAME?</v>
      </c>
      <c r="T34" s="51" t="e">
        <f>BSTheta(B34,J34,K34,C34,(I34-#REF!)/365,G34,H34,D34)</f>
        <v>#NAME?</v>
      </c>
      <c r="U34" s="52" t="e">
        <f>BSRho(B34,J34,K34,C34,(I34-#REF!)/365,G34,H34,D34)</f>
        <v>#NAME?</v>
      </c>
      <c r="V34" s="70" t="e">
        <f t="shared" si="1"/>
        <v>#NAME?</v>
      </c>
      <c r="W34" s="70" t="e">
        <f t="shared" si="2"/>
        <v>#NAME?</v>
      </c>
      <c r="X34" s="54" t="e">
        <f t="shared" si="3"/>
        <v>#NAME?</v>
      </c>
      <c r="Y34" s="54" t="e">
        <f t="shared" si="4"/>
        <v>#NAME?</v>
      </c>
      <c r="Z34" s="54" t="e">
        <f t="shared" si="5"/>
        <v>#NAME?</v>
      </c>
      <c r="AA34" s="54" t="e">
        <f t="shared" si="6"/>
        <v>#NAME?</v>
      </c>
      <c r="AB34" s="54" t="e">
        <f>(BSPrice($B34*0.8,$J34,$K34,$C34,($I34-#REF!)/365,$G34,$H34,$D34)-BSPrice($B34,$J34,$K34,$C34,($I34-#REF!)/365,$G34,$H34,$D34))*$F34</f>
        <v>#NAME?</v>
      </c>
      <c r="AC34" s="54" t="e">
        <f>(BSPrice($B34*0.9,$J34,$K34,$C34,($I34-#REF!)/365,$G34,$H34,$D34)-BSPrice($B34,$J34,$K34,$C34,($I34-#REF!)/365,$G34,$H34,$D34))*$F34</f>
        <v>#NAME?</v>
      </c>
      <c r="AD34" s="54" t="e">
        <f>(BSPrice($B34*0.95,$J34,$K34,$C34,($I34-#REF!)/365,$G34,$H34,$D34)-BSPrice($B34,$J34,$K34,$C34,($I34-#REF!)/365,$G34,$H34,$D34))*$F34</f>
        <v>#NAME?</v>
      </c>
      <c r="AE34" s="54" t="e">
        <f>(BSPrice($B34*0.98,$J34,$K34,$C34,($I34-#REF!)/365,$G34,$H34,$D34)-BSPrice($B34,$J34,$K34,$C34,($I34-#REF!)/365,$G34,$H34,$D34))*$F34</f>
        <v>#NAME?</v>
      </c>
      <c r="AF34" s="54" t="e">
        <f>(BSPrice($B34*1.02,$J34,$K34,$C34,($I34-#REF!)/365,$G34,$H34,$D34)-BSPrice($B34,$J34,$K34,$C34,($I34-#REF!)/365,$G34,$H34,$D34))*$F34</f>
        <v>#NAME?</v>
      </c>
      <c r="AG34" s="54" t="e">
        <f>(BSPrice($B34*1.05,$J34,$K34,$C34,($I34-#REF!)/365,$G34,$H34,$D34)-BSPrice($B34,$J34,$K34,$C34,($I34-#REF!)/365,$G34,$H34,$D34))*$F34</f>
        <v>#NAME?</v>
      </c>
      <c r="AH34" s="54" t="e">
        <f>(BSPrice($B34*1.1,$J34,$K34,$C34,($I34-#REF!)/365,$G34,$H34,$D34)-BSPrice($B34,$J34,$K34,$C34,($I34-#REF!)/365,$G34,$H34,$D34))*$F34</f>
        <v>#NAME?</v>
      </c>
      <c r="AI34" s="54" t="e">
        <f>(BSPrice($B34*1.2,$J34,$K34,$C34,($I34-#REF!)/365,$G34,$H34,$D34)-BSPrice($B34,$J34,$K34,$C34,($I34-#REF!)/365,$G34,$H34,$D34))*$F34</f>
        <v>#NAME?</v>
      </c>
      <c r="AJ34" s="54" t="e">
        <f>(BSPrice($B34,$J34-0.1,$K34,$C34,($I34-#REF!)/365,$G34,$H34,$D34)-BSPrice($B34,$J34,$K34,$C34,($I34-#REF!)/365,$G34,$H34,$D34))*$F34</f>
        <v>#NAME?</v>
      </c>
      <c r="AK34" s="54" t="e">
        <f>(BSPrice($B34,$J34-0.05,$K34,$C34,($I34-#REF!)/365,$G34,$H34,$D34)-BSPrice($B34,$J34,$K34,$C34,($I34-#REF!)/365,$G34,$H34,$D34))*$F34</f>
        <v>#NAME?</v>
      </c>
      <c r="AL34" s="54" t="e">
        <f>(BSPrice($B34,$J34-0.02,$K34,$C34,($I34-#REF!)/365,$G34,$H34,$D34)-BSPrice($B34,$J34,$K34,$C34,($I34-#REF!)/365,$G34,$H34,$D34))*$F34</f>
        <v>#NAME?</v>
      </c>
      <c r="AM34" s="54" t="e">
        <f>(BSPrice($B34,$J34-0.01,$K34,$C34,($I34-#REF!)/365,$G34,$H34,$D34)-BSPrice($B34,$J34,$K34,$C34,($I34-#REF!)/365,$G34,$H34,$D34))*$F34</f>
        <v>#NAME?</v>
      </c>
      <c r="AN34" s="54" t="e">
        <f>(BSPrice($B34,$J34+0.01,$K34,$C34,($I34-#REF!)/365,$G34,$H34,$D34)-BSPrice($B34,$J34,$K34,$C34,($I34-#REF!)/365,$G34,$H34,$D34))*$F34</f>
        <v>#NAME?</v>
      </c>
      <c r="AO34" s="54" t="e">
        <f>(BSPrice($B34,$J34+0.02,$K34,$C34,($I34-#REF!)/365,$G34,$H34,$D34)-BSPrice($B34,$J34,$K34,$C34,($I34-#REF!)/365,$G34,$H34,$D34))*$F34</f>
        <v>#NAME?</v>
      </c>
      <c r="AP34" s="54" t="e">
        <f>(BSPrice($B34,$J34+0.05,$K34,$C34,($I34-#REF!)/365,$G34,$H34,$D34)-BSPrice($B34,$J34,$K34,$C34,($I34-#REF!)/365,$G34,$H34,$D34))*$F34</f>
        <v>#NAME?</v>
      </c>
      <c r="AQ34" s="54" t="e">
        <f>(BSPrice($B34,$J34+0.1,$K34,$C34,($I34-#REF!)/365,$G34,$H34,$D34)-BSPrice($B34,$J34,$K34,$C34,($I34-#REF!)/365,$G34,$H34,$D34))*$F34</f>
        <v>#NAME?</v>
      </c>
    </row>
    <row r="35" spans="1:43">
      <c r="A35" s="67" t="s">
        <v>1</v>
      </c>
      <c r="B35" s="44">
        <f>VLOOKUP(A35,PriceData!$K$4:$L$6,2,FALSE)</f>
        <v>2905</v>
      </c>
      <c r="C35" s="45">
        <f>VLOOKUP(A35,PriceData!$K$4:$M$6,3,FALSE)</f>
        <v>0.022</v>
      </c>
      <c r="D35" s="44" t="s">
        <v>56</v>
      </c>
      <c r="E35" s="44" t="s">
        <v>62</v>
      </c>
      <c r="F35" s="44">
        <v>-25</v>
      </c>
      <c r="G35" s="44">
        <v>2556</v>
      </c>
      <c r="H35" s="44" t="s">
        <v>57</v>
      </c>
      <c r="I35" s="68">
        <v>40256</v>
      </c>
      <c r="J35" s="45">
        <f>FindImpliedVol(A35,D35,G35,I35)</f>
        <v>0.50139327707893</v>
      </c>
      <c r="K35" s="69">
        <f>VLOOKUP(I35,PriceData!$A$5:$D$7,MATCH($E35,PriceData!$A$4:$D$4,0),FALSE)</f>
        <v>0.022</v>
      </c>
      <c r="L35" s="52" t="e">
        <f>BSPrice($B35,$J35,$K35,$C35,($I35-#REF!)/365,$G35,$H35,$D35)</f>
        <v>#NAME?</v>
      </c>
      <c r="M35" s="52" t="e">
        <f t="shared" si="0"/>
        <v>#NAME?</v>
      </c>
      <c r="N35" s="44" t="s">
        <v>55</v>
      </c>
      <c r="P35" s="49" t="e">
        <f>BSDelta(B35,J35,K35,C35,(I35-#REF!)/365,G35,H35,D35)</f>
        <v>#NAME?</v>
      </c>
      <c r="Q35" s="49" t="e">
        <f>BSGamma(B35,J35,K35,C35,(I35-#REF!)/365,G35,D35)</f>
        <v>#NAME?</v>
      </c>
      <c r="R35" s="51" t="e">
        <f>BSVega(B35,J35,K35,C35,(I35-#REF!)/365,G35,D35)</f>
        <v>#NAME?</v>
      </c>
      <c r="S35" s="51" t="e">
        <f>BSVolga(B35,J35,K35,C35,(I35-#REF!)/365,G35,D35)</f>
        <v>#NAME?</v>
      </c>
      <c r="T35" s="51" t="e">
        <f>BSTheta(B35,J35,K35,C35,(I35-#REF!)/365,G35,H35,D35)</f>
        <v>#NAME?</v>
      </c>
      <c r="U35" s="52" t="e">
        <f>BSRho(B35,J35,K35,C35,(I35-#REF!)/365,G35,H35,D35)</f>
        <v>#NAME?</v>
      </c>
      <c r="V35" s="70" t="e">
        <f t="shared" si="1"/>
        <v>#NAME?</v>
      </c>
      <c r="W35" s="70" t="e">
        <f t="shared" si="2"/>
        <v>#NAME?</v>
      </c>
      <c r="X35" s="54" t="e">
        <f t="shared" si="3"/>
        <v>#NAME?</v>
      </c>
      <c r="Y35" s="54" t="e">
        <f t="shared" si="4"/>
        <v>#NAME?</v>
      </c>
      <c r="Z35" s="54" t="e">
        <f t="shared" si="5"/>
        <v>#NAME?</v>
      </c>
      <c r="AA35" s="54" t="e">
        <f t="shared" si="6"/>
        <v>#NAME?</v>
      </c>
      <c r="AB35" s="54" t="e">
        <f>(BSPrice($B35*0.8,$J35,$K35,$C35,($I35-#REF!)/365,$G35,$H35,$D35)-BSPrice($B35,$J35,$K35,$C35,($I35-#REF!)/365,$G35,$H35,$D35))*$F35</f>
        <v>#NAME?</v>
      </c>
      <c r="AC35" s="54" t="e">
        <f>(BSPrice($B35*0.9,$J35,$K35,$C35,($I35-#REF!)/365,$G35,$H35,$D35)-BSPrice($B35,$J35,$K35,$C35,($I35-#REF!)/365,$G35,$H35,$D35))*$F35</f>
        <v>#NAME?</v>
      </c>
      <c r="AD35" s="54" t="e">
        <f>(BSPrice($B35*0.95,$J35,$K35,$C35,($I35-#REF!)/365,$G35,$H35,$D35)-BSPrice($B35,$J35,$K35,$C35,($I35-#REF!)/365,$G35,$H35,$D35))*$F35</f>
        <v>#NAME?</v>
      </c>
      <c r="AE35" s="54" t="e">
        <f>(BSPrice($B35*0.98,$J35,$K35,$C35,($I35-#REF!)/365,$G35,$H35,$D35)-BSPrice($B35,$J35,$K35,$C35,($I35-#REF!)/365,$G35,$H35,$D35))*$F35</f>
        <v>#NAME?</v>
      </c>
      <c r="AF35" s="54" t="e">
        <f>(BSPrice($B35*1.02,$J35,$K35,$C35,($I35-#REF!)/365,$G35,$H35,$D35)-BSPrice($B35,$J35,$K35,$C35,($I35-#REF!)/365,$G35,$H35,$D35))*$F35</f>
        <v>#NAME?</v>
      </c>
      <c r="AG35" s="54" t="e">
        <f>(BSPrice($B35*1.05,$J35,$K35,$C35,($I35-#REF!)/365,$G35,$H35,$D35)-BSPrice($B35,$J35,$K35,$C35,($I35-#REF!)/365,$G35,$H35,$D35))*$F35</f>
        <v>#NAME?</v>
      </c>
      <c r="AH35" s="54" t="e">
        <f>(BSPrice($B35*1.1,$J35,$K35,$C35,($I35-#REF!)/365,$G35,$H35,$D35)-BSPrice($B35,$J35,$K35,$C35,($I35-#REF!)/365,$G35,$H35,$D35))*$F35</f>
        <v>#NAME?</v>
      </c>
      <c r="AI35" s="54" t="e">
        <f>(BSPrice($B35*1.2,$J35,$K35,$C35,($I35-#REF!)/365,$G35,$H35,$D35)-BSPrice($B35,$J35,$K35,$C35,($I35-#REF!)/365,$G35,$H35,$D35))*$F35</f>
        <v>#NAME?</v>
      </c>
      <c r="AJ35" s="54" t="e">
        <f>(BSPrice($B35,$J35-0.1,$K35,$C35,($I35-#REF!)/365,$G35,$H35,$D35)-BSPrice($B35,$J35,$K35,$C35,($I35-#REF!)/365,$G35,$H35,$D35))*$F35</f>
        <v>#NAME?</v>
      </c>
      <c r="AK35" s="54" t="e">
        <f>(BSPrice($B35,$J35-0.05,$K35,$C35,($I35-#REF!)/365,$G35,$H35,$D35)-BSPrice($B35,$J35,$K35,$C35,($I35-#REF!)/365,$G35,$H35,$D35))*$F35</f>
        <v>#NAME?</v>
      </c>
      <c r="AL35" s="54" t="e">
        <f>(BSPrice($B35,$J35-0.02,$K35,$C35,($I35-#REF!)/365,$G35,$H35,$D35)-BSPrice($B35,$J35,$K35,$C35,($I35-#REF!)/365,$G35,$H35,$D35))*$F35</f>
        <v>#NAME?</v>
      </c>
      <c r="AM35" s="54" t="e">
        <f>(BSPrice($B35,$J35-0.01,$K35,$C35,($I35-#REF!)/365,$G35,$H35,$D35)-BSPrice($B35,$J35,$K35,$C35,($I35-#REF!)/365,$G35,$H35,$D35))*$F35</f>
        <v>#NAME?</v>
      </c>
      <c r="AN35" s="54" t="e">
        <f>(BSPrice($B35,$J35+0.01,$K35,$C35,($I35-#REF!)/365,$G35,$H35,$D35)-BSPrice($B35,$J35,$K35,$C35,($I35-#REF!)/365,$G35,$H35,$D35))*$F35</f>
        <v>#NAME?</v>
      </c>
      <c r="AO35" s="54" t="e">
        <f>(BSPrice($B35,$J35+0.02,$K35,$C35,($I35-#REF!)/365,$G35,$H35,$D35)-BSPrice($B35,$J35,$K35,$C35,($I35-#REF!)/365,$G35,$H35,$D35))*$F35</f>
        <v>#NAME?</v>
      </c>
      <c r="AP35" s="54" t="e">
        <f>(BSPrice($B35,$J35+0.05,$K35,$C35,($I35-#REF!)/365,$G35,$H35,$D35)-BSPrice($B35,$J35,$K35,$C35,($I35-#REF!)/365,$G35,$H35,$D35))*$F35</f>
        <v>#NAME?</v>
      </c>
      <c r="AQ35" s="54" t="e">
        <f>(BSPrice($B35,$J35+0.1,$K35,$C35,($I35-#REF!)/365,$G35,$H35,$D35)-BSPrice($B35,$J35,$K35,$C35,($I35-#REF!)/365,$G35,$H35,$D35))*$F35</f>
        <v>#NAME?</v>
      </c>
    </row>
    <row r="36" spans="1:43">
      <c r="A36" s="67" t="s">
        <v>1</v>
      </c>
      <c r="B36" s="44">
        <f>VLOOKUP(A36,PriceData!$K$4:$L$6,2,FALSE)</f>
        <v>2905</v>
      </c>
      <c r="C36" s="45">
        <f>VLOOKUP(A36,PriceData!$K$4:$M$6,3,FALSE)</f>
        <v>0.022</v>
      </c>
      <c r="D36" s="44" t="s">
        <v>56</v>
      </c>
      <c r="E36" s="44" t="s">
        <v>62</v>
      </c>
      <c r="F36" s="44">
        <v>-50</v>
      </c>
      <c r="G36" s="44">
        <v>3079</v>
      </c>
      <c r="H36" s="44" t="s">
        <v>59</v>
      </c>
      <c r="I36" s="68">
        <v>40256</v>
      </c>
      <c r="J36" s="45">
        <f>FindImpliedVol(A36,D36,G36,I36)</f>
        <v>0.388708147833382</v>
      </c>
      <c r="K36" s="69">
        <f>VLOOKUP(I36,PriceData!$A$5:$D$7,MATCH($E36,PriceData!$A$4:$D$4,0),FALSE)</f>
        <v>0.022</v>
      </c>
      <c r="L36" s="52" t="e">
        <f>BSPrice($B36,$J36,$K36,$C36,($I36-#REF!)/365,$G36,$H36,$D36)</f>
        <v>#NAME?</v>
      </c>
      <c r="M36" s="52" t="e">
        <f t="shared" si="0"/>
        <v>#NAME?</v>
      </c>
      <c r="N36" s="44" t="s">
        <v>58</v>
      </c>
      <c r="P36" s="49" t="e">
        <f>BSDelta(B36,J36,K36,C36,(I36-#REF!)/365,G36,H36,D36)</f>
        <v>#NAME?</v>
      </c>
      <c r="Q36" s="49" t="e">
        <f>BSGamma(B36,J36,K36,C36,(I36-#REF!)/365,G36,D36)</f>
        <v>#NAME?</v>
      </c>
      <c r="R36" s="51" t="e">
        <f>BSVega(B36,J36,K36,C36,(I36-#REF!)/365,G36,D36)</f>
        <v>#NAME?</v>
      </c>
      <c r="S36" s="51" t="e">
        <f>BSVolga(B36,J36,K36,C36,(I36-#REF!)/365,G36,D36)</f>
        <v>#NAME?</v>
      </c>
      <c r="T36" s="51" t="e">
        <f>BSTheta(B36,J36,K36,C36,(I36-#REF!)/365,G36,H36,D36)</f>
        <v>#NAME?</v>
      </c>
      <c r="U36" s="52" t="e">
        <f>BSRho(B36,J36,K36,C36,(I36-#REF!)/365,G36,H36,D36)</f>
        <v>#NAME?</v>
      </c>
      <c r="V36" s="70" t="e">
        <f t="shared" si="1"/>
        <v>#NAME?</v>
      </c>
      <c r="W36" s="70" t="e">
        <f t="shared" si="2"/>
        <v>#NAME?</v>
      </c>
      <c r="X36" s="54" t="e">
        <f t="shared" si="3"/>
        <v>#NAME?</v>
      </c>
      <c r="Y36" s="54" t="e">
        <f t="shared" si="4"/>
        <v>#NAME?</v>
      </c>
      <c r="Z36" s="54" t="e">
        <f t="shared" si="5"/>
        <v>#NAME?</v>
      </c>
      <c r="AA36" s="54" t="e">
        <f t="shared" si="6"/>
        <v>#NAME?</v>
      </c>
      <c r="AB36" s="54" t="e">
        <f>(BSPrice($B36*0.8,$J36,$K36,$C36,($I36-#REF!)/365,$G36,$H36,$D36)-BSPrice($B36,$J36,$K36,$C36,($I36-#REF!)/365,$G36,$H36,$D36))*$F36</f>
        <v>#NAME?</v>
      </c>
      <c r="AC36" s="54" t="e">
        <f>(BSPrice($B36*0.9,$J36,$K36,$C36,($I36-#REF!)/365,$G36,$H36,$D36)-BSPrice($B36,$J36,$K36,$C36,($I36-#REF!)/365,$G36,$H36,$D36))*$F36</f>
        <v>#NAME?</v>
      </c>
      <c r="AD36" s="54" t="e">
        <f>(BSPrice($B36*0.95,$J36,$K36,$C36,($I36-#REF!)/365,$G36,$H36,$D36)-BSPrice($B36,$J36,$K36,$C36,($I36-#REF!)/365,$G36,$H36,$D36))*$F36</f>
        <v>#NAME?</v>
      </c>
      <c r="AE36" s="54" t="e">
        <f>(BSPrice($B36*0.98,$J36,$K36,$C36,($I36-#REF!)/365,$G36,$H36,$D36)-BSPrice($B36,$J36,$K36,$C36,($I36-#REF!)/365,$G36,$H36,$D36))*$F36</f>
        <v>#NAME?</v>
      </c>
      <c r="AF36" s="54" t="e">
        <f>(BSPrice($B36*1.02,$J36,$K36,$C36,($I36-#REF!)/365,$G36,$H36,$D36)-BSPrice($B36,$J36,$K36,$C36,($I36-#REF!)/365,$G36,$H36,$D36))*$F36</f>
        <v>#NAME?</v>
      </c>
      <c r="AG36" s="54" t="e">
        <f>(BSPrice($B36*1.05,$J36,$K36,$C36,($I36-#REF!)/365,$G36,$H36,$D36)-BSPrice($B36,$J36,$K36,$C36,($I36-#REF!)/365,$G36,$H36,$D36))*$F36</f>
        <v>#NAME?</v>
      </c>
      <c r="AH36" s="54" t="e">
        <f>(BSPrice($B36*1.1,$J36,$K36,$C36,($I36-#REF!)/365,$G36,$H36,$D36)-BSPrice($B36,$J36,$K36,$C36,($I36-#REF!)/365,$G36,$H36,$D36))*$F36</f>
        <v>#NAME?</v>
      </c>
      <c r="AI36" s="54" t="e">
        <f>(BSPrice($B36*1.2,$J36,$K36,$C36,($I36-#REF!)/365,$G36,$H36,$D36)-BSPrice($B36,$J36,$K36,$C36,($I36-#REF!)/365,$G36,$H36,$D36))*$F36</f>
        <v>#NAME?</v>
      </c>
      <c r="AJ36" s="54" t="e">
        <f>(BSPrice($B36,$J36-0.1,$K36,$C36,($I36-#REF!)/365,$G36,$H36,$D36)-BSPrice($B36,$J36,$K36,$C36,($I36-#REF!)/365,$G36,$H36,$D36))*$F36</f>
        <v>#NAME?</v>
      </c>
      <c r="AK36" s="54" t="e">
        <f>(BSPrice($B36,$J36-0.05,$K36,$C36,($I36-#REF!)/365,$G36,$H36,$D36)-BSPrice($B36,$J36,$K36,$C36,($I36-#REF!)/365,$G36,$H36,$D36))*$F36</f>
        <v>#NAME?</v>
      </c>
      <c r="AL36" s="54" t="e">
        <f>(BSPrice($B36,$J36-0.02,$K36,$C36,($I36-#REF!)/365,$G36,$H36,$D36)-BSPrice($B36,$J36,$K36,$C36,($I36-#REF!)/365,$G36,$H36,$D36))*$F36</f>
        <v>#NAME?</v>
      </c>
      <c r="AM36" s="54" t="e">
        <f>(BSPrice($B36,$J36-0.01,$K36,$C36,($I36-#REF!)/365,$G36,$H36,$D36)-BSPrice($B36,$J36,$K36,$C36,($I36-#REF!)/365,$G36,$H36,$D36))*$F36</f>
        <v>#NAME?</v>
      </c>
      <c r="AN36" s="54" t="e">
        <f>(BSPrice($B36,$J36+0.01,$K36,$C36,($I36-#REF!)/365,$G36,$H36,$D36)-BSPrice($B36,$J36,$K36,$C36,($I36-#REF!)/365,$G36,$H36,$D36))*$F36</f>
        <v>#NAME?</v>
      </c>
      <c r="AO36" s="54" t="e">
        <f>(BSPrice($B36,$J36+0.02,$K36,$C36,($I36-#REF!)/365,$G36,$H36,$D36)-BSPrice($B36,$J36,$K36,$C36,($I36-#REF!)/365,$G36,$H36,$D36))*$F36</f>
        <v>#NAME?</v>
      </c>
      <c r="AP36" s="54" t="e">
        <f>(BSPrice($B36,$J36+0.05,$K36,$C36,($I36-#REF!)/365,$G36,$H36,$D36)-BSPrice($B36,$J36,$K36,$C36,($I36-#REF!)/365,$G36,$H36,$D36))*$F36</f>
        <v>#NAME?</v>
      </c>
      <c r="AQ36" s="54" t="e">
        <f>(BSPrice($B36,$J36+0.1,$K36,$C36,($I36-#REF!)/365,$G36,$H36,$D36)-BSPrice($B36,$J36,$K36,$C36,($I36-#REF!)/365,$G36,$H36,$D36))*$F36</f>
        <v>#NAME?</v>
      </c>
    </row>
    <row r="37" spans="1:43">
      <c r="A37" s="67" t="s">
        <v>1</v>
      </c>
      <c r="B37" s="44">
        <f>VLOOKUP(A37,PriceData!$K$4:$L$6,2,FALSE)</f>
        <v>2905</v>
      </c>
      <c r="C37" s="45">
        <f>VLOOKUP(A37,PriceData!$K$4:$M$6,3,FALSE)</f>
        <v>0.022</v>
      </c>
      <c r="D37" s="44" t="s">
        <v>56</v>
      </c>
      <c r="E37" s="44" t="s">
        <v>62</v>
      </c>
      <c r="F37" s="44">
        <v>25</v>
      </c>
      <c r="G37" s="44">
        <v>2469</v>
      </c>
      <c r="H37" s="44" t="s">
        <v>57</v>
      </c>
      <c r="I37" s="68">
        <v>40256</v>
      </c>
      <c r="J37" s="45">
        <f>FindImpliedVol(A37,D37,G37,I37)</f>
        <v>0.534273608820262</v>
      </c>
      <c r="K37" s="69">
        <f>VLOOKUP(I37,PriceData!$A$5:$D$7,MATCH($E37,PriceData!$A$4:$D$4,0),FALSE)</f>
        <v>0.022</v>
      </c>
      <c r="L37" s="52" t="e">
        <f>BSPrice($B37,$J37,$K37,$C37,($I37-#REF!)/365,$G37,$H37,$D37)</f>
        <v>#NAME?</v>
      </c>
      <c r="M37" s="52" t="e">
        <f t="shared" si="0"/>
        <v>#NAME?</v>
      </c>
      <c r="N37" s="44" t="s">
        <v>55</v>
      </c>
      <c r="P37" s="49" t="e">
        <f>BSDelta(B37,J37,K37,C37,(I37-#REF!)/365,G37,H37,D37)</f>
        <v>#NAME?</v>
      </c>
      <c r="Q37" s="49" t="e">
        <f>BSGamma(B37,J37,K37,C37,(I37-#REF!)/365,G37,D37)</f>
        <v>#NAME?</v>
      </c>
      <c r="R37" s="51" t="e">
        <f>BSVega(B37,J37,K37,C37,(I37-#REF!)/365,G37,D37)</f>
        <v>#NAME?</v>
      </c>
      <c r="S37" s="51" t="e">
        <f>BSVolga(B37,J37,K37,C37,(I37-#REF!)/365,G37,D37)</f>
        <v>#NAME?</v>
      </c>
      <c r="T37" s="51" t="e">
        <f>BSTheta(B37,J37,K37,C37,(I37-#REF!)/365,G37,H37,D37)</f>
        <v>#NAME?</v>
      </c>
      <c r="U37" s="52" t="e">
        <f>BSRho(B37,J37,K37,C37,(I37-#REF!)/365,G37,H37,D37)</f>
        <v>#NAME?</v>
      </c>
      <c r="V37" s="70" t="e">
        <f t="shared" si="1"/>
        <v>#NAME?</v>
      </c>
      <c r="W37" s="70" t="e">
        <f t="shared" si="2"/>
        <v>#NAME?</v>
      </c>
      <c r="X37" s="54" t="e">
        <f t="shared" si="3"/>
        <v>#NAME?</v>
      </c>
      <c r="Y37" s="54" t="e">
        <f t="shared" si="4"/>
        <v>#NAME?</v>
      </c>
      <c r="Z37" s="54" t="e">
        <f t="shared" si="5"/>
        <v>#NAME?</v>
      </c>
      <c r="AA37" s="54" t="e">
        <f t="shared" si="6"/>
        <v>#NAME?</v>
      </c>
      <c r="AB37" s="54" t="e">
        <f>(BSPrice($B37*0.8,$J37,$K37,$C37,($I37-#REF!)/365,$G37,$H37,$D37)-BSPrice($B37,$J37,$K37,$C37,($I37-#REF!)/365,$G37,$H37,$D37))*$F37</f>
        <v>#NAME?</v>
      </c>
      <c r="AC37" s="54" t="e">
        <f>(BSPrice($B37*0.9,$J37,$K37,$C37,($I37-#REF!)/365,$G37,$H37,$D37)-BSPrice($B37,$J37,$K37,$C37,($I37-#REF!)/365,$G37,$H37,$D37))*$F37</f>
        <v>#NAME?</v>
      </c>
      <c r="AD37" s="54" t="e">
        <f>(BSPrice($B37*0.95,$J37,$K37,$C37,($I37-#REF!)/365,$G37,$H37,$D37)-BSPrice($B37,$J37,$K37,$C37,($I37-#REF!)/365,$G37,$H37,$D37))*$F37</f>
        <v>#NAME?</v>
      </c>
      <c r="AE37" s="54" t="e">
        <f>(BSPrice($B37*0.98,$J37,$K37,$C37,($I37-#REF!)/365,$G37,$H37,$D37)-BSPrice($B37,$J37,$K37,$C37,($I37-#REF!)/365,$G37,$H37,$D37))*$F37</f>
        <v>#NAME?</v>
      </c>
      <c r="AF37" s="54" t="e">
        <f>(BSPrice($B37*1.02,$J37,$K37,$C37,($I37-#REF!)/365,$G37,$H37,$D37)-BSPrice($B37,$J37,$K37,$C37,($I37-#REF!)/365,$G37,$H37,$D37))*$F37</f>
        <v>#NAME?</v>
      </c>
      <c r="AG37" s="54" t="e">
        <f>(BSPrice($B37*1.05,$J37,$K37,$C37,($I37-#REF!)/365,$G37,$H37,$D37)-BSPrice($B37,$J37,$K37,$C37,($I37-#REF!)/365,$G37,$H37,$D37))*$F37</f>
        <v>#NAME?</v>
      </c>
      <c r="AH37" s="54" t="e">
        <f>(BSPrice($B37*1.1,$J37,$K37,$C37,($I37-#REF!)/365,$G37,$H37,$D37)-BSPrice($B37,$J37,$K37,$C37,($I37-#REF!)/365,$G37,$H37,$D37))*$F37</f>
        <v>#NAME?</v>
      </c>
      <c r="AI37" s="54" t="e">
        <f>(BSPrice($B37*1.2,$J37,$K37,$C37,($I37-#REF!)/365,$G37,$H37,$D37)-BSPrice($B37,$J37,$K37,$C37,($I37-#REF!)/365,$G37,$H37,$D37))*$F37</f>
        <v>#NAME?</v>
      </c>
      <c r="AJ37" s="54" t="e">
        <f>(BSPrice($B37,$J37-0.1,$K37,$C37,($I37-#REF!)/365,$G37,$H37,$D37)-BSPrice($B37,$J37,$K37,$C37,($I37-#REF!)/365,$G37,$H37,$D37))*$F37</f>
        <v>#NAME?</v>
      </c>
      <c r="AK37" s="54" t="e">
        <f>(BSPrice($B37,$J37-0.05,$K37,$C37,($I37-#REF!)/365,$G37,$H37,$D37)-BSPrice($B37,$J37,$K37,$C37,($I37-#REF!)/365,$G37,$H37,$D37))*$F37</f>
        <v>#NAME?</v>
      </c>
      <c r="AL37" s="54" t="e">
        <f>(BSPrice($B37,$J37-0.02,$K37,$C37,($I37-#REF!)/365,$G37,$H37,$D37)-BSPrice($B37,$J37,$K37,$C37,($I37-#REF!)/365,$G37,$H37,$D37))*$F37</f>
        <v>#NAME?</v>
      </c>
      <c r="AM37" s="54" t="e">
        <f>(BSPrice($B37,$J37-0.01,$K37,$C37,($I37-#REF!)/365,$G37,$H37,$D37)-BSPrice($B37,$J37,$K37,$C37,($I37-#REF!)/365,$G37,$H37,$D37))*$F37</f>
        <v>#NAME?</v>
      </c>
      <c r="AN37" s="54" t="e">
        <f>(BSPrice($B37,$J37+0.01,$K37,$C37,($I37-#REF!)/365,$G37,$H37,$D37)-BSPrice($B37,$J37,$K37,$C37,($I37-#REF!)/365,$G37,$H37,$D37))*$F37</f>
        <v>#NAME?</v>
      </c>
      <c r="AO37" s="54" t="e">
        <f>(BSPrice($B37,$J37+0.02,$K37,$C37,($I37-#REF!)/365,$G37,$H37,$D37)-BSPrice($B37,$J37,$K37,$C37,($I37-#REF!)/365,$G37,$H37,$D37))*$F37</f>
        <v>#NAME?</v>
      </c>
      <c r="AP37" s="54" t="e">
        <f>(BSPrice($B37,$J37+0.05,$K37,$C37,($I37-#REF!)/365,$G37,$H37,$D37)-BSPrice($B37,$J37,$K37,$C37,($I37-#REF!)/365,$G37,$H37,$D37))*$F37</f>
        <v>#NAME?</v>
      </c>
      <c r="AQ37" s="54" t="e">
        <f>(BSPrice($B37,$J37+0.1,$K37,$C37,($I37-#REF!)/365,$G37,$H37,$D37)-BSPrice($B37,$J37,$K37,$C37,($I37-#REF!)/365,$G37,$H37,$D37))*$F37</f>
        <v>#NAME?</v>
      </c>
    </row>
    <row r="38" spans="1:43">
      <c r="A38" s="67" t="s">
        <v>1</v>
      </c>
      <c r="B38" s="44">
        <f>VLOOKUP(A38,PriceData!$K$4:$L$6,2,FALSE)</f>
        <v>2905</v>
      </c>
      <c r="C38" s="45">
        <f>VLOOKUP(A38,PriceData!$K$4:$M$6,3,FALSE)</f>
        <v>0.022</v>
      </c>
      <c r="D38" s="44" t="s">
        <v>56</v>
      </c>
      <c r="E38" s="44" t="s">
        <v>62</v>
      </c>
      <c r="F38" s="44">
        <v>-20</v>
      </c>
      <c r="G38" s="44">
        <v>2992</v>
      </c>
      <c r="H38" s="44" t="s">
        <v>57</v>
      </c>
      <c r="I38" s="68">
        <v>40256</v>
      </c>
      <c r="J38" s="45">
        <f>FindImpliedVol(A38,D38,G38,I38)</f>
        <v>0.397567985636796</v>
      </c>
      <c r="K38" s="69">
        <f>VLOOKUP(I38,PriceData!$A$5:$D$7,MATCH($E38,PriceData!$A$4:$D$4,0),FALSE)</f>
        <v>0.022</v>
      </c>
      <c r="L38" s="52" t="e">
        <f>BSPrice($B38,$J38,$K38,$C38,($I38-#REF!)/365,$G38,$H38,$D38)</f>
        <v>#NAME?</v>
      </c>
      <c r="M38" s="52" t="e">
        <f t="shared" si="0"/>
        <v>#NAME?</v>
      </c>
      <c r="N38" s="44" t="s">
        <v>55</v>
      </c>
      <c r="P38" s="49" t="e">
        <f>BSDelta(B38,J38,K38,C38,(I38-#REF!)/365,G38,H38,D38)</f>
        <v>#NAME?</v>
      </c>
      <c r="Q38" s="49" t="e">
        <f>BSGamma(B38,J38,K38,C38,(I38-#REF!)/365,G38,D38)</f>
        <v>#NAME?</v>
      </c>
      <c r="R38" s="51" t="e">
        <f>BSVega(B38,J38,K38,C38,(I38-#REF!)/365,G38,D38)</f>
        <v>#NAME?</v>
      </c>
      <c r="S38" s="51" t="e">
        <f>BSVolga(B38,J38,K38,C38,(I38-#REF!)/365,G38,D38)</f>
        <v>#NAME?</v>
      </c>
      <c r="T38" s="51" t="e">
        <f>BSTheta(B38,J38,K38,C38,(I38-#REF!)/365,G38,H38,D38)</f>
        <v>#NAME?</v>
      </c>
      <c r="U38" s="52" t="e">
        <f>BSRho(B38,J38,K38,C38,(I38-#REF!)/365,G38,H38,D38)</f>
        <v>#NAME?</v>
      </c>
      <c r="V38" s="70" t="e">
        <f t="shared" si="1"/>
        <v>#NAME?</v>
      </c>
      <c r="W38" s="70" t="e">
        <f t="shared" si="2"/>
        <v>#NAME?</v>
      </c>
      <c r="X38" s="54" t="e">
        <f t="shared" si="3"/>
        <v>#NAME?</v>
      </c>
      <c r="Y38" s="54" t="e">
        <f t="shared" si="4"/>
        <v>#NAME?</v>
      </c>
      <c r="Z38" s="54" t="e">
        <f t="shared" si="5"/>
        <v>#NAME?</v>
      </c>
      <c r="AA38" s="54" t="e">
        <f t="shared" si="6"/>
        <v>#NAME?</v>
      </c>
      <c r="AB38" s="54" t="e">
        <f>(BSPrice($B38*0.8,$J38,$K38,$C38,($I38-#REF!)/365,$G38,$H38,$D38)-BSPrice($B38,$J38,$K38,$C38,($I38-#REF!)/365,$G38,$H38,$D38))*$F38</f>
        <v>#NAME?</v>
      </c>
      <c r="AC38" s="54" t="e">
        <f>(BSPrice($B38*0.9,$J38,$K38,$C38,($I38-#REF!)/365,$G38,$H38,$D38)-BSPrice($B38,$J38,$K38,$C38,($I38-#REF!)/365,$G38,$H38,$D38))*$F38</f>
        <v>#NAME?</v>
      </c>
      <c r="AD38" s="54" t="e">
        <f>(BSPrice($B38*0.95,$J38,$K38,$C38,($I38-#REF!)/365,$G38,$H38,$D38)-BSPrice($B38,$J38,$K38,$C38,($I38-#REF!)/365,$G38,$H38,$D38))*$F38</f>
        <v>#NAME?</v>
      </c>
      <c r="AE38" s="54" t="e">
        <f>(BSPrice($B38*0.98,$J38,$K38,$C38,($I38-#REF!)/365,$G38,$H38,$D38)-BSPrice($B38,$J38,$K38,$C38,($I38-#REF!)/365,$G38,$H38,$D38))*$F38</f>
        <v>#NAME?</v>
      </c>
      <c r="AF38" s="54" t="e">
        <f>(BSPrice($B38*1.02,$J38,$K38,$C38,($I38-#REF!)/365,$G38,$H38,$D38)-BSPrice($B38,$J38,$K38,$C38,($I38-#REF!)/365,$G38,$H38,$D38))*$F38</f>
        <v>#NAME?</v>
      </c>
      <c r="AG38" s="54" t="e">
        <f>(BSPrice($B38*1.05,$J38,$K38,$C38,($I38-#REF!)/365,$G38,$H38,$D38)-BSPrice($B38,$J38,$K38,$C38,($I38-#REF!)/365,$G38,$H38,$D38))*$F38</f>
        <v>#NAME?</v>
      </c>
      <c r="AH38" s="54" t="e">
        <f>(BSPrice($B38*1.1,$J38,$K38,$C38,($I38-#REF!)/365,$G38,$H38,$D38)-BSPrice($B38,$J38,$K38,$C38,($I38-#REF!)/365,$G38,$H38,$D38))*$F38</f>
        <v>#NAME?</v>
      </c>
      <c r="AI38" s="54" t="e">
        <f>(BSPrice($B38*1.2,$J38,$K38,$C38,($I38-#REF!)/365,$G38,$H38,$D38)-BSPrice($B38,$J38,$K38,$C38,($I38-#REF!)/365,$G38,$H38,$D38))*$F38</f>
        <v>#NAME?</v>
      </c>
      <c r="AJ38" s="54" t="e">
        <f>(BSPrice($B38,$J38-0.1,$K38,$C38,($I38-#REF!)/365,$G38,$H38,$D38)-BSPrice($B38,$J38,$K38,$C38,($I38-#REF!)/365,$G38,$H38,$D38))*$F38</f>
        <v>#NAME?</v>
      </c>
      <c r="AK38" s="54" t="e">
        <f>(BSPrice($B38,$J38-0.05,$K38,$C38,($I38-#REF!)/365,$G38,$H38,$D38)-BSPrice($B38,$J38,$K38,$C38,($I38-#REF!)/365,$G38,$H38,$D38))*$F38</f>
        <v>#NAME?</v>
      </c>
      <c r="AL38" s="54" t="e">
        <f>(BSPrice($B38,$J38-0.02,$K38,$C38,($I38-#REF!)/365,$G38,$H38,$D38)-BSPrice($B38,$J38,$K38,$C38,($I38-#REF!)/365,$G38,$H38,$D38))*$F38</f>
        <v>#NAME?</v>
      </c>
      <c r="AM38" s="54" t="e">
        <f>(BSPrice($B38,$J38-0.01,$K38,$C38,($I38-#REF!)/365,$G38,$H38,$D38)-BSPrice($B38,$J38,$K38,$C38,($I38-#REF!)/365,$G38,$H38,$D38))*$F38</f>
        <v>#NAME?</v>
      </c>
      <c r="AN38" s="54" t="e">
        <f>(BSPrice($B38,$J38+0.01,$K38,$C38,($I38-#REF!)/365,$G38,$H38,$D38)-BSPrice($B38,$J38,$K38,$C38,($I38-#REF!)/365,$G38,$H38,$D38))*$F38</f>
        <v>#NAME?</v>
      </c>
      <c r="AO38" s="54" t="e">
        <f>(BSPrice($B38,$J38+0.02,$K38,$C38,($I38-#REF!)/365,$G38,$H38,$D38)-BSPrice($B38,$J38,$K38,$C38,($I38-#REF!)/365,$G38,$H38,$D38))*$F38</f>
        <v>#NAME?</v>
      </c>
      <c r="AP38" s="54" t="e">
        <f>(BSPrice($B38,$J38+0.05,$K38,$C38,($I38-#REF!)/365,$G38,$H38,$D38)-BSPrice($B38,$J38,$K38,$C38,($I38-#REF!)/365,$G38,$H38,$D38))*$F38</f>
        <v>#NAME?</v>
      </c>
      <c r="AQ38" s="54" t="e">
        <f>(BSPrice($B38,$J38+0.1,$K38,$C38,($I38-#REF!)/365,$G38,$H38,$D38)-BSPrice($B38,$J38,$K38,$C38,($I38-#REF!)/365,$G38,$H38,$D38))*$F38</f>
        <v>#NAME?</v>
      </c>
    </row>
    <row r="39" spans="1:43">
      <c r="A39" s="67" t="s">
        <v>1</v>
      </c>
      <c r="B39" s="44">
        <f>VLOOKUP(A39,PriceData!$K$4:$L$6,2,FALSE)</f>
        <v>2905</v>
      </c>
      <c r="C39" s="45">
        <f>VLOOKUP(A39,PriceData!$K$4:$M$6,3,FALSE)</f>
        <v>0.022</v>
      </c>
      <c r="D39" s="44" t="s">
        <v>56</v>
      </c>
      <c r="E39" s="44" t="s">
        <v>62</v>
      </c>
      <c r="F39" s="44">
        <v>-10</v>
      </c>
      <c r="G39" s="44">
        <v>2556</v>
      </c>
      <c r="H39" s="44" t="s">
        <v>57</v>
      </c>
      <c r="I39" s="68">
        <v>40256</v>
      </c>
      <c r="J39" s="45">
        <f>FindImpliedVol(A39,D39,G39,I39)</f>
        <v>0.50139327707893</v>
      </c>
      <c r="K39" s="69">
        <f>VLOOKUP(I39,PriceData!$A$5:$D$7,MATCH($E39,PriceData!$A$4:$D$4,0),FALSE)</f>
        <v>0.022</v>
      </c>
      <c r="L39" s="52" t="e">
        <f>BSPrice($B39,$J39,$K39,$C39,($I39-#REF!)/365,$G39,$H39,$D39)</f>
        <v>#NAME?</v>
      </c>
      <c r="M39" s="52" t="e">
        <f t="shared" si="0"/>
        <v>#NAME?</v>
      </c>
      <c r="N39" s="44" t="s">
        <v>63</v>
      </c>
      <c r="P39" s="49" t="e">
        <f>BSDelta(B39,J39,K39,C39,(I39-#REF!)/365,G39,H39,D39)</f>
        <v>#NAME?</v>
      </c>
      <c r="Q39" s="49" t="e">
        <f>BSGamma(B39,J39,K39,C39,(I39-#REF!)/365,G39,D39)</f>
        <v>#NAME?</v>
      </c>
      <c r="R39" s="51" t="e">
        <f>BSVega(B39,J39,K39,C39,(I39-#REF!)/365,G39,D39)</f>
        <v>#NAME?</v>
      </c>
      <c r="S39" s="51" t="e">
        <f>BSVolga(B39,J39,K39,C39,(I39-#REF!)/365,G39,D39)</f>
        <v>#NAME?</v>
      </c>
      <c r="T39" s="51" t="e">
        <f>BSTheta(B39,J39,K39,C39,(I39-#REF!)/365,G39,H39,D39)</f>
        <v>#NAME?</v>
      </c>
      <c r="U39" s="52" t="e">
        <f>BSRho(B39,J39,K39,C39,(I39-#REF!)/365,G39,H39,D39)</f>
        <v>#NAME?</v>
      </c>
      <c r="V39" s="70" t="e">
        <f t="shared" si="1"/>
        <v>#NAME?</v>
      </c>
      <c r="W39" s="70" t="e">
        <f t="shared" si="2"/>
        <v>#NAME?</v>
      </c>
      <c r="X39" s="54" t="e">
        <f t="shared" si="3"/>
        <v>#NAME?</v>
      </c>
      <c r="Y39" s="54" t="e">
        <f t="shared" si="4"/>
        <v>#NAME?</v>
      </c>
      <c r="Z39" s="54" t="e">
        <f t="shared" si="5"/>
        <v>#NAME?</v>
      </c>
      <c r="AA39" s="54" t="e">
        <f t="shared" si="6"/>
        <v>#NAME?</v>
      </c>
      <c r="AB39" s="54" t="e">
        <f>(BSPrice($B39*0.8,$J39,$K39,$C39,($I39-#REF!)/365,$G39,$H39,$D39)-BSPrice($B39,$J39,$K39,$C39,($I39-#REF!)/365,$G39,$H39,$D39))*$F39</f>
        <v>#NAME?</v>
      </c>
      <c r="AC39" s="54" t="e">
        <f>(BSPrice($B39*0.9,$J39,$K39,$C39,($I39-#REF!)/365,$G39,$H39,$D39)-BSPrice($B39,$J39,$K39,$C39,($I39-#REF!)/365,$G39,$H39,$D39))*$F39</f>
        <v>#NAME?</v>
      </c>
      <c r="AD39" s="54" t="e">
        <f>(BSPrice($B39*0.95,$J39,$K39,$C39,($I39-#REF!)/365,$G39,$H39,$D39)-BSPrice($B39,$J39,$K39,$C39,($I39-#REF!)/365,$G39,$H39,$D39))*$F39</f>
        <v>#NAME?</v>
      </c>
      <c r="AE39" s="54" t="e">
        <f>(BSPrice($B39*0.98,$J39,$K39,$C39,($I39-#REF!)/365,$G39,$H39,$D39)-BSPrice($B39,$J39,$K39,$C39,($I39-#REF!)/365,$G39,$H39,$D39))*$F39</f>
        <v>#NAME?</v>
      </c>
      <c r="AF39" s="54" t="e">
        <f>(BSPrice($B39*1.02,$J39,$K39,$C39,($I39-#REF!)/365,$G39,$H39,$D39)-BSPrice($B39,$J39,$K39,$C39,($I39-#REF!)/365,$G39,$H39,$D39))*$F39</f>
        <v>#NAME?</v>
      </c>
      <c r="AG39" s="54" t="e">
        <f>(BSPrice($B39*1.05,$J39,$K39,$C39,($I39-#REF!)/365,$G39,$H39,$D39)-BSPrice($B39,$J39,$K39,$C39,($I39-#REF!)/365,$G39,$H39,$D39))*$F39</f>
        <v>#NAME?</v>
      </c>
      <c r="AH39" s="54" t="e">
        <f>(BSPrice($B39*1.1,$J39,$K39,$C39,($I39-#REF!)/365,$G39,$H39,$D39)-BSPrice($B39,$J39,$K39,$C39,($I39-#REF!)/365,$G39,$H39,$D39))*$F39</f>
        <v>#NAME?</v>
      </c>
      <c r="AI39" s="54" t="e">
        <f>(BSPrice($B39*1.2,$J39,$K39,$C39,($I39-#REF!)/365,$G39,$H39,$D39)-BSPrice($B39,$J39,$K39,$C39,($I39-#REF!)/365,$G39,$H39,$D39))*$F39</f>
        <v>#NAME?</v>
      </c>
      <c r="AJ39" s="54" t="e">
        <f>(BSPrice($B39,$J39-0.1,$K39,$C39,($I39-#REF!)/365,$G39,$H39,$D39)-BSPrice($B39,$J39,$K39,$C39,($I39-#REF!)/365,$G39,$H39,$D39))*$F39</f>
        <v>#NAME?</v>
      </c>
      <c r="AK39" s="54" t="e">
        <f>(BSPrice($B39,$J39-0.05,$K39,$C39,($I39-#REF!)/365,$G39,$H39,$D39)-BSPrice($B39,$J39,$K39,$C39,($I39-#REF!)/365,$G39,$H39,$D39))*$F39</f>
        <v>#NAME?</v>
      </c>
      <c r="AL39" s="54" t="e">
        <f>(BSPrice($B39,$J39-0.02,$K39,$C39,($I39-#REF!)/365,$G39,$H39,$D39)-BSPrice($B39,$J39,$K39,$C39,($I39-#REF!)/365,$G39,$H39,$D39))*$F39</f>
        <v>#NAME?</v>
      </c>
      <c r="AM39" s="54" t="e">
        <f>(BSPrice($B39,$J39-0.01,$K39,$C39,($I39-#REF!)/365,$G39,$H39,$D39)-BSPrice($B39,$J39,$K39,$C39,($I39-#REF!)/365,$G39,$H39,$D39))*$F39</f>
        <v>#NAME?</v>
      </c>
      <c r="AN39" s="54" t="e">
        <f>(BSPrice($B39,$J39+0.01,$K39,$C39,($I39-#REF!)/365,$G39,$H39,$D39)-BSPrice($B39,$J39,$K39,$C39,($I39-#REF!)/365,$G39,$H39,$D39))*$F39</f>
        <v>#NAME?</v>
      </c>
      <c r="AO39" s="54" t="e">
        <f>(BSPrice($B39,$J39+0.02,$K39,$C39,($I39-#REF!)/365,$G39,$H39,$D39)-BSPrice($B39,$J39,$K39,$C39,($I39-#REF!)/365,$G39,$H39,$D39))*$F39</f>
        <v>#NAME?</v>
      </c>
      <c r="AP39" s="54" t="e">
        <f>(BSPrice($B39,$J39+0.05,$K39,$C39,($I39-#REF!)/365,$G39,$H39,$D39)-BSPrice($B39,$J39,$K39,$C39,($I39-#REF!)/365,$G39,$H39,$D39))*$F39</f>
        <v>#NAME?</v>
      </c>
      <c r="AQ39" s="54" t="e">
        <f>(BSPrice($B39,$J39+0.1,$K39,$C39,($I39-#REF!)/365,$G39,$H39,$D39)-BSPrice($B39,$J39,$K39,$C39,($I39-#REF!)/365,$G39,$H39,$D39))*$F39</f>
        <v>#NAME?</v>
      </c>
    </row>
    <row r="40" spans="1:43">
      <c r="A40" s="67" t="s">
        <v>1</v>
      </c>
      <c r="B40" s="44">
        <f>VLOOKUP(A40,PriceData!$K$4:$L$6,2,FALSE)</f>
        <v>2905</v>
      </c>
      <c r="C40" s="45">
        <f>VLOOKUP(A40,PriceData!$K$4:$M$6,3,FALSE)</f>
        <v>0.022</v>
      </c>
      <c r="D40" s="44" t="s">
        <v>56</v>
      </c>
      <c r="E40" s="44" t="s">
        <v>62</v>
      </c>
      <c r="F40" s="44">
        <v>-10</v>
      </c>
      <c r="G40" s="44">
        <v>3079</v>
      </c>
      <c r="H40" s="44" t="s">
        <v>59</v>
      </c>
      <c r="I40" s="68">
        <v>40256</v>
      </c>
      <c r="J40" s="45">
        <f>FindImpliedVol(A40,D40,G40,I40)</f>
        <v>0.388708147833382</v>
      </c>
      <c r="K40" s="69">
        <f>VLOOKUP(I40,PriceData!$A$5:$D$7,MATCH($E40,PriceData!$A$4:$D$4,0),FALSE)</f>
        <v>0.022</v>
      </c>
      <c r="L40" s="52" t="e">
        <f>BSPrice($B40,$J40,$K40,$C40,($I40-#REF!)/365,$G40,$H40,$D40)</f>
        <v>#NAME?</v>
      </c>
      <c r="M40" s="52" t="e">
        <f t="shared" si="0"/>
        <v>#NAME?</v>
      </c>
      <c r="N40" s="44" t="s">
        <v>55</v>
      </c>
      <c r="P40" s="49" t="e">
        <f>BSDelta(B40,J40,K40,C40,(I40-#REF!)/365,G40,H40,D40)</f>
        <v>#NAME?</v>
      </c>
      <c r="Q40" s="49" t="e">
        <f>BSGamma(B40,J40,K40,C40,(I40-#REF!)/365,G40,D40)</f>
        <v>#NAME?</v>
      </c>
      <c r="R40" s="51" t="e">
        <f>BSVega(B40,J40,K40,C40,(I40-#REF!)/365,G40,D40)</f>
        <v>#NAME?</v>
      </c>
      <c r="S40" s="51" t="e">
        <f>BSVolga(B40,J40,K40,C40,(I40-#REF!)/365,G40,D40)</f>
        <v>#NAME?</v>
      </c>
      <c r="T40" s="51" t="e">
        <f>BSTheta(B40,J40,K40,C40,(I40-#REF!)/365,G40,H40,D40)</f>
        <v>#NAME?</v>
      </c>
      <c r="U40" s="52" t="e">
        <f>BSRho(B40,J40,K40,C40,(I40-#REF!)/365,G40,H40,D40)</f>
        <v>#NAME?</v>
      </c>
      <c r="V40" s="70" t="e">
        <f t="shared" si="1"/>
        <v>#NAME?</v>
      </c>
      <c r="W40" s="70" t="e">
        <f t="shared" si="2"/>
        <v>#NAME?</v>
      </c>
      <c r="X40" s="54" t="e">
        <f t="shared" si="3"/>
        <v>#NAME?</v>
      </c>
      <c r="Y40" s="54" t="e">
        <f t="shared" si="4"/>
        <v>#NAME?</v>
      </c>
      <c r="Z40" s="54" t="e">
        <f t="shared" si="5"/>
        <v>#NAME?</v>
      </c>
      <c r="AA40" s="54" t="e">
        <f t="shared" si="6"/>
        <v>#NAME?</v>
      </c>
      <c r="AB40" s="54" t="e">
        <f>(BSPrice($B40*0.8,$J40,$K40,$C40,($I40-#REF!)/365,$G40,$H40,$D40)-BSPrice($B40,$J40,$K40,$C40,($I40-#REF!)/365,$G40,$H40,$D40))*$F40</f>
        <v>#NAME?</v>
      </c>
      <c r="AC40" s="54" t="e">
        <f>(BSPrice($B40*0.9,$J40,$K40,$C40,($I40-#REF!)/365,$G40,$H40,$D40)-BSPrice($B40,$J40,$K40,$C40,($I40-#REF!)/365,$G40,$H40,$D40))*$F40</f>
        <v>#NAME?</v>
      </c>
      <c r="AD40" s="54" t="e">
        <f>(BSPrice($B40*0.95,$J40,$K40,$C40,($I40-#REF!)/365,$G40,$H40,$D40)-BSPrice($B40,$J40,$K40,$C40,($I40-#REF!)/365,$G40,$H40,$D40))*$F40</f>
        <v>#NAME?</v>
      </c>
      <c r="AE40" s="54" t="e">
        <f>(BSPrice($B40*0.98,$J40,$K40,$C40,($I40-#REF!)/365,$G40,$H40,$D40)-BSPrice($B40,$J40,$K40,$C40,($I40-#REF!)/365,$G40,$H40,$D40))*$F40</f>
        <v>#NAME?</v>
      </c>
      <c r="AF40" s="54" t="e">
        <f>(BSPrice($B40*1.02,$J40,$K40,$C40,($I40-#REF!)/365,$G40,$H40,$D40)-BSPrice($B40,$J40,$K40,$C40,($I40-#REF!)/365,$G40,$H40,$D40))*$F40</f>
        <v>#NAME?</v>
      </c>
      <c r="AG40" s="54" t="e">
        <f>(BSPrice($B40*1.05,$J40,$K40,$C40,($I40-#REF!)/365,$G40,$H40,$D40)-BSPrice($B40,$J40,$K40,$C40,($I40-#REF!)/365,$G40,$H40,$D40))*$F40</f>
        <v>#NAME?</v>
      </c>
      <c r="AH40" s="54" t="e">
        <f>(BSPrice($B40*1.1,$J40,$K40,$C40,($I40-#REF!)/365,$G40,$H40,$D40)-BSPrice($B40,$J40,$K40,$C40,($I40-#REF!)/365,$G40,$H40,$D40))*$F40</f>
        <v>#NAME?</v>
      </c>
      <c r="AI40" s="54" t="e">
        <f>(BSPrice($B40*1.2,$J40,$K40,$C40,($I40-#REF!)/365,$G40,$H40,$D40)-BSPrice($B40,$J40,$K40,$C40,($I40-#REF!)/365,$G40,$H40,$D40))*$F40</f>
        <v>#NAME?</v>
      </c>
      <c r="AJ40" s="54" t="e">
        <f>(BSPrice($B40,$J40-0.1,$K40,$C40,($I40-#REF!)/365,$G40,$H40,$D40)-BSPrice($B40,$J40,$K40,$C40,($I40-#REF!)/365,$G40,$H40,$D40))*$F40</f>
        <v>#NAME?</v>
      </c>
      <c r="AK40" s="54" t="e">
        <f>(BSPrice($B40,$J40-0.05,$K40,$C40,($I40-#REF!)/365,$G40,$H40,$D40)-BSPrice($B40,$J40,$K40,$C40,($I40-#REF!)/365,$G40,$H40,$D40))*$F40</f>
        <v>#NAME?</v>
      </c>
      <c r="AL40" s="54" t="e">
        <f>(BSPrice($B40,$J40-0.02,$K40,$C40,($I40-#REF!)/365,$G40,$H40,$D40)-BSPrice($B40,$J40,$K40,$C40,($I40-#REF!)/365,$G40,$H40,$D40))*$F40</f>
        <v>#NAME?</v>
      </c>
      <c r="AM40" s="54" t="e">
        <f>(BSPrice($B40,$J40-0.01,$K40,$C40,($I40-#REF!)/365,$G40,$H40,$D40)-BSPrice($B40,$J40,$K40,$C40,($I40-#REF!)/365,$G40,$H40,$D40))*$F40</f>
        <v>#NAME?</v>
      </c>
      <c r="AN40" s="54" t="e">
        <f>(BSPrice($B40,$J40+0.01,$K40,$C40,($I40-#REF!)/365,$G40,$H40,$D40)-BSPrice($B40,$J40,$K40,$C40,($I40-#REF!)/365,$G40,$H40,$D40))*$F40</f>
        <v>#NAME?</v>
      </c>
      <c r="AO40" s="54" t="e">
        <f>(BSPrice($B40,$J40+0.02,$K40,$C40,($I40-#REF!)/365,$G40,$H40,$D40)-BSPrice($B40,$J40,$K40,$C40,($I40-#REF!)/365,$G40,$H40,$D40))*$F40</f>
        <v>#NAME?</v>
      </c>
      <c r="AP40" s="54" t="e">
        <f>(BSPrice($B40,$J40+0.05,$K40,$C40,($I40-#REF!)/365,$G40,$H40,$D40)-BSPrice($B40,$J40,$K40,$C40,($I40-#REF!)/365,$G40,$H40,$D40))*$F40</f>
        <v>#NAME?</v>
      </c>
      <c r="AQ40" s="54" t="e">
        <f>(BSPrice($B40,$J40+0.1,$K40,$C40,($I40-#REF!)/365,$G40,$H40,$D40)-BSPrice($B40,$J40,$K40,$C40,($I40-#REF!)/365,$G40,$H40,$D40))*$F40</f>
        <v>#NAME?</v>
      </c>
    </row>
    <row r="41" spans="1:43">
      <c r="A41" s="67" t="s">
        <v>1</v>
      </c>
      <c r="B41" s="44">
        <f>VLOOKUP(A41,PriceData!$K$4:$L$6,2,FALSE)</f>
        <v>2905</v>
      </c>
      <c r="C41" s="45">
        <f>VLOOKUP(A41,PriceData!$K$4:$M$6,3,FALSE)</f>
        <v>0.022</v>
      </c>
      <c r="D41" s="44" t="s">
        <v>56</v>
      </c>
      <c r="E41" s="44" t="s">
        <v>62</v>
      </c>
      <c r="F41" s="44">
        <v>-25</v>
      </c>
      <c r="G41" s="44">
        <v>3166</v>
      </c>
      <c r="H41" s="44" t="s">
        <v>59</v>
      </c>
      <c r="I41" s="68">
        <v>40256</v>
      </c>
      <c r="J41" s="45">
        <f>FindImpliedVol(A41,D41,G41,I41)</f>
        <v>0.382879148340354</v>
      </c>
      <c r="K41" s="69">
        <f>VLOOKUP(I41,PriceData!$A$5:$D$7,MATCH($E41,PriceData!$A$4:$D$4,0),FALSE)</f>
        <v>0.022</v>
      </c>
      <c r="L41" s="52" t="e">
        <f>BSPrice($B41,$J41,$K41,$C41,($I41-#REF!)/365,$G41,$H41,$D41)</f>
        <v>#NAME?</v>
      </c>
      <c r="M41" s="52" t="e">
        <f t="shared" si="0"/>
        <v>#NAME?</v>
      </c>
      <c r="N41" s="44" t="s">
        <v>55</v>
      </c>
      <c r="P41" s="49" t="e">
        <f>BSDelta(B41,J41,K41,C41,(I41-#REF!)/365,G41,H41,D41)</f>
        <v>#NAME?</v>
      </c>
      <c r="Q41" s="49" t="e">
        <f>BSGamma(B41,J41,K41,C41,(I41-#REF!)/365,G41,D41)</f>
        <v>#NAME?</v>
      </c>
      <c r="R41" s="51" t="e">
        <f>BSVega(B41,J41,K41,C41,(I41-#REF!)/365,G41,D41)</f>
        <v>#NAME?</v>
      </c>
      <c r="S41" s="51" t="e">
        <f>BSVolga(B41,J41,K41,C41,(I41-#REF!)/365,G41,D41)</f>
        <v>#NAME?</v>
      </c>
      <c r="T41" s="51" t="e">
        <f>BSTheta(B41,J41,K41,C41,(I41-#REF!)/365,G41,H41,D41)</f>
        <v>#NAME?</v>
      </c>
      <c r="U41" s="52" t="e">
        <f>BSRho(B41,J41,K41,C41,(I41-#REF!)/365,G41,H41,D41)</f>
        <v>#NAME?</v>
      </c>
      <c r="V41" s="70" t="e">
        <f t="shared" si="1"/>
        <v>#NAME?</v>
      </c>
      <c r="W41" s="70" t="e">
        <f t="shared" si="2"/>
        <v>#NAME?</v>
      </c>
      <c r="X41" s="54" t="e">
        <f t="shared" si="3"/>
        <v>#NAME?</v>
      </c>
      <c r="Y41" s="54" t="e">
        <f t="shared" si="4"/>
        <v>#NAME?</v>
      </c>
      <c r="Z41" s="54" t="e">
        <f t="shared" si="5"/>
        <v>#NAME?</v>
      </c>
      <c r="AA41" s="54" t="e">
        <f t="shared" si="6"/>
        <v>#NAME?</v>
      </c>
      <c r="AB41" s="54" t="e">
        <f>(BSPrice($B41*0.8,$J41,$K41,$C41,($I41-#REF!)/365,$G41,$H41,$D41)-BSPrice($B41,$J41,$K41,$C41,($I41-#REF!)/365,$G41,$H41,$D41))*$F41</f>
        <v>#NAME?</v>
      </c>
      <c r="AC41" s="54" t="e">
        <f>(BSPrice($B41*0.9,$J41,$K41,$C41,($I41-#REF!)/365,$G41,$H41,$D41)-BSPrice($B41,$J41,$K41,$C41,($I41-#REF!)/365,$G41,$H41,$D41))*$F41</f>
        <v>#NAME?</v>
      </c>
      <c r="AD41" s="54" t="e">
        <f>(BSPrice($B41*0.95,$J41,$K41,$C41,($I41-#REF!)/365,$G41,$H41,$D41)-BSPrice($B41,$J41,$K41,$C41,($I41-#REF!)/365,$G41,$H41,$D41))*$F41</f>
        <v>#NAME?</v>
      </c>
      <c r="AE41" s="54" t="e">
        <f>(BSPrice($B41*0.98,$J41,$K41,$C41,($I41-#REF!)/365,$G41,$H41,$D41)-BSPrice($B41,$J41,$K41,$C41,($I41-#REF!)/365,$G41,$H41,$D41))*$F41</f>
        <v>#NAME?</v>
      </c>
      <c r="AF41" s="54" t="e">
        <f>(BSPrice($B41*1.02,$J41,$K41,$C41,($I41-#REF!)/365,$G41,$H41,$D41)-BSPrice($B41,$J41,$K41,$C41,($I41-#REF!)/365,$G41,$H41,$D41))*$F41</f>
        <v>#NAME?</v>
      </c>
      <c r="AG41" s="54" t="e">
        <f>(BSPrice($B41*1.05,$J41,$K41,$C41,($I41-#REF!)/365,$G41,$H41,$D41)-BSPrice($B41,$J41,$K41,$C41,($I41-#REF!)/365,$G41,$H41,$D41))*$F41</f>
        <v>#NAME?</v>
      </c>
      <c r="AH41" s="54" t="e">
        <f>(BSPrice($B41*1.1,$J41,$K41,$C41,($I41-#REF!)/365,$G41,$H41,$D41)-BSPrice($B41,$J41,$K41,$C41,($I41-#REF!)/365,$G41,$H41,$D41))*$F41</f>
        <v>#NAME?</v>
      </c>
      <c r="AI41" s="54" t="e">
        <f>(BSPrice($B41*1.2,$J41,$K41,$C41,($I41-#REF!)/365,$G41,$H41,$D41)-BSPrice($B41,$J41,$K41,$C41,($I41-#REF!)/365,$G41,$H41,$D41))*$F41</f>
        <v>#NAME?</v>
      </c>
      <c r="AJ41" s="54" t="e">
        <f>(BSPrice($B41,$J41-0.1,$K41,$C41,($I41-#REF!)/365,$G41,$H41,$D41)-BSPrice($B41,$J41,$K41,$C41,($I41-#REF!)/365,$G41,$H41,$D41))*$F41</f>
        <v>#NAME?</v>
      </c>
      <c r="AK41" s="54" t="e">
        <f>(BSPrice($B41,$J41-0.05,$K41,$C41,($I41-#REF!)/365,$G41,$H41,$D41)-BSPrice($B41,$J41,$K41,$C41,($I41-#REF!)/365,$G41,$H41,$D41))*$F41</f>
        <v>#NAME?</v>
      </c>
      <c r="AL41" s="54" t="e">
        <f>(BSPrice($B41,$J41-0.02,$K41,$C41,($I41-#REF!)/365,$G41,$H41,$D41)-BSPrice($B41,$J41,$K41,$C41,($I41-#REF!)/365,$G41,$H41,$D41))*$F41</f>
        <v>#NAME?</v>
      </c>
      <c r="AM41" s="54" t="e">
        <f>(BSPrice($B41,$J41-0.01,$K41,$C41,($I41-#REF!)/365,$G41,$H41,$D41)-BSPrice($B41,$J41,$K41,$C41,($I41-#REF!)/365,$G41,$H41,$D41))*$F41</f>
        <v>#NAME?</v>
      </c>
      <c r="AN41" s="54" t="e">
        <f>(BSPrice($B41,$J41+0.01,$K41,$C41,($I41-#REF!)/365,$G41,$H41,$D41)-BSPrice($B41,$J41,$K41,$C41,($I41-#REF!)/365,$G41,$H41,$D41))*$F41</f>
        <v>#NAME?</v>
      </c>
      <c r="AO41" s="54" t="e">
        <f>(BSPrice($B41,$J41+0.02,$K41,$C41,($I41-#REF!)/365,$G41,$H41,$D41)-BSPrice($B41,$J41,$K41,$C41,($I41-#REF!)/365,$G41,$H41,$D41))*$F41</f>
        <v>#NAME?</v>
      </c>
      <c r="AP41" s="54" t="e">
        <f>(BSPrice($B41,$J41+0.05,$K41,$C41,($I41-#REF!)/365,$G41,$H41,$D41)-BSPrice($B41,$J41,$K41,$C41,($I41-#REF!)/365,$G41,$H41,$D41))*$F41</f>
        <v>#NAME?</v>
      </c>
      <c r="AQ41" s="54" t="e">
        <f>(BSPrice($B41,$J41+0.1,$K41,$C41,($I41-#REF!)/365,$G41,$H41,$D41)-BSPrice($B41,$J41,$K41,$C41,($I41-#REF!)/365,$G41,$H41,$D41))*$F41</f>
        <v>#NAME?</v>
      </c>
    </row>
    <row r="42" spans="1:43">
      <c r="A42" s="67" t="s">
        <v>1</v>
      </c>
      <c r="B42" s="44">
        <f>VLOOKUP(A42,PriceData!$K$4:$L$6,2,FALSE)</f>
        <v>2905</v>
      </c>
      <c r="C42" s="45">
        <f>VLOOKUP(A42,PriceData!$K$4:$M$6,3,FALSE)</f>
        <v>0.022</v>
      </c>
      <c r="D42" s="44" t="s">
        <v>56</v>
      </c>
      <c r="E42" s="44" t="s">
        <v>62</v>
      </c>
      <c r="F42" s="44">
        <v>50</v>
      </c>
      <c r="G42" s="44">
        <v>3254</v>
      </c>
      <c r="H42" s="44" t="s">
        <v>59</v>
      </c>
      <c r="I42" s="68">
        <v>40256</v>
      </c>
      <c r="J42" s="45">
        <f>FindImpliedVol(A42,D42,G42,I42)</f>
        <v>0.379493250665508</v>
      </c>
      <c r="K42" s="69">
        <f>VLOOKUP(I42,PriceData!$A$5:$D$7,MATCH($E42,PriceData!$A$4:$D$4,0),FALSE)</f>
        <v>0.022</v>
      </c>
      <c r="L42" s="52" t="e">
        <f>BSPrice($B42,$J42,$K42,$C42,($I42-#REF!)/365,$G42,$H42,$D42)</f>
        <v>#NAME?</v>
      </c>
      <c r="M42" s="52" t="e">
        <f t="shared" si="0"/>
        <v>#NAME?</v>
      </c>
      <c r="N42" s="44" t="s">
        <v>60</v>
      </c>
      <c r="P42" s="49" t="e">
        <f>BSDelta(B42,J42,K42,C42,(I42-#REF!)/365,G42,H42,D42)</f>
        <v>#NAME?</v>
      </c>
      <c r="Q42" s="49" t="e">
        <f>BSGamma(B42,J42,K42,C42,(I42-#REF!)/365,G42,D42)</f>
        <v>#NAME?</v>
      </c>
      <c r="R42" s="51" t="e">
        <f>BSVega(B42,J42,K42,C42,(I42-#REF!)/365,G42,D42)</f>
        <v>#NAME?</v>
      </c>
      <c r="S42" s="51" t="e">
        <f>BSVolga(B42,J42,K42,C42,(I42-#REF!)/365,G42,D42)</f>
        <v>#NAME?</v>
      </c>
      <c r="T42" s="51" t="e">
        <f>BSTheta(B42,J42,K42,C42,(I42-#REF!)/365,G42,H42,D42)</f>
        <v>#NAME?</v>
      </c>
      <c r="U42" s="52" t="e">
        <f>BSRho(B42,J42,K42,C42,(I42-#REF!)/365,G42,H42,D42)</f>
        <v>#NAME?</v>
      </c>
      <c r="V42" s="70" t="e">
        <f t="shared" si="1"/>
        <v>#NAME?</v>
      </c>
      <c r="W42" s="70" t="e">
        <f t="shared" si="2"/>
        <v>#NAME?</v>
      </c>
      <c r="X42" s="54" t="e">
        <f t="shared" si="3"/>
        <v>#NAME?</v>
      </c>
      <c r="Y42" s="54" t="e">
        <f t="shared" si="4"/>
        <v>#NAME?</v>
      </c>
      <c r="Z42" s="54" t="e">
        <f t="shared" si="5"/>
        <v>#NAME?</v>
      </c>
      <c r="AA42" s="54" t="e">
        <f t="shared" si="6"/>
        <v>#NAME?</v>
      </c>
      <c r="AB42" s="54" t="e">
        <f>(BSPrice($B42*0.8,$J42,$K42,$C42,($I42-#REF!)/365,$G42,$H42,$D42)-BSPrice($B42,$J42,$K42,$C42,($I42-#REF!)/365,$G42,$H42,$D42))*$F42</f>
        <v>#NAME?</v>
      </c>
      <c r="AC42" s="54" t="e">
        <f>(BSPrice($B42*0.9,$J42,$K42,$C42,($I42-#REF!)/365,$G42,$H42,$D42)-BSPrice($B42,$J42,$K42,$C42,($I42-#REF!)/365,$G42,$H42,$D42))*$F42</f>
        <v>#NAME?</v>
      </c>
      <c r="AD42" s="54" t="e">
        <f>(BSPrice($B42*0.95,$J42,$K42,$C42,($I42-#REF!)/365,$G42,$H42,$D42)-BSPrice($B42,$J42,$K42,$C42,($I42-#REF!)/365,$G42,$H42,$D42))*$F42</f>
        <v>#NAME?</v>
      </c>
      <c r="AE42" s="54" t="e">
        <f>(BSPrice($B42*0.98,$J42,$K42,$C42,($I42-#REF!)/365,$G42,$H42,$D42)-BSPrice($B42,$J42,$K42,$C42,($I42-#REF!)/365,$G42,$H42,$D42))*$F42</f>
        <v>#NAME?</v>
      </c>
      <c r="AF42" s="54" t="e">
        <f>(BSPrice($B42*1.02,$J42,$K42,$C42,($I42-#REF!)/365,$G42,$H42,$D42)-BSPrice($B42,$J42,$K42,$C42,($I42-#REF!)/365,$G42,$H42,$D42))*$F42</f>
        <v>#NAME?</v>
      </c>
      <c r="AG42" s="54" t="e">
        <f>(BSPrice($B42*1.05,$J42,$K42,$C42,($I42-#REF!)/365,$G42,$H42,$D42)-BSPrice($B42,$J42,$K42,$C42,($I42-#REF!)/365,$G42,$H42,$D42))*$F42</f>
        <v>#NAME?</v>
      </c>
      <c r="AH42" s="54" t="e">
        <f>(BSPrice($B42*1.1,$J42,$K42,$C42,($I42-#REF!)/365,$G42,$H42,$D42)-BSPrice($B42,$J42,$K42,$C42,($I42-#REF!)/365,$G42,$H42,$D42))*$F42</f>
        <v>#NAME?</v>
      </c>
      <c r="AI42" s="54" t="e">
        <f>(BSPrice($B42*1.2,$J42,$K42,$C42,($I42-#REF!)/365,$G42,$H42,$D42)-BSPrice($B42,$J42,$K42,$C42,($I42-#REF!)/365,$G42,$H42,$D42))*$F42</f>
        <v>#NAME?</v>
      </c>
      <c r="AJ42" s="54" t="e">
        <f>(BSPrice($B42,$J42-0.1,$K42,$C42,($I42-#REF!)/365,$G42,$H42,$D42)-BSPrice($B42,$J42,$K42,$C42,($I42-#REF!)/365,$G42,$H42,$D42))*$F42</f>
        <v>#NAME?</v>
      </c>
      <c r="AK42" s="54" t="e">
        <f>(BSPrice($B42,$J42-0.05,$K42,$C42,($I42-#REF!)/365,$G42,$H42,$D42)-BSPrice($B42,$J42,$K42,$C42,($I42-#REF!)/365,$G42,$H42,$D42))*$F42</f>
        <v>#NAME?</v>
      </c>
      <c r="AL42" s="54" t="e">
        <f>(BSPrice($B42,$J42-0.02,$K42,$C42,($I42-#REF!)/365,$G42,$H42,$D42)-BSPrice($B42,$J42,$K42,$C42,($I42-#REF!)/365,$G42,$H42,$D42))*$F42</f>
        <v>#NAME?</v>
      </c>
      <c r="AM42" s="54" t="e">
        <f>(BSPrice($B42,$J42-0.01,$K42,$C42,($I42-#REF!)/365,$G42,$H42,$D42)-BSPrice($B42,$J42,$K42,$C42,($I42-#REF!)/365,$G42,$H42,$D42))*$F42</f>
        <v>#NAME?</v>
      </c>
      <c r="AN42" s="54" t="e">
        <f>(BSPrice($B42,$J42+0.01,$K42,$C42,($I42-#REF!)/365,$G42,$H42,$D42)-BSPrice($B42,$J42,$K42,$C42,($I42-#REF!)/365,$G42,$H42,$D42))*$F42</f>
        <v>#NAME?</v>
      </c>
      <c r="AO42" s="54" t="e">
        <f>(BSPrice($B42,$J42+0.02,$K42,$C42,($I42-#REF!)/365,$G42,$H42,$D42)-BSPrice($B42,$J42,$K42,$C42,($I42-#REF!)/365,$G42,$H42,$D42))*$F42</f>
        <v>#NAME?</v>
      </c>
      <c r="AP42" s="54" t="e">
        <f>(BSPrice($B42,$J42+0.05,$K42,$C42,($I42-#REF!)/365,$G42,$H42,$D42)-BSPrice($B42,$J42,$K42,$C42,($I42-#REF!)/365,$G42,$H42,$D42))*$F42</f>
        <v>#NAME?</v>
      </c>
      <c r="AQ42" s="54" t="e">
        <f>(BSPrice($B42,$J42+0.1,$K42,$C42,($I42-#REF!)/365,$G42,$H42,$D42)-BSPrice($B42,$J42,$K42,$C42,($I42-#REF!)/365,$G42,$H42,$D42))*$F42</f>
        <v>#NAME?</v>
      </c>
    </row>
    <row r="43" spans="1:43">
      <c r="A43" s="67" t="s">
        <v>1</v>
      </c>
      <c r="B43" s="44">
        <f>VLOOKUP(A43,PriceData!$K$4:$L$6,2,FALSE)</f>
        <v>2905</v>
      </c>
      <c r="C43" s="45">
        <f>VLOOKUP(A43,PriceData!$K$4:$M$6,3,FALSE)</f>
        <v>0.022</v>
      </c>
      <c r="D43" s="44" t="s">
        <v>56</v>
      </c>
      <c r="E43" s="44" t="s">
        <v>62</v>
      </c>
      <c r="F43" s="44">
        <v>-20</v>
      </c>
      <c r="G43" s="44">
        <v>3079</v>
      </c>
      <c r="H43" s="44" t="s">
        <v>57</v>
      </c>
      <c r="I43" s="68">
        <v>40256</v>
      </c>
      <c r="J43" s="45">
        <f>FindImpliedVol(A43,D43,G43,I43)</f>
        <v>0.388708147833382</v>
      </c>
      <c r="K43" s="69">
        <f>VLOOKUP(I43,PriceData!$A$5:$D$7,MATCH($E43,PriceData!$A$4:$D$4,0),FALSE)</f>
        <v>0.022</v>
      </c>
      <c r="L43" s="52" t="e">
        <f>BSPrice($B43,$J43,$K43,$C43,($I43-#REF!)/365,$G43,$H43,$D43)</f>
        <v>#NAME?</v>
      </c>
      <c r="M43" s="52" t="e">
        <f t="shared" si="0"/>
        <v>#NAME?</v>
      </c>
      <c r="N43" s="44" t="s">
        <v>55</v>
      </c>
      <c r="P43" s="49" t="e">
        <f>BSDelta(B43,J43,K43,C43,(I43-#REF!)/365,G43,H43,D43)</f>
        <v>#NAME?</v>
      </c>
      <c r="Q43" s="49" t="e">
        <f>BSGamma(B43,J43,K43,C43,(I43-#REF!)/365,G43,D43)</f>
        <v>#NAME?</v>
      </c>
      <c r="R43" s="51" t="e">
        <f>BSVega(B43,J43,K43,C43,(I43-#REF!)/365,G43,D43)</f>
        <v>#NAME?</v>
      </c>
      <c r="S43" s="51" t="e">
        <f>BSVolga(B43,J43,K43,C43,(I43-#REF!)/365,G43,D43)</f>
        <v>#NAME?</v>
      </c>
      <c r="T43" s="51" t="e">
        <f>BSTheta(B43,J43,K43,C43,(I43-#REF!)/365,G43,H43,D43)</f>
        <v>#NAME?</v>
      </c>
      <c r="U43" s="52" t="e">
        <f>BSRho(B43,J43,K43,C43,(I43-#REF!)/365,G43,H43,D43)</f>
        <v>#NAME?</v>
      </c>
      <c r="V43" s="70" t="e">
        <f t="shared" si="1"/>
        <v>#NAME?</v>
      </c>
      <c r="W43" s="70" t="e">
        <f t="shared" si="2"/>
        <v>#NAME?</v>
      </c>
      <c r="X43" s="54" t="e">
        <f t="shared" si="3"/>
        <v>#NAME?</v>
      </c>
      <c r="Y43" s="54" t="e">
        <f t="shared" si="4"/>
        <v>#NAME?</v>
      </c>
      <c r="Z43" s="54" t="e">
        <f t="shared" si="5"/>
        <v>#NAME?</v>
      </c>
      <c r="AA43" s="54" t="e">
        <f t="shared" si="6"/>
        <v>#NAME?</v>
      </c>
      <c r="AB43" s="54" t="e">
        <f>(BSPrice($B43*0.8,$J43,$K43,$C43,($I43-#REF!)/365,$G43,$H43,$D43)-BSPrice($B43,$J43,$K43,$C43,($I43-#REF!)/365,$G43,$H43,$D43))*$F43</f>
        <v>#NAME?</v>
      </c>
      <c r="AC43" s="54" t="e">
        <f>(BSPrice($B43*0.9,$J43,$K43,$C43,($I43-#REF!)/365,$G43,$H43,$D43)-BSPrice($B43,$J43,$K43,$C43,($I43-#REF!)/365,$G43,$H43,$D43))*$F43</f>
        <v>#NAME?</v>
      </c>
      <c r="AD43" s="54" t="e">
        <f>(BSPrice($B43*0.95,$J43,$K43,$C43,($I43-#REF!)/365,$G43,$H43,$D43)-BSPrice($B43,$J43,$K43,$C43,($I43-#REF!)/365,$G43,$H43,$D43))*$F43</f>
        <v>#NAME?</v>
      </c>
      <c r="AE43" s="54" t="e">
        <f>(BSPrice($B43*0.98,$J43,$K43,$C43,($I43-#REF!)/365,$G43,$H43,$D43)-BSPrice($B43,$J43,$K43,$C43,($I43-#REF!)/365,$G43,$H43,$D43))*$F43</f>
        <v>#NAME?</v>
      </c>
      <c r="AF43" s="54" t="e">
        <f>(BSPrice($B43*1.02,$J43,$K43,$C43,($I43-#REF!)/365,$G43,$H43,$D43)-BSPrice($B43,$J43,$K43,$C43,($I43-#REF!)/365,$G43,$H43,$D43))*$F43</f>
        <v>#NAME?</v>
      </c>
      <c r="AG43" s="54" t="e">
        <f>(BSPrice($B43*1.05,$J43,$K43,$C43,($I43-#REF!)/365,$G43,$H43,$D43)-BSPrice($B43,$J43,$K43,$C43,($I43-#REF!)/365,$G43,$H43,$D43))*$F43</f>
        <v>#NAME?</v>
      </c>
      <c r="AH43" s="54" t="e">
        <f>(BSPrice($B43*1.1,$J43,$K43,$C43,($I43-#REF!)/365,$G43,$H43,$D43)-BSPrice($B43,$J43,$K43,$C43,($I43-#REF!)/365,$G43,$H43,$D43))*$F43</f>
        <v>#NAME?</v>
      </c>
      <c r="AI43" s="54" t="e">
        <f>(BSPrice($B43*1.2,$J43,$K43,$C43,($I43-#REF!)/365,$G43,$H43,$D43)-BSPrice($B43,$J43,$K43,$C43,($I43-#REF!)/365,$G43,$H43,$D43))*$F43</f>
        <v>#NAME?</v>
      </c>
      <c r="AJ43" s="54" t="e">
        <f>(BSPrice($B43,$J43-0.1,$K43,$C43,($I43-#REF!)/365,$G43,$H43,$D43)-BSPrice($B43,$J43,$K43,$C43,($I43-#REF!)/365,$G43,$H43,$D43))*$F43</f>
        <v>#NAME?</v>
      </c>
      <c r="AK43" s="54" t="e">
        <f>(BSPrice($B43,$J43-0.05,$K43,$C43,($I43-#REF!)/365,$G43,$H43,$D43)-BSPrice($B43,$J43,$K43,$C43,($I43-#REF!)/365,$G43,$H43,$D43))*$F43</f>
        <v>#NAME?</v>
      </c>
      <c r="AL43" s="54" t="e">
        <f>(BSPrice($B43,$J43-0.02,$K43,$C43,($I43-#REF!)/365,$G43,$H43,$D43)-BSPrice($B43,$J43,$K43,$C43,($I43-#REF!)/365,$G43,$H43,$D43))*$F43</f>
        <v>#NAME?</v>
      </c>
      <c r="AM43" s="54" t="e">
        <f>(BSPrice($B43,$J43-0.01,$K43,$C43,($I43-#REF!)/365,$G43,$H43,$D43)-BSPrice($B43,$J43,$K43,$C43,($I43-#REF!)/365,$G43,$H43,$D43))*$F43</f>
        <v>#NAME?</v>
      </c>
      <c r="AN43" s="54" t="e">
        <f>(BSPrice($B43,$J43+0.01,$K43,$C43,($I43-#REF!)/365,$G43,$H43,$D43)-BSPrice($B43,$J43,$K43,$C43,($I43-#REF!)/365,$G43,$H43,$D43))*$F43</f>
        <v>#NAME?</v>
      </c>
      <c r="AO43" s="54" t="e">
        <f>(BSPrice($B43,$J43+0.02,$K43,$C43,($I43-#REF!)/365,$G43,$H43,$D43)-BSPrice($B43,$J43,$K43,$C43,($I43-#REF!)/365,$G43,$H43,$D43))*$F43</f>
        <v>#NAME?</v>
      </c>
      <c r="AP43" s="54" t="e">
        <f>(BSPrice($B43,$J43+0.05,$K43,$C43,($I43-#REF!)/365,$G43,$H43,$D43)-BSPrice($B43,$J43,$K43,$C43,($I43-#REF!)/365,$G43,$H43,$D43))*$F43</f>
        <v>#NAME?</v>
      </c>
      <c r="AQ43" s="54" t="e">
        <f>(BSPrice($B43,$J43+0.1,$K43,$C43,($I43-#REF!)/365,$G43,$H43,$D43)-BSPrice($B43,$J43,$K43,$C43,($I43-#REF!)/365,$G43,$H43,$D43))*$F43</f>
        <v>#NAME?</v>
      </c>
    </row>
    <row r="44" spans="1:43">
      <c r="A44" s="67" t="s">
        <v>1</v>
      </c>
      <c r="B44" s="44">
        <f>VLOOKUP(A44,PriceData!$K$4:$L$6,2,FALSE)</f>
        <v>2905</v>
      </c>
      <c r="C44" s="45">
        <f>VLOOKUP(A44,PriceData!$K$4:$M$6,3,FALSE)</f>
        <v>0.022</v>
      </c>
      <c r="D44" s="44" t="s">
        <v>56</v>
      </c>
      <c r="E44" s="44" t="s">
        <v>62</v>
      </c>
      <c r="F44" s="44">
        <v>50</v>
      </c>
      <c r="G44" s="44">
        <v>2469</v>
      </c>
      <c r="H44" s="44" t="s">
        <v>57</v>
      </c>
      <c r="I44" s="68">
        <v>40256</v>
      </c>
      <c r="J44" s="45">
        <f>FindImpliedVol(A44,D44,G44,I44)</f>
        <v>0.534273608820262</v>
      </c>
      <c r="K44" s="69">
        <f>VLOOKUP(I44,PriceData!$A$5:$D$7,MATCH($E44,PriceData!$A$4:$D$4,0),FALSE)</f>
        <v>0.022</v>
      </c>
      <c r="L44" s="52" t="e">
        <f>BSPrice($B44,$J44,$K44,$C44,($I44-#REF!)/365,$G44,$H44,$D44)</f>
        <v>#NAME?</v>
      </c>
      <c r="M44" s="52" t="e">
        <f t="shared" si="0"/>
        <v>#NAME?</v>
      </c>
      <c r="N44" s="44" t="s">
        <v>55</v>
      </c>
      <c r="P44" s="49" t="e">
        <f>BSDelta(B44,J44,K44,C44,(I44-#REF!)/365,G44,H44,D44)</f>
        <v>#NAME?</v>
      </c>
      <c r="Q44" s="49" t="e">
        <f>BSGamma(B44,J44,K44,C44,(I44-#REF!)/365,G44,D44)</f>
        <v>#NAME?</v>
      </c>
      <c r="R44" s="51" t="e">
        <f>BSVega(B44,J44,K44,C44,(I44-#REF!)/365,G44,D44)</f>
        <v>#NAME?</v>
      </c>
      <c r="S44" s="51" t="e">
        <f>BSVolga(B44,J44,K44,C44,(I44-#REF!)/365,G44,D44)</f>
        <v>#NAME?</v>
      </c>
      <c r="T44" s="51" t="e">
        <f>BSTheta(B44,J44,K44,C44,(I44-#REF!)/365,G44,H44,D44)</f>
        <v>#NAME?</v>
      </c>
      <c r="U44" s="52" t="e">
        <f>BSRho(B44,J44,K44,C44,(I44-#REF!)/365,G44,H44,D44)</f>
        <v>#NAME?</v>
      </c>
      <c r="V44" s="70" t="e">
        <f t="shared" si="1"/>
        <v>#NAME?</v>
      </c>
      <c r="W44" s="70" t="e">
        <f t="shared" si="2"/>
        <v>#NAME?</v>
      </c>
      <c r="X44" s="54" t="e">
        <f t="shared" si="3"/>
        <v>#NAME?</v>
      </c>
      <c r="Y44" s="54" t="e">
        <f t="shared" si="4"/>
        <v>#NAME?</v>
      </c>
      <c r="Z44" s="54" t="e">
        <f t="shared" si="5"/>
        <v>#NAME?</v>
      </c>
      <c r="AA44" s="54" t="e">
        <f t="shared" si="6"/>
        <v>#NAME?</v>
      </c>
      <c r="AB44" s="54" t="e">
        <f>(BSPrice($B44*0.8,$J44,$K44,$C44,($I44-#REF!)/365,$G44,$H44,$D44)-BSPrice($B44,$J44,$K44,$C44,($I44-#REF!)/365,$G44,$H44,$D44))*$F44</f>
        <v>#NAME?</v>
      </c>
      <c r="AC44" s="54" t="e">
        <f>(BSPrice($B44*0.9,$J44,$K44,$C44,($I44-#REF!)/365,$G44,$H44,$D44)-BSPrice($B44,$J44,$K44,$C44,($I44-#REF!)/365,$G44,$H44,$D44))*$F44</f>
        <v>#NAME?</v>
      </c>
      <c r="AD44" s="54" t="e">
        <f>(BSPrice($B44*0.95,$J44,$K44,$C44,($I44-#REF!)/365,$G44,$H44,$D44)-BSPrice($B44,$J44,$K44,$C44,($I44-#REF!)/365,$G44,$H44,$D44))*$F44</f>
        <v>#NAME?</v>
      </c>
      <c r="AE44" s="54" t="e">
        <f>(BSPrice($B44*0.98,$J44,$K44,$C44,($I44-#REF!)/365,$G44,$H44,$D44)-BSPrice($B44,$J44,$K44,$C44,($I44-#REF!)/365,$G44,$H44,$D44))*$F44</f>
        <v>#NAME?</v>
      </c>
      <c r="AF44" s="54" t="e">
        <f>(BSPrice($B44*1.02,$J44,$K44,$C44,($I44-#REF!)/365,$G44,$H44,$D44)-BSPrice($B44,$J44,$K44,$C44,($I44-#REF!)/365,$G44,$H44,$D44))*$F44</f>
        <v>#NAME?</v>
      </c>
      <c r="AG44" s="54" t="e">
        <f>(BSPrice($B44*1.05,$J44,$K44,$C44,($I44-#REF!)/365,$G44,$H44,$D44)-BSPrice($B44,$J44,$K44,$C44,($I44-#REF!)/365,$G44,$H44,$D44))*$F44</f>
        <v>#NAME?</v>
      </c>
      <c r="AH44" s="54" t="e">
        <f>(BSPrice($B44*1.1,$J44,$K44,$C44,($I44-#REF!)/365,$G44,$H44,$D44)-BSPrice($B44,$J44,$K44,$C44,($I44-#REF!)/365,$G44,$H44,$D44))*$F44</f>
        <v>#NAME?</v>
      </c>
      <c r="AI44" s="54" t="e">
        <f>(BSPrice($B44*1.2,$J44,$K44,$C44,($I44-#REF!)/365,$G44,$H44,$D44)-BSPrice($B44,$J44,$K44,$C44,($I44-#REF!)/365,$G44,$H44,$D44))*$F44</f>
        <v>#NAME?</v>
      </c>
      <c r="AJ44" s="54" t="e">
        <f>(BSPrice($B44,$J44-0.1,$K44,$C44,($I44-#REF!)/365,$G44,$H44,$D44)-BSPrice($B44,$J44,$K44,$C44,($I44-#REF!)/365,$G44,$H44,$D44))*$F44</f>
        <v>#NAME?</v>
      </c>
      <c r="AK44" s="54" t="e">
        <f>(BSPrice($B44,$J44-0.05,$K44,$C44,($I44-#REF!)/365,$G44,$H44,$D44)-BSPrice($B44,$J44,$K44,$C44,($I44-#REF!)/365,$G44,$H44,$D44))*$F44</f>
        <v>#NAME?</v>
      </c>
      <c r="AL44" s="54" t="e">
        <f>(BSPrice($B44,$J44-0.02,$K44,$C44,($I44-#REF!)/365,$G44,$H44,$D44)-BSPrice($B44,$J44,$K44,$C44,($I44-#REF!)/365,$G44,$H44,$D44))*$F44</f>
        <v>#NAME?</v>
      </c>
      <c r="AM44" s="54" t="e">
        <f>(BSPrice($B44,$J44-0.01,$K44,$C44,($I44-#REF!)/365,$G44,$H44,$D44)-BSPrice($B44,$J44,$K44,$C44,($I44-#REF!)/365,$G44,$H44,$D44))*$F44</f>
        <v>#NAME?</v>
      </c>
      <c r="AN44" s="54" t="e">
        <f>(BSPrice($B44,$J44+0.01,$K44,$C44,($I44-#REF!)/365,$G44,$H44,$D44)-BSPrice($B44,$J44,$K44,$C44,($I44-#REF!)/365,$G44,$H44,$D44))*$F44</f>
        <v>#NAME?</v>
      </c>
      <c r="AO44" s="54" t="e">
        <f>(BSPrice($B44,$J44+0.02,$K44,$C44,($I44-#REF!)/365,$G44,$H44,$D44)-BSPrice($B44,$J44,$K44,$C44,($I44-#REF!)/365,$G44,$H44,$D44))*$F44</f>
        <v>#NAME?</v>
      </c>
      <c r="AP44" s="54" t="e">
        <f>(BSPrice($B44,$J44+0.05,$K44,$C44,($I44-#REF!)/365,$G44,$H44,$D44)-BSPrice($B44,$J44,$K44,$C44,($I44-#REF!)/365,$G44,$H44,$D44))*$F44</f>
        <v>#NAME?</v>
      </c>
      <c r="AQ44" s="54" t="e">
        <f>(BSPrice($B44,$J44+0.1,$K44,$C44,($I44-#REF!)/365,$G44,$H44,$D44)-BSPrice($B44,$J44,$K44,$C44,($I44-#REF!)/365,$G44,$H44,$D44))*$F44</f>
        <v>#NAME?</v>
      </c>
    </row>
    <row r="45" spans="1:43">
      <c r="A45" s="67" t="s">
        <v>1</v>
      </c>
      <c r="B45" s="44">
        <f>VLOOKUP(A45,PriceData!$K$4:$L$6,2,FALSE)</f>
        <v>2905</v>
      </c>
      <c r="C45" s="45">
        <f>VLOOKUP(A45,PriceData!$K$4:$M$6,3,FALSE)</f>
        <v>0.022</v>
      </c>
      <c r="D45" s="44" t="s">
        <v>56</v>
      </c>
      <c r="E45" s="44" t="s">
        <v>62</v>
      </c>
      <c r="F45" s="44">
        <v>10</v>
      </c>
      <c r="G45" s="44">
        <v>2469</v>
      </c>
      <c r="H45" s="44" t="s">
        <v>57</v>
      </c>
      <c r="I45" s="68">
        <v>40347</v>
      </c>
      <c r="J45" s="45">
        <f>FindImpliedVol(A45,D45,G45,I45)</f>
        <v>0.484727037700717</v>
      </c>
      <c r="K45" s="69">
        <f>VLOOKUP(I45,PriceData!$A$5:$D$7,MATCH($E45,PriceData!$A$4:$D$4,0),FALSE)</f>
        <v>0.023</v>
      </c>
      <c r="L45" s="52" t="e">
        <f>BSPrice($B45,$J45,$K45,$C45,($I45-#REF!)/365,$G45,$H45,$D45)</f>
        <v>#NAME?</v>
      </c>
      <c r="M45" s="52" t="e">
        <f t="shared" si="0"/>
        <v>#NAME?</v>
      </c>
      <c r="N45" s="44" t="s">
        <v>58</v>
      </c>
      <c r="P45" s="49" t="e">
        <f>BSDelta(B45,J45,K45,C45,(I45-#REF!)/365,G45,H45,D45)</f>
        <v>#NAME?</v>
      </c>
      <c r="Q45" s="49" t="e">
        <f>BSGamma(B45,J45,K45,C45,(I45-#REF!)/365,G45,D45)</f>
        <v>#NAME?</v>
      </c>
      <c r="R45" s="51" t="e">
        <f>BSVega(B45,J45,K45,C45,(I45-#REF!)/365,G45,D45)</f>
        <v>#NAME?</v>
      </c>
      <c r="S45" s="51" t="e">
        <f>BSVolga(B45,J45,K45,C45,(I45-#REF!)/365,G45,D45)</f>
        <v>#NAME?</v>
      </c>
      <c r="T45" s="51" t="e">
        <f>BSTheta(B45,J45,K45,C45,(I45-#REF!)/365,G45,H45,D45)</f>
        <v>#NAME?</v>
      </c>
      <c r="U45" s="52" t="e">
        <f>BSRho(B45,J45,K45,C45,(I45-#REF!)/365,G45,H45,D45)</f>
        <v>#NAME?</v>
      </c>
      <c r="V45" s="70" t="e">
        <f t="shared" si="1"/>
        <v>#NAME?</v>
      </c>
      <c r="W45" s="70" t="e">
        <f t="shared" si="2"/>
        <v>#NAME?</v>
      </c>
      <c r="X45" s="54" t="e">
        <f t="shared" si="3"/>
        <v>#NAME?</v>
      </c>
      <c r="Y45" s="54" t="e">
        <f t="shared" si="4"/>
        <v>#NAME?</v>
      </c>
      <c r="Z45" s="54" t="e">
        <f t="shared" si="5"/>
        <v>#NAME?</v>
      </c>
      <c r="AA45" s="54" t="e">
        <f t="shared" si="6"/>
        <v>#NAME?</v>
      </c>
      <c r="AB45" s="54" t="e">
        <f>(BSPrice($B45*0.8,$J45,$K45,$C45,($I45-#REF!)/365,$G45,$H45,$D45)-BSPrice($B45,$J45,$K45,$C45,($I45-#REF!)/365,$G45,$H45,$D45))*$F45</f>
        <v>#NAME?</v>
      </c>
      <c r="AC45" s="54" t="e">
        <f>(BSPrice($B45*0.9,$J45,$K45,$C45,($I45-#REF!)/365,$G45,$H45,$D45)-BSPrice($B45,$J45,$K45,$C45,($I45-#REF!)/365,$G45,$H45,$D45))*$F45</f>
        <v>#NAME?</v>
      </c>
      <c r="AD45" s="54" t="e">
        <f>(BSPrice($B45*0.95,$J45,$K45,$C45,($I45-#REF!)/365,$G45,$H45,$D45)-BSPrice($B45,$J45,$K45,$C45,($I45-#REF!)/365,$G45,$H45,$D45))*$F45</f>
        <v>#NAME?</v>
      </c>
      <c r="AE45" s="54" t="e">
        <f>(BSPrice($B45*0.98,$J45,$K45,$C45,($I45-#REF!)/365,$G45,$H45,$D45)-BSPrice($B45,$J45,$K45,$C45,($I45-#REF!)/365,$G45,$H45,$D45))*$F45</f>
        <v>#NAME?</v>
      </c>
      <c r="AF45" s="54" t="e">
        <f>(BSPrice($B45*1.02,$J45,$K45,$C45,($I45-#REF!)/365,$G45,$H45,$D45)-BSPrice($B45,$J45,$K45,$C45,($I45-#REF!)/365,$G45,$H45,$D45))*$F45</f>
        <v>#NAME?</v>
      </c>
      <c r="AG45" s="54" t="e">
        <f>(BSPrice($B45*1.05,$J45,$K45,$C45,($I45-#REF!)/365,$G45,$H45,$D45)-BSPrice($B45,$J45,$K45,$C45,($I45-#REF!)/365,$G45,$H45,$D45))*$F45</f>
        <v>#NAME?</v>
      </c>
      <c r="AH45" s="54" t="e">
        <f>(BSPrice($B45*1.1,$J45,$K45,$C45,($I45-#REF!)/365,$G45,$H45,$D45)-BSPrice($B45,$J45,$K45,$C45,($I45-#REF!)/365,$G45,$H45,$D45))*$F45</f>
        <v>#NAME?</v>
      </c>
      <c r="AI45" s="54" t="e">
        <f>(BSPrice($B45*1.2,$J45,$K45,$C45,($I45-#REF!)/365,$G45,$H45,$D45)-BSPrice($B45,$J45,$K45,$C45,($I45-#REF!)/365,$G45,$H45,$D45))*$F45</f>
        <v>#NAME?</v>
      </c>
      <c r="AJ45" s="54" t="e">
        <f>(BSPrice($B45,$J45-0.1,$K45,$C45,($I45-#REF!)/365,$G45,$H45,$D45)-BSPrice($B45,$J45,$K45,$C45,($I45-#REF!)/365,$G45,$H45,$D45))*$F45</f>
        <v>#NAME?</v>
      </c>
      <c r="AK45" s="54" t="e">
        <f>(BSPrice($B45,$J45-0.05,$K45,$C45,($I45-#REF!)/365,$G45,$H45,$D45)-BSPrice($B45,$J45,$K45,$C45,($I45-#REF!)/365,$G45,$H45,$D45))*$F45</f>
        <v>#NAME?</v>
      </c>
      <c r="AL45" s="54" t="e">
        <f>(BSPrice($B45,$J45-0.02,$K45,$C45,($I45-#REF!)/365,$G45,$H45,$D45)-BSPrice($B45,$J45,$K45,$C45,($I45-#REF!)/365,$G45,$H45,$D45))*$F45</f>
        <v>#NAME?</v>
      </c>
      <c r="AM45" s="54" t="e">
        <f>(BSPrice($B45,$J45-0.01,$K45,$C45,($I45-#REF!)/365,$G45,$H45,$D45)-BSPrice($B45,$J45,$K45,$C45,($I45-#REF!)/365,$G45,$H45,$D45))*$F45</f>
        <v>#NAME?</v>
      </c>
      <c r="AN45" s="54" t="e">
        <f>(BSPrice($B45,$J45+0.01,$K45,$C45,($I45-#REF!)/365,$G45,$H45,$D45)-BSPrice($B45,$J45,$K45,$C45,($I45-#REF!)/365,$G45,$H45,$D45))*$F45</f>
        <v>#NAME?</v>
      </c>
      <c r="AO45" s="54" t="e">
        <f>(BSPrice($B45,$J45+0.02,$K45,$C45,($I45-#REF!)/365,$G45,$H45,$D45)-BSPrice($B45,$J45,$K45,$C45,($I45-#REF!)/365,$G45,$H45,$D45))*$F45</f>
        <v>#NAME?</v>
      </c>
      <c r="AP45" s="54" t="e">
        <f>(BSPrice($B45,$J45+0.05,$K45,$C45,($I45-#REF!)/365,$G45,$H45,$D45)-BSPrice($B45,$J45,$K45,$C45,($I45-#REF!)/365,$G45,$H45,$D45))*$F45</f>
        <v>#NAME?</v>
      </c>
      <c r="AQ45" s="54" t="e">
        <f>(BSPrice($B45,$J45+0.1,$K45,$C45,($I45-#REF!)/365,$G45,$H45,$D45)-BSPrice($B45,$J45,$K45,$C45,($I45-#REF!)/365,$G45,$H45,$D45))*$F45</f>
        <v>#NAME?</v>
      </c>
    </row>
    <row r="46" spans="1:43">
      <c r="A46" s="67" t="s">
        <v>1</v>
      </c>
      <c r="B46" s="44">
        <f>VLOOKUP(A46,PriceData!$K$4:$L$6,2,FALSE)</f>
        <v>2905</v>
      </c>
      <c r="C46" s="45">
        <f>VLOOKUP(A46,PriceData!$K$4:$M$6,3,FALSE)</f>
        <v>0.022</v>
      </c>
      <c r="D46" s="44" t="s">
        <v>56</v>
      </c>
      <c r="E46" s="44" t="s">
        <v>62</v>
      </c>
      <c r="F46" s="44">
        <v>-20</v>
      </c>
      <c r="G46" s="44">
        <v>3254</v>
      </c>
      <c r="H46" s="44" t="s">
        <v>59</v>
      </c>
      <c r="I46" s="68">
        <v>40347</v>
      </c>
      <c r="J46" s="45">
        <f>FindImpliedVol(A46,D46,G46,I46)</f>
        <v>0.329532781221851</v>
      </c>
      <c r="K46" s="69">
        <f>VLOOKUP(I46,PriceData!$A$5:$D$7,MATCH($E46,PriceData!$A$4:$D$4,0),FALSE)</f>
        <v>0.023</v>
      </c>
      <c r="L46" s="52" t="e">
        <f>BSPrice($B46,$J46,$K46,$C46,($I46-#REF!)/365,$G46,$H46,$D46)</f>
        <v>#NAME?</v>
      </c>
      <c r="M46" s="52" t="e">
        <f t="shared" si="0"/>
        <v>#NAME?</v>
      </c>
      <c r="N46" s="44" t="s">
        <v>55</v>
      </c>
      <c r="P46" s="49" t="e">
        <f>BSDelta(B46,J46,K46,C46,(I46-#REF!)/365,G46,H46,D46)</f>
        <v>#NAME?</v>
      </c>
      <c r="Q46" s="49" t="e">
        <f>BSGamma(B46,J46,K46,C46,(I46-#REF!)/365,G46,D46)</f>
        <v>#NAME?</v>
      </c>
      <c r="R46" s="51" t="e">
        <f>BSVega(B46,J46,K46,C46,(I46-#REF!)/365,G46,D46)</f>
        <v>#NAME?</v>
      </c>
      <c r="S46" s="51" t="e">
        <f>BSVolga(B46,J46,K46,C46,(I46-#REF!)/365,G46,D46)</f>
        <v>#NAME?</v>
      </c>
      <c r="T46" s="51" t="e">
        <f>BSTheta(B46,J46,K46,C46,(I46-#REF!)/365,G46,H46,D46)</f>
        <v>#NAME?</v>
      </c>
      <c r="U46" s="52" t="e">
        <f>BSRho(B46,J46,K46,C46,(I46-#REF!)/365,G46,H46,D46)</f>
        <v>#NAME?</v>
      </c>
      <c r="V46" s="70" t="e">
        <f t="shared" si="1"/>
        <v>#NAME?</v>
      </c>
      <c r="W46" s="70" t="e">
        <f t="shared" si="2"/>
        <v>#NAME?</v>
      </c>
      <c r="X46" s="54" t="e">
        <f t="shared" si="3"/>
        <v>#NAME?</v>
      </c>
      <c r="Y46" s="54" t="e">
        <f t="shared" si="4"/>
        <v>#NAME?</v>
      </c>
      <c r="Z46" s="54" t="e">
        <f t="shared" si="5"/>
        <v>#NAME?</v>
      </c>
      <c r="AA46" s="54" t="e">
        <f t="shared" si="6"/>
        <v>#NAME?</v>
      </c>
      <c r="AB46" s="54" t="e">
        <f>(BSPrice($B46*0.8,$J46,$K46,$C46,($I46-#REF!)/365,$G46,$H46,$D46)-BSPrice($B46,$J46,$K46,$C46,($I46-#REF!)/365,$G46,$H46,$D46))*$F46</f>
        <v>#NAME?</v>
      </c>
      <c r="AC46" s="54" t="e">
        <f>(BSPrice($B46*0.9,$J46,$K46,$C46,($I46-#REF!)/365,$G46,$H46,$D46)-BSPrice($B46,$J46,$K46,$C46,($I46-#REF!)/365,$G46,$H46,$D46))*$F46</f>
        <v>#NAME?</v>
      </c>
      <c r="AD46" s="54" t="e">
        <f>(BSPrice($B46*0.95,$J46,$K46,$C46,($I46-#REF!)/365,$G46,$H46,$D46)-BSPrice($B46,$J46,$K46,$C46,($I46-#REF!)/365,$G46,$H46,$D46))*$F46</f>
        <v>#NAME?</v>
      </c>
      <c r="AE46" s="54" t="e">
        <f>(BSPrice($B46*0.98,$J46,$K46,$C46,($I46-#REF!)/365,$G46,$H46,$D46)-BSPrice($B46,$J46,$K46,$C46,($I46-#REF!)/365,$G46,$H46,$D46))*$F46</f>
        <v>#NAME?</v>
      </c>
      <c r="AF46" s="54" t="e">
        <f>(BSPrice($B46*1.02,$J46,$K46,$C46,($I46-#REF!)/365,$G46,$H46,$D46)-BSPrice($B46,$J46,$K46,$C46,($I46-#REF!)/365,$G46,$H46,$D46))*$F46</f>
        <v>#NAME?</v>
      </c>
      <c r="AG46" s="54" t="e">
        <f>(BSPrice($B46*1.05,$J46,$K46,$C46,($I46-#REF!)/365,$G46,$H46,$D46)-BSPrice($B46,$J46,$K46,$C46,($I46-#REF!)/365,$G46,$H46,$D46))*$F46</f>
        <v>#NAME?</v>
      </c>
      <c r="AH46" s="54" t="e">
        <f>(BSPrice($B46*1.1,$J46,$K46,$C46,($I46-#REF!)/365,$G46,$H46,$D46)-BSPrice($B46,$J46,$K46,$C46,($I46-#REF!)/365,$G46,$H46,$D46))*$F46</f>
        <v>#NAME?</v>
      </c>
      <c r="AI46" s="54" t="e">
        <f>(BSPrice($B46*1.2,$J46,$K46,$C46,($I46-#REF!)/365,$G46,$H46,$D46)-BSPrice($B46,$J46,$K46,$C46,($I46-#REF!)/365,$G46,$H46,$D46))*$F46</f>
        <v>#NAME?</v>
      </c>
      <c r="AJ46" s="54" t="e">
        <f>(BSPrice($B46,$J46-0.1,$K46,$C46,($I46-#REF!)/365,$G46,$H46,$D46)-BSPrice($B46,$J46,$K46,$C46,($I46-#REF!)/365,$G46,$H46,$D46))*$F46</f>
        <v>#NAME?</v>
      </c>
      <c r="AK46" s="54" t="e">
        <f>(BSPrice($B46,$J46-0.05,$K46,$C46,($I46-#REF!)/365,$G46,$H46,$D46)-BSPrice($B46,$J46,$K46,$C46,($I46-#REF!)/365,$G46,$H46,$D46))*$F46</f>
        <v>#NAME?</v>
      </c>
      <c r="AL46" s="54" t="e">
        <f>(BSPrice($B46,$J46-0.02,$K46,$C46,($I46-#REF!)/365,$G46,$H46,$D46)-BSPrice($B46,$J46,$K46,$C46,($I46-#REF!)/365,$G46,$H46,$D46))*$F46</f>
        <v>#NAME?</v>
      </c>
      <c r="AM46" s="54" t="e">
        <f>(BSPrice($B46,$J46-0.01,$K46,$C46,($I46-#REF!)/365,$G46,$H46,$D46)-BSPrice($B46,$J46,$K46,$C46,($I46-#REF!)/365,$G46,$H46,$D46))*$F46</f>
        <v>#NAME?</v>
      </c>
      <c r="AN46" s="54" t="e">
        <f>(BSPrice($B46,$J46+0.01,$K46,$C46,($I46-#REF!)/365,$G46,$H46,$D46)-BSPrice($B46,$J46,$K46,$C46,($I46-#REF!)/365,$G46,$H46,$D46))*$F46</f>
        <v>#NAME?</v>
      </c>
      <c r="AO46" s="54" t="e">
        <f>(BSPrice($B46,$J46+0.02,$K46,$C46,($I46-#REF!)/365,$G46,$H46,$D46)-BSPrice($B46,$J46,$K46,$C46,($I46-#REF!)/365,$G46,$H46,$D46))*$F46</f>
        <v>#NAME?</v>
      </c>
      <c r="AP46" s="54" t="e">
        <f>(BSPrice($B46,$J46+0.05,$K46,$C46,($I46-#REF!)/365,$G46,$H46,$D46)-BSPrice($B46,$J46,$K46,$C46,($I46-#REF!)/365,$G46,$H46,$D46))*$F46</f>
        <v>#NAME?</v>
      </c>
      <c r="AQ46" s="54" t="e">
        <f>(BSPrice($B46,$J46+0.1,$K46,$C46,($I46-#REF!)/365,$G46,$H46,$D46)-BSPrice($B46,$J46,$K46,$C46,($I46-#REF!)/365,$G46,$H46,$D46))*$F46</f>
        <v>#NAME?</v>
      </c>
    </row>
    <row r="47" spans="1:43">
      <c r="A47" s="67" t="s">
        <v>1</v>
      </c>
      <c r="B47" s="44">
        <f>VLOOKUP(A47,PriceData!$K$4:$L$6,2,FALSE)</f>
        <v>2905</v>
      </c>
      <c r="C47" s="45">
        <f>VLOOKUP(A47,PriceData!$K$4:$M$6,3,FALSE)</f>
        <v>0.022</v>
      </c>
      <c r="D47" s="44" t="s">
        <v>56</v>
      </c>
      <c r="E47" s="44" t="s">
        <v>62</v>
      </c>
      <c r="F47" s="44">
        <v>-40</v>
      </c>
      <c r="G47" s="44">
        <v>2818</v>
      </c>
      <c r="H47" s="44" t="s">
        <v>57</v>
      </c>
      <c r="I47" s="68">
        <v>40347</v>
      </c>
      <c r="J47" s="45">
        <f>FindImpliedVol(A47,D47,G47,I47)</f>
        <v>0.37671003833151</v>
      </c>
      <c r="K47" s="69">
        <f>VLOOKUP(I47,PriceData!$A$5:$D$7,MATCH($E47,PriceData!$A$4:$D$4,0),FALSE)</f>
        <v>0.023</v>
      </c>
      <c r="L47" s="52" t="e">
        <f>BSPrice($B47,$J47,$K47,$C47,($I47-#REF!)/365,$G47,$H47,$D47)</f>
        <v>#NAME?</v>
      </c>
      <c r="M47" s="52" t="e">
        <f t="shared" si="0"/>
        <v>#NAME?</v>
      </c>
      <c r="N47" s="44" t="s">
        <v>55</v>
      </c>
      <c r="P47" s="49" t="e">
        <f>BSDelta(B47,J47,K47,C47,(I47-#REF!)/365,G47,H47,D47)</f>
        <v>#NAME?</v>
      </c>
      <c r="Q47" s="49" t="e">
        <f>BSGamma(B47,J47,K47,C47,(I47-#REF!)/365,G47,D47)</f>
        <v>#NAME?</v>
      </c>
      <c r="R47" s="51" t="e">
        <f>BSVega(B47,J47,K47,C47,(I47-#REF!)/365,G47,D47)</f>
        <v>#NAME?</v>
      </c>
      <c r="S47" s="51" t="e">
        <f>BSVolga(B47,J47,K47,C47,(I47-#REF!)/365,G47,D47)</f>
        <v>#NAME?</v>
      </c>
      <c r="T47" s="51" t="e">
        <f>BSTheta(B47,J47,K47,C47,(I47-#REF!)/365,G47,H47,D47)</f>
        <v>#NAME?</v>
      </c>
      <c r="U47" s="52" t="e">
        <f>BSRho(B47,J47,K47,C47,(I47-#REF!)/365,G47,H47,D47)</f>
        <v>#NAME?</v>
      </c>
      <c r="V47" s="70" t="e">
        <f t="shared" si="1"/>
        <v>#NAME?</v>
      </c>
      <c r="W47" s="70" t="e">
        <f t="shared" si="2"/>
        <v>#NAME?</v>
      </c>
      <c r="X47" s="54" t="e">
        <f t="shared" si="3"/>
        <v>#NAME?</v>
      </c>
      <c r="Y47" s="54" t="e">
        <f t="shared" si="4"/>
        <v>#NAME?</v>
      </c>
      <c r="Z47" s="54" t="e">
        <f t="shared" si="5"/>
        <v>#NAME?</v>
      </c>
      <c r="AA47" s="54" t="e">
        <f t="shared" si="6"/>
        <v>#NAME?</v>
      </c>
      <c r="AB47" s="54" t="e">
        <f>(BSPrice($B47*0.8,$J47,$K47,$C47,($I47-#REF!)/365,$G47,$H47,$D47)-BSPrice($B47,$J47,$K47,$C47,($I47-#REF!)/365,$G47,$H47,$D47))*$F47</f>
        <v>#NAME?</v>
      </c>
      <c r="AC47" s="54" t="e">
        <f>(BSPrice($B47*0.9,$J47,$K47,$C47,($I47-#REF!)/365,$G47,$H47,$D47)-BSPrice($B47,$J47,$K47,$C47,($I47-#REF!)/365,$G47,$H47,$D47))*$F47</f>
        <v>#NAME?</v>
      </c>
      <c r="AD47" s="54" t="e">
        <f>(BSPrice($B47*0.95,$J47,$K47,$C47,($I47-#REF!)/365,$G47,$H47,$D47)-BSPrice($B47,$J47,$K47,$C47,($I47-#REF!)/365,$G47,$H47,$D47))*$F47</f>
        <v>#NAME?</v>
      </c>
      <c r="AE47" s="54" t="e">
        <f>(BSPrice($B47*0.98,$J47,$K47,$C47,($I47-#REF!)/365,$G47,$H47,$D47)-BSPrice($B47,$J47,$K47,$C47,($I47-#REF!)/365,$G47,$H47,$D47))*$F47</f>
        <v>#NAME?</v>
      </c>
      <c r="AF47" s="54" t="e">
        <f>(BSPrice($B47*1.02,$J47,$K47,$C47,($I47-#REF!)/365,$G47,$H47,$D47)-BSPrice($B47,$J47,$K47,$C47,($I47-#REF!)/365,$G47,$H47,$D47))*$F47</f>
        <v>#NAME?</v>
      </c>
      <c r="AG47" s="54" t="e">
        <f>(BSPrice($B47*1.05,$J47,$K47,$C47,($I47-#REF!)/365,$G47,$H47,$D47)-BSPrice($B47,$J47,$K47,$C47,($I47-#REF!)/365,$G47,$H47,$D47))*$F47</f>
        <v>#NAME?</v>
      </c>
      <c r="AH47" s="54" t="e">
        <f>(BSPrice($B47*1.1,$J47,$K47,$C47,($I47-#REF!)/365,$G47,$H47,$D47)-BSPrice($B47,$J47,$K47,$C47,($I47-#REF!)/365,$G47,$H47,$D47))*$F47</f>
        <v>#NAME?</v>
      </c>
      <c r="AI47" s="54" t="e">
        <f>(BSPrice($B47*1.2,$J47,$K47,$C47,($I47-#REF!)/365,$G47,$H47,$D47)-BSPrice($B47,$J47,$K47,$C47,($I47-#REF!)/365,$G47,$H47,$D47))*$F47</f>
        <v>#NAME?</v>
      </c>
      <c r="AJ47" s="54" t="e">
        <f>(BSPrice($B47,$J47-0.1,$K47,$C47,($I47-#REF!)/365,$G47,$H47,$D47)-BSPrice($B47,$J47,$K47,$C47,($I47-#REF!)/365,$G47,$H47,$D47))*$F47</f>
        <v>#NAME?</v>
      </c>
      <c r="AK47" s="54" t="e">
        <f>(BSPrice($B47,$J47-0.05,$K47,$C47,($I47-#REF!)/365,$G47,$H47,$D47)-BSPrice($B47,$J47,$K47,$C47,($I47-#REF!)/365,$G47,$H47,$D47))*$F47</f>
        <v>#NAME?</v>
      </c>
      <c r="AL47" s="54" t="e">
        <f>(BSPrice($B47,$J47-0.02,$K47,$C47,($I47-#REF!)/365,$G47,$H47,$D47)-BSPrice($B47,$J47,$K47,$C47,($I47-#REF!)/365,$G47,$H47,$D47))*$F47</f>
        <v>#NAME?</v>
      </c>
      <c r="AM47" s="54" t="e">
        <f>(BSPrice($B47,$J47-0.01,$K47,$C47,($I47-#REF!)/365,$G47,$H47,$D47)-BSPrice($B47,$J47,$K47,$C47,($I47-#REF!)/365,$G47,$H47,$D47))*$F47</f>
        <v>#NAME?</v>
      </c>
      <c r="AN47" s="54" t="e">
        <f>(BSPrice($B47,$J47+0.01,$K47,$C47,($I47-#REF!)/365,$G47,$H47,$D47)-BSPrice($B47,$J47,$K47,$C47,($I47-#REF!)/365,$G47,$H47,$D47))*$F47</f>
        <v>#NAME?</v>
      </c>
      <c r="AO47" s="54" t="e">
        <f>(BSPrice($B47,$J47+0.02,$K47,$C47,($I47-#REF!)/365,$G47,$H47,$D47)-BSPrice($B47,$J47,$K47,$C47,($I47-#REF!)/365,$G47,$H47,$D47))*$F47</f>
        <v>#NAME?</v>
      </c>
      <c r="AP47" s="54" t="e">
        <f>(BSPrice($B47,$J47+0.05,$K47,$C47,($I47-#REF!)/365,$G47,$H47,$D47)-BSPrice($B47,$J47,$K47,$C47,($I47-#REF!)/365,$G47,$H47,$D47))*$F47</f>
        <v>#NAME?</v>
      </c>
      <c r="AQ47" s="54" t="e">
        <f>(BSPrice($B47,$J47+0.1,$K47,$C47,($I47-#REF!)/365,$G47,$H47,$D47)-BSPrice($B47,$J47,$K47,$C47,($I47-#REF!)/365,$G47,$H47,$D47))*$F47</f>
        <v>#NAME?</v>
      </c>
    </row>
    <row r="48" spans="1:43">
      <c r="A48" s="67" t="s">
        <v>1</v>
      </c>
      <c r="B48" s="44">
        <f>VLOOKUP(A48,PriceData!$K$4:$L$6,2,FALSE)</f>
        <v>2905</v>
      </c>
      <c r="C48" s="45">
        <f>VLOOKUP(A48,PriceData!$K$4:$M$6,3,FALSE)</f>
        <v>0.022</v>
      </c>
      <c r="D48" s="44" t="s">
        <v>56</v>
      </c>
      <c r="E48" s="44" t="s">
        <v>62</v>
      </c>
      <c r="F48" s="44">
        <v>-50</v>
      </c>
      <c r="G48" s="44">
        <v>3079</v>
      </c>
      <c r="H48" s="44" t="s">
        <v>59</v>
      </c>
      <c r="I48" s="68">
        <v>40347</v>
      </c>
      <c r="J48" s="45">
        <f>FindImpliedVol(A48,D48,G48,I48)</f>
        <v>0.338826617040905</v>
      </c>
      <c r="K48" s="69">
        <f>VLOOKUP(I48,PriceData!$A$5:$D$7,MATCH($E48,PriceData!$A$4:$D$4,0),FALSE)</f>
        <v>0.023</v>
      </c>
      <c r="L48" s="52" t="e">
        <f>BSPrice($B48,$J48,$K48,$C48,($I48-#REF!)/365,$G48,$H48,$D48)</f>
        <v>#NAME?</v>
      </c>
      <c r="M48" s="52" t="e">
        <f t="shared" si="0"/>
        <v>#NAME?</v>
      </c>
      <c r="N48" s="44" t="s">
        <v>55</v>
      </c>
      <c r="P48" s="49" t="e">
        <f>BSDelta(B48,J48,K48,C48,(I48-#REF!)/365,G48,H48,D48)</f>
        <v>#NAME?</v>
      </c>
      <c r="Q48" s="49" t="e">
        <f>BSGamma(B48,J48,K48,C48,(I48-#REF!)/365,G48,D48)</f>
        <v>#NAME?</v>
      </c>
      <c r="R48" s="51" t="e">
        <f>BSVega(B48,J48,K48,C48,(I48-#REF!)/365,G48,D48)</f>
        <v>#NAME?</v>
      </c>
      <c r="S48" s="51" t="e">
        <f>BSVolga(B48,J48,K48,C48,(I48-#REF!)/365,G48,D48)</f>
        <v>#NAME?</v>
      </c>
      <c r="T48" s="51" t="e">
        <f>BSTheta(B48,J48,K48,C48,(I48-#REF!)/365,G48,H48,D48)</f>
        <v>#NAME?</v>
      </c>
      <c r="U48" s="52" t="e">
        <f>BSRho(B48,J48,K48,C48,(I48-#REF!)/365,G48,H48,D48)</f>
        <v>#NAME?</v>
      </c>
      <c r="V48" s="70" t="e">
        <f t="shared" si="1"/>
        <v>#NAME?</v>
      </c>
      <c r="W48" s="70" t="e">
        <f t="shared" si="2"/>
        <v>#NAME?</v>
      </c>
      <c r="X48" s="54" t="e">
        <f t="shared" si="3"/>
        <v>#NAME?</v>
      </c>
      <c r="Y48" s="54" t="e">
        <f t="shared" si="4"/>
        <v>#NAME?</v>
      </c>
      <c r="Z48" s="54" t="e">
        <f t="shared" si="5"/>
        <v>#NAME?</v>
      </c>
      <c r="AA48" s="54" t="e">
        <f t="shared" si="6"/>
        <v>#NAME?</v>
      </c>
      <c r="AB48" s="54" t="e">
        <f>(BSPrice($B48*0.8,$J48,$K48,$C48,($I48-#REF!)/365,$G48,$H48,$D48)-BSPrice($B48,$J48,$K48,$C48,($I48-#REF!)/365,$G48,$H48,$D48))*$F48</f>
        <v>#NAME?</v>
      </c>
      <c r="AC48" s="54" t="e">
        <f>(BSPrice($B48*0.9,$J48,$K48,$C48,($I48-#REF!)/365,$G48,$H48,$D48)-BSPrice($B48,$J48,$K48,$C48,($I48-#REF!)/365,$G48,$H48,$D48))*$F48</f>
        <v>#NAME?</v>
      </c>
      <c r="AD48" s="54" t="e">
        <f>(BSPrice($B48*0.95,$J48,$K48,$C48,($I48-#REF!)/365,$G48,$H48,$D48)-BSPrice($B48,$J48,$K48,$C48,($I48-#REF!)/365,$G48,$H48,$D48))*$F48</f>
        <v>#NAME?</v>
      </c>
      <c r="AE48" s="54" t="e">
        <f>(BSPrice($B48*0.98,$J48,$K48,$C48,($I48-#REF!)/365,$G48,$H48,$D48)-BSPrice($B48,$J48,$K48,$C48,($I48-#REF!)/365,$G48,$H48,$D48))*$F48</f>
        <v>#NAME?</v>
      </c>
      <c r="AF48" s="54" t="e">
        <f>(BSPrice($B48*1.02,$J48,$K48,$C48,($I48-#REF!)/365,$G48,$H48,$D48)-BSPrice($B48,$J48,$K48,$C48,($I48-#REF!)/365,$G48,$H48,$D48))*$F48</f>
        <v>#NAME?</v>
      </c>
      <c r="AG48" s="54" t="e">
        <f>(BSPrice($B48*1.05,$J48,$K48,$C48,($I48-#REF!)/365,$G48,$H48,$D48)-BSPrice($B48,$J48,$K48,$C48,($I48-#REF!)/365,$G48,$H48,$D48))*$F48</f>
        <v>#NAME?</v>
      </c>
      <c r="AH48" s="54" t="e">
        <f>(BSPrice($B48*1.1,$J48,$K48,$C48,($I48-#REF!)/365,$G48,$H48,$D48)-BSPrice($B48,$J48,$K48,$C48,($I48-#REF!)/365,$G48,$H48,$D48))*$F48</f>
        <v>#NAME?</v>
      </c>
      <c r="AI48" s="54" t="e">
        <f>(BSPrice($B48*1.2,$J48,$K48,$C48,($I48-#REF!)/365,$G48,$H48,$D48)-BSPrice($B48,$J48,$K48,$C48,($I48-#REF!)/365,$G48,$H48,$D48))*$F48</f>
        <v>#NAME?</v>
      </c>
      <c r="AJ48" s="54" t="e">
        <f>(BSPrice($B48,$J48-0.1,$K48,$C48,($I48-#REF!)/365,$G48,$H48,$D48)-BSPrice($B48,$J48,$K48,$C48,($I48-#REF!)/365,$G48,$H48,$D48))*$F48</f>
        <v>#NAME?</v>
      </c>
      <c r="AK48" s="54" t="e">
        <f>(BSPrice($B48,$J48-0.05,$K48,$C48,($I48-#REF!)/365,$G48,$H48,$D48)-BSPrice($B48,$J48,$K48,$C48,($I48-#REF!)/365,$G48,$H48,$D48))*$F48</f>
        <v>#NAME?</v>
      </c>
      <c r="AL48" s="54" t="e">
        <f>(BSPrice($B48,$J48-0.02,$K48,$C48,($I48-#REF!)/365,$G48,$H48,$D48)-BSPrice($B48,$J48,$K48,$C48,($I48-#REF!)/365,$G48,$H48,$D48))*$F48</f>
        <v>#NAME?</v>
      </c>
      <c r="AM48" s="54" t="e">
        <f>(BSPrice($B48,$J48-0.01,$K48,$C48,($I48-#REF!)/365,$G48,$H48,$D48)-BSPrice($B48,$J48,$K48,$C48,($I48-#REF!)/365,$G48,$H48,$D48))*$F48</f>
        <v>#NAME?</v>
      </c>
      <c r="AN48" s="54" t="e">
        <f>(BSPrice($B48,$J48+0.01,$K48,$C48,($I48-#REF!)/365,$G48,$H48,$D48)-BSPrice($B48,$J48,$K48,$C48,($I48-#REF!)/365,$G48,$H48,$D48))*$F48</f>
        <v>#NAME?</v>
      </c>
      <c r="AO48" s="54" t="e">
        <f>(BSPrice($B48,$J48+0.02,$K48,$C48,($I48-#REF!)/365,$G48,$H48,$D48)-BSPrice($B48,$J48,$K48,$C48,($I48-#REF!)/365,$G48,$H48,$D48))*$F48</f>
        <v>#NAME?</v>
      </c>
      <c r="AP48" s="54" t="e">
        <f>(BSPrice($B48,$J48+0.05,$K48,$C48,($I48-#REF!)/365,$G48,$H48,$D48)-BSPrice($B48,$J48,$K48,$C48,($I48-#REF!)/365,$G48,$H48,$D48))*$F48</f>
        <v>#NAME?</v>
      </c>
      <c r="AQ48" s="54" t="e">
        <f>(BSPrice($B48,$J48+0.1,$K48,$C48,($I48-#REF!)/365,$G48,$H48,$D48)-BSPrice($B48,$J48,$K48,$C48,($I48-#REF!)/365,$G48,$H48,$D48))*$F48</f>
        <v>#NAME?</v>
      </c>
    </row>
    <row r="49" spans="1:43">
      <c r="A49" s="67" t="s">
        <v>1</v>
      </c>
      <c r="B49" s="44">
        <f>VLOOKUP(A49,PriceData!$K$4:$L$6,2,FALSE)</f>
        <v>2905</v>
      </c>
      <c r="C49" s="45">
        <f>VLOOKUP(A49,PriceData!$K$4:$M$6,3,FALSE)</f>
        <v>0.022</v>
      </c>
      <c r="D49" s="44" t="s">
        <v>56</v>
      </c>
      <c r="E49" s="44" t="s">
        <v>62</v>
      </c>
      <c r="F49" s="44">
        <v>-25</v>
      </c>
      <c r="G49" s="44">
        <v>2905</v>
      </c>
      <c r="H49" s="44" t="s">
        <v>57</v>
      </c>
      <c r="I49" s="68">
        <v>40347</v>
      </c>
      <c r="J49" s="45">
        <f>FindImpliedVol(A49,D49,G49,I49)</f>
        <v>0.360221355210548</v>
      </c>
      <c r="K49" s="69">
        <f>VLOOKUP(I49,PriceData!$A$5:$D$7,MATCH($E49,PriceData!$A$4:$D$4,0),FALSE)</f>
        <v>0.023</v>
      </c>
      <c r="L49" s="52" t="e">
        <f>BSPrice($B49,$J49,$K49,$C49,($I49-#REF!)/365,$G49,$H49,$D49)</f>
        <v>#NAME?</v>
      </c>
      <c r="M49" s="52" t="e">
        <f t="shared" si="0"/>
        <v>#NAME?</v>
      </c>
      <c r="N49" s="44" t="s">
        <v>55</v>
      </c>
      <c r="P49" s="49" t="e">
        <f>BSDelta(B49,J49,K49,C49,(I49-#REF!)/365,G49,H49,D49)</f>
        <v>#NAME?</v>
      </c>
      <c r="Q49" s="49" t="e">
        <f>BSGamma(B49,J49,K49,C49,(I49-#REF!)/365,G49,D49)</f>
        <v>#NAME?</v>
      </c>
      <c r="R49" s="51" t="e">
        <f>BSVega(B49,J49,K49,C49,(I49-#REF!)/365,G49,D49)</f>
        <v>#NAME?</v>
      </c>
      <c r="S49" s="51" t="e">
        <f>BSVolga(B49,J49,K49,C49,(I49-#REF!)/365,G49,D49)</f>
        <v>#NAME?</v>
      </c>
      <c r="T49" s="51" t="e">
        <f>BSTheta(B49,J49,K49,C49,(I49-#REF!)/365,G49,H49,D49)</f>
        <v>#NAME?</v>
      </c>
      <c r="U49" s="52" t="e">
        <f>BSRho(B49,J49,K49,C49,(I49-#REF!)/365,G49,H49,D49)</f>
        <v>#NAME?</v>
      </c>
      <c r="V49" s="70" t="e">
        <f t="shared" si="1"/>
        <v>#NAME?</v>
      </c>
      <c r="W49" s="70" t="e">
        <f t="shared" si="2"/>
        <v>#NAME?</v>
      </c>
      <c r="X49" s="54" t="e">
        <f t="shared" si="3"/>
        <v>#NAME?</v>
      </c>
      <c r="Y49" s="54" t="e">
        <f t="shared" si="4"/>
        <v>#NAME?</v>
      </c>
      <c r="Z49" s="54" t="e">
        <f t="shared" si="5"/>
        <v>#NAME?</v>
      </c>
      <c r="AA49" s="54" t="e">
        <f t="shared" si="6"/>
        <v>#NAME?</v>
      </c>
      <c r="AB49" s="54" t="e">
        <f>(BSPrice($B49*0.8,$J49,$K49,$C49,($I49-#REF!)/365,$G49,$H49,$D49)-BSPrice($B49,$J49,$K49,$C49,($I49-#REF!)/365,$G49,$H49,$D49))*$F49</f>
        <v>#NAME?</v>
      </c>
      <c r="AC49" s="54" t="e">
        <f>(BSPrice($B49*0.9,$J49,$K49,$C49,($I49-#REF!)/365,$G49,$H49,$D49)-BSPrice($B49,$J49,$K49,$C49,($I49-#REF!)/365,$G49,$H49,$D49))*$F49</f>
        <v>#NAME?</v>
      </c>
      <c r="AD49" s="54" t="e">
        <f>(BSPrice($B49*0.95,$J49,$K49,$C49,($I49-#REF!)/365,$G49,$H49,$D49)-BSPrice($B49,$J49,$K49,$C49,($I49-#REF!)/365,$G49,$H49,$D49))*$F49</f>
        <v>#NAME?</v>
      </c>
      <c r="AE49" s="54" t="e">
        <f>(BSPrice($B49*0.98,$J49,$K49,$C49,($I49-#REF!)/365,$G49,$H49,$D49)-BSPrice($B49,$J49,$K49,$C49,($I49-#REF!)/365,$G49,$H49,$D49))*$F49</f>
        <v>#NAME?</v>
      </c>
      <c r="AF49" s="54" t="e">
        <f>(BSPrice($B49*1.02,$J49,$K49,$C49,($I49-#REF!)/365,$G49,$H49,$D49)-BSPrice($B49,$J49,$K49,$C49,($I49-#REF!)/365,$G49,$H49,$D49))*$F49</f>
        <v>#NAME?</v>
      </c>
      <c r="AG49" s="54" t="e">
        <f>(BSPrice($B49*1.05,$J49,$K49,$C49,($I49-#REF!)/365,$G49,$H49,$D49)-BSPrice($B49,$J49,$K49,$C49,($I49-#REF!)/365,$G49,$H49,$D49))*$F49</f>
        <v>#NAME?</v>
      </c>
      <c r="AH49" s="54" t="e">
        <f>(BSPrice($B49*1.1,$J49,$K49,$C49,($I49-#REF!)/365,$G49,$H49,$D49)-BSPrice($B49,$J49,$K49,$C49,($I49-#REF!)/365,$G49,$H49,$D49))*$F49</f>
        <v>#NAME?</v>
      </c>
      <c r="AI49" s="54" t="e">
        <f>(BSPrice($B49*1.2,$J49,$K49,$C49,($I49-#REF!)/365,$G49,$H49,$D49)-BSPrice($B49,$J49,$K49,$C49,($I49-#REF!)/365,$G49,$H49,$D49))*$F49</f>
        <v>#NAME?</v>
      </c>
      <c r="AJ49" s="54" t="e">
        <f>(BSPrice($B49,$J49-0.1,$K49,$C49,($I49-#REF!)/365,$G49,$H49,$D49)-BSPrice($B49,$J49,$K49,$C49,($I49-#REF!)/365,$G49,$H49,$D49))*$F49</f>
        <v>#NAME?</v>
      </c>
      <c r="AK49" s="54" t="e">
        <f>(BSPrice($B49,$J49-0.05,$K49,$C49,($I49-#REF!)/365,$G49,$H49,$D49)-BSPrice($B49,$J49,$K49,$C49,($I49-#REF!)/365,$G49,$H49,$D49))*$F49</f>
        <v>#NAME?</v>
      </c>
      <c r="AL49" s="54" t="e">
        <f>(BSPrice($B49,$J49-0.02,$K49,$C49,($I49-#REF!)/365,$G49,$H49,$D49)-BSPrice($B49,$J49,$K49,$C49,($I49-#REF!)/365,$G49,$H49,$D49))*$F49</f>
        <v>#NAME?</v>
      </c>
      <c r="AM49" s="54" t="e">
        <f>(BSPrice($B49,$J49-0.01,$K49,$C49,($I49-#REF!)/365,$G49,$H49,$D49)-BSPrice($B49,$J49,$K49,$C49,($I49-#REF!)/365,$G49,$H49,$D49))*$F49</f>
        <v>#NAME?</v>
      </c>
      <c r="AN49" s="54" t="e">
        <f>(BSPrice($B49,$J49+0.01,$K49,$C49,($I49-#REF!)/365,$G49,$H49,$D49)-BSPrice($B49,$J49,$K49,$C49,($I49-#REF!)/365,$G49,$H49,$D49))*$F49</f>
        <v>#NAME?</v>
      </c>
      <c r="AO49" s="54" t="e">
        <f>(BSPrice($B49,$J49+0.02,$K49,$C49,($I49-#REF!)/365,$G49,$H49,$D49)-BSPrice($B49,$J49,$K49,$C49,($I49-#REF!)/365,$G49,$H49,$D49))*$F49</f>
        <v>#NAME?</v>
      </c>
      <c r="AP49" s="54" t="e">
        <f>(BSPrice($B49,$J49+0.05,$K49,$C49,($I49-#REF!)/365,$G49,$H49,$D49)-BSPrice($B49,$J49,$K49,$C49,($I49-#REF!)/365,$G49,$H49,$D49))*$F49</f>
        <v>#NAME?</v>
      </c>
      <c r="AQ49" s="54" t="e">
        <f>(BSPrice($B49,$J49+0.1,$K49,$C49,($I49-#REF!)/365,$G49,$H49,$D49)-BSPrice($B49,$J49,$K49,$C49,($I49-#REF!)/365,$G49,$H49,$D49))*$F49</f>
        <v>#NAME?</v>
      </c>
    </row>
    <row r="50" spans="1:43">
      <c r="A50" s="67" t="s">
        <v>1</v>
      </c>
      <c r="B50" s="44">
        <f>VLOOKUP(A50,PriceData!$K$4:$L$6,2,FALSE)</f>
        <v>2905</v>
      </c>
      <c r="C50" s="45">
        <f>VLOOKUP(A50,PriceData!$K$4:$M$6,3,FALSE)</f>
        <v>0.022</v>
      </c>
      <c r="D50" s="44" t="s">
        <v>56</v>
      </c>
      <c r="E50" s="44" t="s">
        <v>62</v>
      </c>
      <c r="F50" s="44">
        <v>-20</v>
      </c>
      <c r="G50" s="44">
        <v>3341</v>
      </c>
      <c r="H50" s="44" t="s">
        <v>59</v>
      </c>
      <c r="I50" s="68">
        <v>40347</v>
      </c>
      <c r="J50" s="45">
        <f>FindImpliedVol(A50,D50,G50,I50)</f>
        <v>0.328118554968889</v>
      </c>
      <c r="K50" s="69">
        <f>VLOOKUP(I50,PriceData!$A$5:$D$7,MATCH($E50,PriceData!$A$4:$D$4,0),FALSE)</f>
        <v>0.023</v>
      </c>
      <c r="L50" s="52" t="e">
        <f>BSPrice($B50,$J50,$K50,$C50,($I50-#REF!)/365,$G50,$H50,$D50)</f>
        <v>#NAME?</v>
      </c>
      <c r="M50" s="52" t="e">
        <f t="shared" si="0"/>
        <v>#NAME?</v>
      </c>
      <c r="N50" s="44" t="s">
        <v>60</v>
      </c>
      <c r="P50" s="49" t="e">
        <f>BSDelta(B50,J50,K50,C50,(I50-#REF!)/365,G50,H50,D50)</f>
        <v>#NAME?</v>
      </c>
      <c r="Q50" s="49" t="e">
        <f>BSGamma(B50,J50,K50,C50,(I50-#REF!)/365,G50,D50)</f>
        <v>#NAME?</v>
      </c>
      <c r="R50" s="51" t="e">
        <f>BSVega(B50,J50,K50,C50,(I50-#REF!)/365,G50,D50)</f>
        <v>#NAME?</v>
      </c>
      <c r="S50" s="51" t="e">
        <f>BSVolga(B50,J50,K50,C50,(I50-#REF!)/365,G50,D50)</f>
        <v>#NAME?</v>
      </c>
      <c r="T50" s="51" t="e">
        <f>BSTheta(B50,J50,K50,C50,(I50-#REF!)/365,G50,H50,D50)</f>
        <v>#NAME?</v>
      </c>
      <c r="U50" s="52" t="e">
        <f>BSRho(B50,J50,K50,C50,(I50-#REF!)/365,G50,H50,D50)</f>
        <v>#NAME?</v>
      </c>
      <c r="V50" s="70" t="e">
        <f t="shared" si="1"/>
        <v>#NAME?</v>
      </c>
      <c r="W50" s="70" t="e">
        <f t="shared" si="2"/>
        <v>#NAME?</v>
      </c>
      <c r="X50" s="54" t="e">
        <f t="shared" si="3"/>
        <v>#NAME?</v>
      </c>
      <c r="Y50" s="54" t="e">
        <f t="shared" si="4"/>
        <v>#NAME?</v>
      </c>
      <c r="Z50" s="54" t="e">
        <f t="shared" si="5"/>
        <v>#NAME?</v>
      </c>
      <c r="AA50" s="54" t="e">
        <f t="shared" si="6"/>
        <v>#NAME?</v>
      </c>
      <c r="AB50" s="54" t="e">
        <f>(BSPrice($B50*0.8,$J50,$K50,$C50,($I50-#REF!)/365,$G50,$H50,$D50)-BSPrice($B50,$J50,$K50,$C50,($I50-#REF!)/365,$G50,$H50,$D50))*$F50</f>
        <v>#NAME?</v>
      </c>
      <c r="AC50" s="54" t="e">
        <f>(BSPrice($B50*0.9,$J50,$K50,$C50,($I50-#REF!)/365,$G50,$H50,$D50)-BSPrice($B50,$J50,$K50,$C50,($I50-#REF!)/365,$G50,$H50,$D50))*$F50</f>
        <v>#NAME?</v>
      </c>
      <c r="AD50" s="54" t="e">
        <f>(BSPrice($B50*0.95,$J50,$K50,$C50,($I50-#REF!)/365,$G50,$H50,$D50)-BSPrice($B50,$J50,$K50,$C50,($I50-#REF!)/365,$G50,$H50,$D50))*$F50</f>
        <v>#NAME?</v>
      </c>
      <c r="AE50" s="54" t="e">
        <f>(BSPrice($B50*0.98,$J50,$K50,$C50,($I50-#REF!)/365,$G50,$H50,$D50)-BSPrice($B50,$J50,$K50,$C50,($I50-#REF!)/365,$G50,$H50,$D50))*$F50</f>
        <v>#NAME?</v>
      </c>
      <c r="AF50" s="54" t="e">
        <f>(BSPrice($B50*1.02,$J50,$K50,$C50,($I50-#REF!)/365,$G50,$H50,$D50)-BSPrice($B50,$J50,$K50,$C50,($I50-#REF!)/365,$G50,$H50,$D50))*$F50</f>
        <v>#NAME?</v>
      </c>
      <c r="AG50" s="54" t="e">
        <f>(BSPrice($B50*1.05,$J50,$K50,$C50,($I50-#REF!)/365,$G50,$H50,$D50)-BSPrice($B50,$J50,$K50,$C50,($I50-#REF!)/365,$G50,$H50,$D50))*$F50</f>
        <v>#NAME?</v>
      </c>
      <c r="AH50" s="54" t="e">
        <f>(BSPrice($B50*1.1,$J50,$K50,$C50,($I50-#REF!)/365,$G50,$H50,$D50)-BSPrice($B50,$J50,$K50,$C50,($I50-#REF!)/365,$G50,$H50,$D50))*$F50</f>
        <v>#NAME?</v>
      </c>
      <c r="AI50" s="54" t="e">
        <f>(BSPrice($B50*1.2,$J50,$K50,$C50,($I50-#REF!)/365,$G50,$H50,$D50)-BSPrice($B50,$J50,$K50,$C50,($I50-#REF!)/365,$G50,$H50,$D50))*$F50</f>
        <v>#NAME?</v>
      </c>
      <c r="AJ50" s="54" t="e">
        <f>(BSPrice($B50,$J50-0.1,$K50,$C50,($I50-#REF!)/365,$G50,$H50,$D50)-BSPrice($B50,$J50,$K50,$C50,($I50-#REF!)/365,$G50,$H50,$D50))*$F50</f>
        <v>#NAME?</v>
      </c>
      <c r="AK50" s="54" t="e">
        <f>(BSPrice($B50,$J50-0.05,$K50,$C50,($I50-#REF!)/365,$G50,$H50,$D50)-BSPrice($B50,$J50,$K50,$C50,($I50-#REF!)/365,$G50,$H50,$D50))*$F50</f>
        <v>#NAME?</v>
      </c>
      <c r="AL50" s="54" t="e">
        <f>(BSPrice($B50,$J50-0.02,$K50,$C50,($I50-#REF!)/365,$G50,$H50,$D50)-BSPrice($B50,$J50,$K50,$C50,($I50-#REF!)/365,$G50,$H50,$D50))*$F50</f>
        <v>#NAME?</v>
      </c>
      <c r="AM50" s="54" t="e">
        <f>(BSPrice($B50,$J50-0.01,$K50,$C50,($I50-#REF!)/365,$G50,$H50,$D50)-BSPrice($B50,$J50,$K50,$C50,($I50-#REF!)/365,$G50,$H50,$D50))*$F50</f>
        <v>#NAME?</v>
      </c>
      <c r="AN50" s="54" t="e">
        <f>(BSPrice($B50,$J50+0.01,$K50,$C50,($I50-#REF!)/365,$G50,$H50,$D50)-BSPrice($B50,$J50,$K50,$C50,($I50-#REF!)/365,$G50,$H50,$D50))*$F50</f>
        <v>#NAME?</v>
      </c>
      <c r="AO50" s="54" t="e">
        <f>(BSPrice($B50,$J50+0.02,$K50,$C50,($I50-#REF!)/365,$G50,$H50,$D50)-BSPrice($B50,$J50,$K50,$C50,($I50-#REF!)/365,$G50,$H50,$D50))*$F50</f>
        <v>#NAME?</v>
      </c>
      <c r="AP50" s="54" t="e">
        <f>(BSPrice($B50,$J50+0.05,$K50,$C50,($I50-#REF!)/365,$G50,$H50,$D50)-BSPrice($B50,$J50,$K50,$C50,($I50-#REF!)/365,$G50,$H50,$D50))*$F50</f>
        <v>#NAME?</v>
      </c>
      <c r="AQ50" s="54" t="e">
        <f>(BSPrice($B50,$J50+0.1,$K50,$C50,($I50-#REF!)/365,$G50,$H50,$D50)-BSPrice($B50,$J50,$K50,$C50,($I50-#REF!)/365,$G50,$H50,$D50))*$F50</f>
        <v>#NAME?</v>
      </c>
    </row>
    <row r="51" spans="1:43">
      <c r="A51" s="67" t="s">
        <v>1</v>
      </c>
      <c r="B51" s="44">
        <f>VLOOKUP(A51,PriceData!$K$4:$L$6,2,FALSE)</f>
        <v>2905</v>
      </c>
      <c r="C51" s="45">
        <f>VLOOKUP(A51,PriceData!$K$4:$M$6,3,FALSE)</f>
        <v>0.022</v>
      </c>
      <c r="D51" s="44" t="s">
        <v>56</v>
      </c>
      <c r="E51" s="44" t="s">
        <v>62</v>
      </c>
      <c r="F51" s="44">
        <v>-10</v>
      </c>
      <c r="G51" s="44">
        <v>2905</v>
      </c>
      <c r="H51" s="44" t="s">
        <v>57</v>
      </c>
      <c r="I51" s="68">
        <v>40347</v>
      </c>
      <c r="J51" s="45">
        <f>FindImpliedVol(A51,D51,G51,I51)</f>
        <v>0.360221355210548</v>
      </c>
      <c r="K51" s="69">
        <f>VLOOKUP(I51,PriceData!$A$5:$D$7,MATCH($E51,PriceData!$A$4:$D$4,0),FALSE)</f>
        <v>0.023</v>
      </c>
      <c r="L51" s="52" t="e">
        <f>BSPrice($B51,$J51,$K51,$C51,($I51-#REF!)/365,$G51,$H51,$D51)</f>
        <v>#NAME?</v>
      </c>
      <c r="M51" s="52" t="e">
        <f t="shared" si="0"/>
        <v>#NAME?</v>
      </c>
      <c r="N51" s="44" t="s">
        <v>55</v>
      </c>
      <c r="P51" s="49" t="e">
        <f>BSDelta(B51,J51,K51,C51,(I51-#REF!)/365,G51,H51,D51)</f>
        <v>#NAME?</v>
      </c>
      <c r="Q51" s="49" t="e">
        <f>BSGamma(B51,J51,K51,C51,(I51-#REF!)/365,G51,D51)</f>
        <v>#NAME?</v>
      </c>
      <c r="R51" s="51" t="e">
        <f>BSVega(B51,J51,K51,C51,(I51-#REF!)/365,G51,D51)</f>
        <v>#NAME?</v>
      </c>
      <c r="S51" s="51" t="e">
        <f>BSVolga(B51,J51,K51,C51,(I51-#REF!)/365,G51,D51)</f>
        <v>#NAME?</v>
      </c>
      <c r="T51" s="51" t="e">
        <f>BSTheta(B51,J51,K51,C51,(I51-#REF!)/365,G51,H51,D51)</f>
        <v>#NAME?</v>
      </c>
      <c r="U51" s="52" t="e">
        <f>BSRho(B51,J51,K51,C51,(I51-#REF!)/365,G51,H51,D51)</f>
        <v>#NAME?</v>
      </c>
      <c r="V51" s="70" t="e">
        <f t="shared" si="1"/>
        <v>#NAME?</v>
      </c>
      <c r="W51" s="70" t="e">
        <f t="shared" si="2"/>
        <v>#NAME?</v>
      </c>
      <c r="X51" s="54" t="e">
        <f t="shared" si="3"/>
        <v>#NAME?</v>
      </c>
      <c r="Y51" s="54" t="e">
        <f t="shared" si="4"/>
        <v>#NAME?</v>
      </c>
      <c r="Z51" s="54" t="e">
        <f t="shared" si="5"/>
        <v>#NAME?</v>
      </c>
      <c r="AA51" s="54" t="e">
        <f t="shared" si="6"/>
        <v>#NAME?</v>
      </c>
      <c r="AB51" s="54" t="e">
        <f>(BSPrice($B51*0.8,$J51,$K51,$C51,($I51-#REF!)/365,$G51,$H51,$D51)-BSPrice($B51,$J51,$K51,$C51,($I51-#REF!)/365,$G51,$H51,$D51))*$F51</f>
        <v>#NAME?</v>
      </c>
      <c r="AC51" s="54" t="e">
        <f>(BSPrice($B51*0.9,$J51,$K51,$C51,($I51-#REF!)/365,$G51,$H51,$D51)-BSPrice($B51,$J51,$K51,$C51,($I51-#REF!)/365,$G51,$H51,$D51))*$F51</f>
        <v>#NAME?</v>
      </c>
      <c r="AD51" s="54" t="e">
        <f>(BSPrice($B51*0.95,$J51,$K51,$C51,($I51-#REF!)/365,$G51,$H51,$D51)-BSPrice($B51,$J51,$K51,$C51,($I51-#REF!)/365,$G51,$H51,$D51))*$F51</f>
        <v>#NAME?</v>
      </c>
      <c r="AE51" s="54" t="e">
        <f>(BSPrice($B51*0.98,$J51,$K51,$C51,($I51-#REF!)/365,$G51,$H51,$D51)-BSPrice($B51,$J51,$K51,$C51,($I51-#REF!)/365,$G51,$H51,$D51))*$F51</f>
        <v>#NAME?</v>
      </c>
      <c r="AF51" s="54" t="e">
        <f>(BSPrice($B51*1.02,$J51,$K51,$C51,($I51-#REF!)/365,$G51,$H51,$D51)-BSPrice($B51,$J51,$K51,$C51,($I51-#REF!)/365,$G51,$H51,$D51))*$F51</f>
        <v>#NAME?</v>
      </c>
      <c r="AG51" s="54" t="e">
        <f>(BSPrice($B51*1.05,$J51,$K51,$C51,($I51-#REF!)/365,$G51,$H51,$D51)-BSPrice($B51,$J51,$K51,$C51,($I51-#REF!)/365,$G51,$H51,$D51))*$F51</f>
        <v>#NAME?</v>
      </c>
      <c r="AH51" s="54" t="e">
        <f>(BSPrice($B51*1.1,$J51,$K51,$C51,($I51-#REF!)/365,$G51,$H51,$D51)-BSPrice($B51,$J51,$K51,$C51,($I51-#REF!)/365,$G51,$H51,$D51))*$F51</f>
        <v>#NAME?</v>
      </c>
      <c r="AI51" s="54" t="e">
        <f>(BSPrice($B51*1.2,$J51,$K51,$C51,($I51-#REF!)/365,$G51,$H51,$D51)-BSPrice($B51,$J51,$K51,$C51,($I51-#REF!)/365,$G51,$H51,$D51))*$F51</f>
        <v>#NAME?</v>
      </c>
      <c r="AJ51" s="54" t="e">
        <f>(BSPrice($B51,$J51-0.1,$K51,$C51,($I51-#REF!)/365,$G51,$H51,$D51)-BSPrice($B51,$J51,$K51,$C51,($I51-#REF!)/365,$G51,$H51,$D51))*$F51</f>
        <v>#NAME?</v>
      </c>
      <c r="AK51" s="54" t="e">
        <f>(BSPrice($B51,$J51-0.05,$K51,$C51,($I51-#REF!)/365,$G51,$H51,$D51)-BSPrice($B51,$J51,$K51,$C51,($I51-#REF!)/365,$G51,$H51,$D51))*$F51</f>
        <v>#NAME?</v>
      </c>
      <c r="AL51" s="54" t="e">
        <f>(BSPrice($B51,$J51-0.02,$K51,$C51,($I51-#REF!)/365,$G51,$H51,$D51)-BSPrice($B51,$J51,$K51,$C51,($I51-#REF!)/365,$G51,$H51,$D51))*$F51</f>
        <v>#NAME?</v>
      </c>
      <c r="AM51" s="54" t="e">
        <f>(BSPrice($B51,$J51-0.01,$K51,$C51,($I51-#REF!)/365,$G51,$H51,$D51)-BSPrice($B51,$J51,$K51,$C51,($I51-#REF!)/365,$G51,$H51,$D51))*$F51</f>
        <v>#NAME?</v>
      </c>
      <c r="AN51" s="54" t="e">
        <f>(BSPrice($B51,$J51+0.01,$K51,$C51,($I51-#REF!)/365,$G51,$H51,$D51)-BSPrice($B51,$J51,$K51,$C51,($I51-#REF!)/365,$G51,$H51,$D51))*$F51</f>
        <v>#NAME?</v>
      </c>
      <c r="AO51" s="54" t="e">
        <f>(BSPrice($B51,$J51+0.02,$K51,$C51,($I51-#REF!)/365,$G51,$H51,$D51)-BSPrice($B51,$J51,$K51,$C51,($I51-#REF!)/365,$G51,$H51,$D51))*$F51</f>
        <v>#NAME?</v>
      </c>
      <c r="AP51" s="54" t="e">
        <f>(BSPrice($B51,$J51+0.05,$K51,$C51,($I51-#REF!)/365,$G51,$H51,$D51)-BSPrice($B51,$J51,$K51,$C51,($I51-#REF!)/365,$G51,$H51,$D51))*$F51</f>
        <v>#NAME?</v>
      </c>
      <c r="AQ51" s="54" t="e">
        <f>(BSPrice($B51,$J51+0.1,$K51,$C51,($I51-#REF!)/365,$G51,$H51,$D51)-BSPrice($B51,$J51,$K51,$C51,($I51-#REF!)/365,$G51,$H51,$D51))*$F51</f>
        <v>#NAME?</v>
      </c>
    </row>
    <row r="52" spans="1:43">
      <c r="A52" s="67" t="s">
        <v>1</v>
      </c>
      <c r="B52" s="44">
        <f>VLOOKUP(A52,PriceData!$K$4:$L$6,2,FALSE)</f>
        <v>2905</v>
      </c>
      <c r="C52" s="45">
        <f>VLOOKUP(A52,PriceData!$K$4:$M$6,3,FALSE)</f>
        <v>0.022</v>
      </c>
      <c r="D52" s="44" t="s">
        <v>56</v>
      </c>
      <c r="E52" s="44" t="s">
        <v>62</v>
      </c>
      <c r="F52" s="44">
        <v>20</v>
      </c>
      <c r="G52" s="44">
        <v>3428</v>
      </c>
      <c r="H52" s="44" t="s">
        <v>59</v>
      </c>
      <c r="I52" s="68">
        <v>40347</v>
      </c>
      <c r="J52" s="45">
        <f>FindImpliedVol(A52,D52,G52,I52)</f>
        <v>0.328224706594622</v>
      </c>
      <c r="K52" s="69">
        <f>VLOOKUP(I52,PriceData!$A$5:$D$7,MATCH($E52,PriceData!$A$4:$D$4,0),FALSE)</f>
        <v>0.023</v>
      </c>
      <c r="L52" s="52" t="e">
        <f>BSPrice($B52,$J52,$K52,$C52,($I52-#REF!)/365,$G52,$H52,$D52)</f>
        <v>#NAME?</v>
      </c>
      <c r="M52" s="52" t="e">
        <f t="shared" si="0"/>
        <v>#NAME?</v>
      </c>
      <c r="N52" s="44" t="s">
        <v>55</v>
      </c>
      <c r="P52" s="49" t="e">
        <f>BSDelta(B52,J52,K52,C52,(I52-#REF!)/365,G52,H52,D52)</f>
        <v>#NAME?</v>
      </c>
      <c r="Q52" s="49" t="e">
        <f>BSGamma(B52,J52,K52,C52,(I52-#REF!)/365,G52,D52)</f>
        <v>#NAME?</v>
      </c>
      <c r="R52" s="51" t="e">
        <f>BSVega(B52,J52,K52,C52,(I52-#REF!)/365,G52,D52)</f>
        <v>#NAME?</v>
      </c>
      <c r="S52" s="51" t="e">
        <f>BSVolga(B52,J52,K52,C52,(I52-#REF!)/365,G52,D52)</f>
        <v>#NAME?</v>
      </c>
      <c r="T52" s="51" t="e">
        <f>BSTheta(B52,J52,K52,C52,(I52-#REF!)/365,G52,H52,D52)</f>
        <v>#NAME?</v>
      </c>
      <c r="U52" s="52" t="e">
        <f>BSRho(B52,J52,K52,C52,(I52-#REF!)/365,G52,H52,D52)</f>
        <v>#NAME?</v>
      </c>
      <c r="V52" s="70" t="e">
        <f t="shared" si="1"/>
        <v>#NAME?</v>
      </c>
      <c r="W52" s="70" t="e">
        <f t="shared" si="2"/>
        <v>#NAME?</v>
      </c>
      <c r="X52" s="54" t="e">
        <f t="shared" si="3"/>
        <v>#NAME?</v>
      </c>
      <c r="Y52" s="54" t="e">
        <f t="shared" si="4"/>
        <v>#NAME?</v>
      </c>
      <c r="Z52" s="54" t="e">
        <f t="shared" si="5"/>
        <v>#NAME?</v>
      </c>
      <c r="AA52" s="54" t="e">
        <f t="shared" si="6"/>
        <v>#NAME?</v>
      </c>
      <c r="AB52" s="54" t="e">
        <f>(BSPrice($B52*0.8,$J52,$K52,$C52,($I52-#REF!)/365,$G52,$H52,$D52)-BSPrice($B52,$J52,$K52,$C52,($I52-#REF!)/365,$G52,$H52,$D52))*$F52</f>
        <v>#NAME?</v>
      </c>
      <c r="AC52" s="54" t="e">
        <f>(BSPrice($B52*0.9,$J52,$K52,$C52,($I52-#REF!)/365,$G52,$H52,$D52)-BSPrice($B52,$J52,$K52,$C52,($I52-#REF!)/365,$G52,$H52,$D52))*$F52</f>
        <v>#NAME?</v>
      </c>
      <c r="AD52" s="54" t="e">
        <f>(BSPrice($B52*0.95,$J52,$K52,$C52,($I52-#REF!)/365,$G52,$H52,$D52)-BSPrice($B52,$J52,$K52,$C52,($I52-#REF!)/365,$G52,$H52,$D52))*$F52</f>
        <v>#NAME?</v>
      </c>
      <c r="AE52" s="54" t="e">
        <f>(BSPrice($B52*0.98,$J52,$K52,$C52,($I52-#REF!)/365,$G52,$H52,$D52)-BSPrice($B52,$J52,$K52,$C52,($I52-#REF!)/365,$G52,$H52,$D52))*$F52</f>
        <v>#NAME?</v>
      </c>
      <c r="AF52" s="54" t="e">
        <f>(BSPrice($B52*1.02,$J52,$K52,$C52,($I52-#REF!)/365,$G52,$H52,$D52)-BSPrice($B52,$J52,$K52,$C52,($I52-#REF!)/365,$G52,$H52,$D52))*$F52</f>
        <v>#NAME?</v>
      </c>
      <c r="AG52" s="54" t="e">
        <f>(BSPrice($B52*1.05,$J52,$K52,$C52,($I52-#REF!)/365,$G52,$H52,$D52)-BSPrice($B52,$J52,$K52,$C52,($I52-#REF!)/365,$G52,$H52,$D52))*$F52</f>
        <v>#NAME?</v>
      </c>
      <c r="AH52" s="54" t="e">
        <f>(BSPrice($B52*1.1,$J52,$K52,$C52,($I52-#REF!)/365,$G52,$H52,$D52)-BSPrice($B52,$J52,$K52,$C52,($I52-#REF!)/365,$G52,$H52,$D52))*$F52</f>
        <v>#NAME?</v>
      </c>
      <c r="AI52" s="54" t="e">
        <f>(BSPrice($B52*1.2,$J52,$K52,$C52,($I52-#REF!)/365,$G52,$H52,$D52)-BSPrice($B52,$J52,$K52,$C52,($I52-#REF!)/365,$G52,$H52,$D52))*$F52</f>
        <v>#NAME?</v>
      </c>
      <c r="AJ52" s="54" t="e">
        <f>(BSPrice($B52,$J52-0.1,$K52,$C52,($I52-#REF!)/365,$G52,$H52,$D52)-BSPrice($B52,$J52,$K52,$C52,($I52-#REF!)/365,$G52,$H52,$D52))*$F52</f>
        <v>#NAME?</v>
      </c>
      <c r="AK52" s="54" t="e">
        <f>(BSPrice($B52,$J52-0.05,$K52,$C52,($I52-#REF!)/365,$G52,$H52,$D52)-BSPrice($B52,$J52,$K52,$C52,($I52-#REF!)/365,$G52,$H52,$D52))*$F52</f>
        <v>#NAME?</v>
      </c>
      <c r="AL52" s="54" t="e">
        <f>(BSPrice($B52,$J52-0.02,$K52,$C52,($I52-#REF!)/365,$G52,$H52,$D52)-BSPrice($B52,$J52,$K52,$C52,($I52-#REF!)/365,$G52,$H52,$D52))*$F52</f>
        <v>#NAME?</v>
      </c>
      <c r="AM52" s="54" t="e">
        <f>(BSPrice($B52,$J52-0.01,$K52,$C52,($I52-#REF!)/365,$G52,$H52,$D52)-BSPrice($B52,$J52,$K52,$C52,($I52-#REF!)/365,$G52,$H52,$D52))*$F52</f>
        <v>#NAME?</v>
      </c>
      <c r="AN52" s="54" t="e">
        <f>(BSPrice($B52,$J52+0.01,$K52,$C52,($I52-#REF!)/365,$G52,$H52,$D52)-BSPrice($B52,$J52,$K52,$C52,($I52-#REF!)/365,$G52,$H52,$D52))*$F52</f>
        <v>#NAME?</v>
      </c>
      <c r="AO52" s="54" t="e">
        <f>(BSPrice($B52,$J52+0.02,$K52,$C52,($I52-#REF!)/365,$G52,$H52,$D52)-BSPrice($B52,$J52,$K52,$C52,($I52-#REF!)/365,$G52,$H52,$D52))*$F52</f>
        <v>#NAME?</v>
      </c>
      <c r="AP52" s="54" t="e">
        <f>(BSPrice($B52,$J52+0.05,$K52,$C52,($I52-#REF!)/365,$G52,$H52,$D52)-BSPrice($B52,$J52,$K52,$C52,($I52-#REF!)/365,$G52,$H52,$D52))*$F52</f>
        <v>#NAME?</v>
      </c>
      <c r="AQ52" s="54" t="e">
        <f>(BSPrice($B52,$J52+0.1,$K52,$C52,($I52-#REF!)/365,$G52,$H52,$D52)-BSPrice($B52,$J52,$K52,$C52,($I52-#REF!)/365,$G52,$H52,$D52))*$F52</f>
        <v>#NAME?</v>
      </c>
    </row>
    <row r="53" spans="1:43">
      <c r="A53" s="67" t="s">
        <v>1</v>
      </c>
      <c r="B53" s="44">
        <f>VLOOKUP(A53,PriceData!$K$4:$L$6,2,FALSE)</f>
        <v>2905</v>
      </c>
      <c r="C53" s="45">
        <f>VLOOKUP(A53,PriceData!$K$4:$M$6,3,FALSE)</f>
        <v>0.022</v>
      </c>
      <c r="D53" s="44" t="s">
        <v>56</v>
      </c>
      <c r="E53" s="44" t="s">
        <v>62</v>
      </c>
      <c r="F53" s="44">
        <v>-10</v>
      </c>
      <c r="G53" s="44">
        <v>3166</v>
      </c>
      <c r="H53" s="44" t="s">
        <v>59</v>
      </c>
      <c r="I53" s="68">
        <v>40347</v>
      </c>
      <c r="J53" s="45">
        <f>FindImpliedVol(A53,D53,G53,I53)</f>
        <v>0.33295490099763</v>
      </c>
      <c r="K53" s="69">
        <f>VLOOKUP(I53,PriceData!$A$5:$D$7,MATCH($E53,PriceData!$A$4:$D$4,0),FALSE)</f>
        <v>0.023</v>
      </c>
      <c r="L53" s="52" t="e">
        <f>BSPrice($B53,$J53,$K53,$C53,($I53-#REF!)/365,$G53,$H53,$D53)</f>
        <v>#NAME?</v>
      </c>
      <c r="M53" s="52" t="e">
        <f t="shared" si="0"/>
        <v>#NAME?</v>
      </c>
      <c r="N53" s="44" t="s">
        <v>61</v>
      </c>
      <c r="P53" s="49" t="e">
        <f>BSDelta(B53,J53,K53,C53,(I53-#REF!)/365,G53,H53,D53)</f>
        <v>#NAME?</v>
      </c>
      <c r="Q53" s="49" t="e">
        <f>BSGamma(B53,J53,K53,C53,(I53-#REF!)/365,G53,D53)</f>
        <v>#NAME?</v>
      </c>
      <c r="R53" s="51" t="e">
        <f>BSVega(B53,J53,K53,C53,(I53-#REF!)/365,G53,D53)</f>
        <v>#NAME?</v>
      </c>
      <c r="S53" s="51" t="e">
        <f>BSVolga(B53,J53,K53,C53,(I53-#REF!)/365,G53,D53)</f>
        <v>#NAME?</v>
      </c>
      <c r="T53" s="51" t="e">
        <f>BSTheta(B53,J53,K53,C53,(I53-#REF!)/365,G53,H53,D53)</f>
        <v>#NAME?</v>
      </c>
      <c r="U53" s="52" t="e">
        <f>BSRho(B53,J53,K53,C53,(I53-#REF!)/365,G53,H53,D53)</f>
        <v>#NAME?</v>
      </c>
      <c r="V53" s="70" t="e">
        <f t="shared" si="1"/>
        <v>#NAME?</v>
      </c>
      <c r="W53" s="70" t="e">
        <f t="shared" si="2"/>
        <v>#NAME?</v>
      </c>
      <c r="X53" s="54" t="e">
        <f t="shared" si="3"/>
        <v>#NAME?</v>
      </c>
      <c r="Y53" s="54" t="e">
        <f t="shared" si="4"/>
        <v>#NAME?</v>
      </c>
      <c r="Z53" s="54" t="e">
        <f t="shared" si="5"/>
        <v>#NAME?</v>
      </c>
      <c r="AA53" s="54" t="e">
        <f t="shared" si="6"/>
        <v>#NAME?</v>
      </c>
      <c r="AB53" s="54" t="e">
        <f>(BSPrice($B53*0.8,$J53,$K53,$C53,($I53-#REF!)/365,$G53,$H53,$D53)-BSPrice($B53,$J53,$K53,$C53,($I53-#REF!)/365,$G53,$H53,$D53))*$F53</f>
        <v>#NAME?</v>
      </c>
      <c r="AC53" s="54" t="e">
        <f>(BSPrice($B53*0.9,$J53,$K53,$C53,($I53-#REF!)/365,$G53,$H53,$D53)-BSPrice($B53,$J53,$K53,$C53,($I53-#REF!)/365,$G53,$H53,$D53))*$F53</f>
        <v>#NAME?</v>
      </c>
      <c r="AD53" s="54" t="e">
        <f>(BSPrice($B53*0.95,$J53,$K53,$C53,($I53-#REF!)/365,$G53,$H53,$D53)-BSPrice($B53,$J53,$K53,$C53,($I53-#REF!)/365,$G53,$H53,$D53))*$F53</f>
        <v>#NAME?</v>
      </c>
      <c r="AE53" s="54" t="e">
        <f>(BSPrice($B53*0.98,$J53,$K53,$C53,($I53-#REF!)/365,$G53,$H53,$D53)-BSPrice($B53,$J53,$K53,$C53,($I53-#REF!)/365,$G53,$H53,$D53))*$F53</f>
        <v>#NAME?</v>
      </c>
      <c r="AF53" s="54" t="e">
        <f>(BSPrice($B53*1.02,$J53,$K53,$C53,($I53-#REF!)/365,$G53,$H53,$D53)-BSPrice($B53,$J53,$K53,$C53,($I53-#REF!)/365,$G53,$H53,$D53))*$F53</f>
        <v>#NAME?</v>
      </c>
      <c r="AG53" s="54" t="e">
        <f>(BSPrice($B53*1.05,$J53,$K53,$C53,($I53-#REF!)/365,$G53,$H53,$D53)-BSPrice($B53,$J53,$K53,$C53,($I53-#REF!)/365,$G53,$H53,$D53))*$F53</f>
        <v>#NAME?</v>
      </c>
      <c r="AH53" s="54" t="e">
        <f>(BSPrice($B53*1.1,$J53,$K53,$C53,($I53-#REF!)/365,$G53,$H53,$D53)-BSPrice($B53,$J53,$K53,$C53,($I53-#REF!)/365,$G53,$H53,$D53))*$F53</f>
        <v>#NAME?</v>
      </c>
      <c r="AI53" s="54" t="e">
        <f>(BSPrice($B53*1.2,$J53,$K53,$C53,($I53-#REF!)/365,$G53,$H53,$D53)-BSPrice($B53,$J53,$K53,$C53,($I53-#REF!)/365,$G53,$H53,$D53))*$F53</f>
        <v>#NAME?</v>
      </c>
      <c r="AJ53" s="54" t="e">
        <f>(BSPrice($B53,$J53-0.1,$K53,$C53,($I53-#REF!)/365,$G53,$H53,$D53)-BSPrice($B53,$J53,$K53,$C53,($I53-#REF!)/365,$G53,$H53,$D53))*$F53</f>
        <v>#NAME?</v>
      </c>
      <c r="AK53" s="54" t="e">
        <f>(BSPrice($B53,$J53-0.05,$K53,$C53,($I53-#REF!)/365,$G53,$H53,$D53)-BSPrice($B53,$J53,$K53,$C53,($I53-#REF!)/365,$G53,$H53,$D53))*$F53</f>
        <v>#NAME?</v>
      </c>
      <c r="AL53" s="54" t="e">
        <f>(BSPrice($B53,$J53-0.02,$K53,$C53,($I53-#REF!)/365,$G53,$H53,$D53)-BSPrice($B53,$J53,$K53,$C53,($I53-#REF!)/365,$G53,$H53,$D53))*$F53</f>
        <v>#NAME?</v>
      </c>
      <c r="AM53" s="54" t="e">
        <f>(BSPrice($B53,$J53-0.01,$K53,$C53,($I53-#REF!)/365,$G53,$H53,$D53)-BSPrice($B53,$J53,$K53,$C53,($I53-#REF!)/365,$G53,$H53,$D53))*$F53</f>
        <v>#NAME?</v>
      </c>
      <c r="AN53" s="54" t="e">
        <f>(BSPrice($B53,$J53+0.01,$K53,$C53,($I53-#REF!)/365,$G53,$H53,$D53)-BSPrice($B53,$J53,$K53,$C53,($I53-#REF!)/365,$G53,$H53,$D53))*$F53</f>
        <v>#NAME?</v>
      </c>
      <c r="AO53" s="54" t="e">
        <f>(BSPrice($B53,$J53+0.02,$K53,$C53,($I53-#REF!)/365,$G53,$H53,$D53)-BSPrice($B53,$J53,$K53,$C53,($I53-#REF!)/365,$G53,$H53,$D53))*$F53</f>
        <v>#NAME?</v>
      </c>
      <c r="AP53" s="54" t="e">
        <f>(BSPrice($B53,$J53+0.05,$K53,$C53,($I53-#REF!)/365,$G53,$H53,$D53)-BSPrice($B53,$J53,$K53,$C53,($I53-#REF!)/365,$G53,$H53,$D53))*$F53</f>
        <v>#NAME?</v>
      </c>
      <c r="AQ53" s="54" t="e">
        <f>(BSPrice($B53,$J53+0.1,$K53,$C53,($I53-#REF!)/365,$G53,$H53,$D53)-BSPrice($B53,$J53,$K53,$C53,($I53-#REF!)/365,$G53,$H53,$D53))*$F53</f>
        <v>#NAME?</v>
      </c>
    </row>
    <row r="54" spans="1:43">
      <c r="A54" s="67" t="s">
        <v>1</v>
      </c>
      <c r="B54" s="44">
        <f>VLOOKUP(A54,PriceData!$K$4:$L$6,2,FALSE)</f>
        <v>2905</v>
      </c>
      <c r="C54" s="45">
        <f>VLOOKUP(A54,PriceData!$K$4:$M$6,3,FALSE)</f>
        <v>0.022</v>
      </c>
      <c r="D54" s="44" t="s">
        <v>56</v>
      </c>
      <c r="E54" s="44" t="s">
        <v>62</v>
      </c>
      <c r="F54" s="44">
        <v>-20</v>
      </c>
      <c r="G54" s="44">
        <v>2731</v>
      </c>
      <c r="H54" s="44" t="s">
        <v>57</v>
      </c>
      <c r="I54" s="68">
        <v>40347</v>
      </c>
      <c r="J54" s="45">
        <f>FindImpliedVol(A54,D54,G54,I54)</f>
        <v>0.397433646982322</v>
      </c>
      <c r="K54" s="69">
        <f>VLOOKUP(I54,PriceData!$A$5:$D$7,MATCH($E54,PriceData!$A$4:$D$4,0),FALSE)</f>
        <v>0.023</v>
      </c>
      <c r="L54" s="52" t="e">
        <f>BSPrice($B54,$J54,$K54,$C54,($I54-#REF!)/365,$G54,$H54,$D54)</f>
        <v>#NAME?</v>
      </c>
      <c r="M54" s="52" t="e">
        <f t="shared" si="0"/>
        <v>#NAME?</v>
      </c>
      <c r="N54" s="44" t="s">
        <v>55</v>
      </c>
      <c r="P54" s="49" t="e">
        <f>BSDelta(B54,J54,K54,C54,(I54-#REF!)/365,G54,H54,D54)</f>
        <v>#NAME?</v>
      </c>
      <c r="Q54" s="49" t="e">
        <f>BSGamma(B54,J54,K54,C54,(I54-#REF!)/365,G54,D54)</f>
        <v>#NAME?</v>
      </c>
      <c r="R54" s="51" t="e">
        <f>BSVega(B54,J54,K54,C54,(I54-#REF!)/365,G54,D54)</f>
        <v>#NAME?</v>
      </c>
      <c r="S54" s="51" t="e">
        <f>BSVolga(B54,J54,K54,C54,(I54-#REF!)/365,G54,D54)</f>
        <v>#NAME?</v>
      </c>
      <c r="T54" s="51" t="e">
        <f>BSTheta(B54,J54,K54,C54,(I54-#REF!)/365,G54,H54,D54)</f>
        <v>#NAME?</v>
      </c>
      <c r="U54" s="52" t="e">
        <f>BSRho(B54,J54,K54,C54,(I54-#REF!)/365,G54,H54,D54)</f>
        <v>#NAME?</v>
      </c>
      <c r="V54" s="70" t="e">
        <f t="shared" si="1"/>
        <v>#NAME?</v>
      </c>
      <c r="W54" s="70" t="e">
        <f t="shared" si="2"/>
        <v>#NAME?</v>
      </c>
      <c r="X54" s="54" t="e">
        <f t="shared" si="3"/>
        <v>#NAME?</v>
      </c>
      <c r="Y54" s="54" t="e">
        <f t="shared" si="4"/>
        <v>#NAME?</v>
      </c>
      <c r="Z54" s="54" t="e">
        <f t="shared" si="5"/>
        <v>#NAME?</v>
      </c>
      <c r="AA54" s="54" t="e">
        <f t="shared" si="6"/>
        <v>#NAME?</v>
      </c>
      <c r="AB54" s="54" t="e">
        <f>(BSPrice($B54*0.8,$J54,$K54,$C54,($I54-#REF!)/365,$G54,$H54,$D54)-BSPrice($B54,$J54,$K54,$C54,($I54-#REF!)/365,$G54,$H54,$D54))*$F54</f>
        <v>#NAME?</v>
      </c>
      <c r="AC54" s="54" t="e">
        <f>(BSPrice($B54*0.9,$J54,$K54,$C54,($I54-#REF!)/365,$G54,$H54,$D54)-BSPrice($B54,$J54,$K54,$C54,($I54-#REF!)/365,$G54,$H54,$D54))*$F54</f>
        <v>#NAME?</v>
      </c>
      <c r="AD54" s="54" t="e">
        <f>(BSPrice($B54*0.95,$J54,$K54,$C54,($I54-#REF!)/365,$G54,$H54,$D54)-BSPrice($B54,$J54,$K54,$C54,($I54-#REF!)/365,$G54,$H54,$D54))*$F54</f>
        <v>#NAME?</v>
      </c>
      <c r="AE54" s="54" t="e">
        <f>(BSPrice($B54*0.98,$J54,$K54,$C54,($I54-#REF!)/365,$G54,$H54,$D54)-BSPrice($B54,$J54,$K54,$C54,($I54-#REF!)/365,$G54,$H54,$D54))*$F54</f>
        <v>#NAME?</v>
      </c>
      <c r="AF54" s="54" t="e">
        <f>(BSPrice($B54*1.02,$J54,$K54,$C54,($I54-#REF!)/365,$G54,$H54,$D54)-BSPrice($B54,$J54,$K54,$C54,($I54-#REF!)/365,$G54,$H54,$D54))*$F54</f>
        <v>#NAME?</v>
      </c>
      <c r="AG54" s="54" t="e">
        <f>(BSPrice($B54*1.05,$J54,$K54,$C54,($I54-#REF!)/365,$G54,$H54,$D54)-BSPrice($B54,$J54,$K54,$C54,($I54-#REF!)/365,$G54,$H54,$D54))*$F54</f>
        <v>#NAME?</v>
      </c>
      <c r="AH54" s="54" t="e">
        <f>(BSPrice($B54*1.1,$J54,$K54,$C54,($I54-#REF!)/365,$G54,$H54,$D54)-BSPrice($B54,$J54,$K54,$C54,($I54-#REF!)/365,$G54,$H54,$D54))*$F54</f>
        <v>#NAME?</v>
      </c>
      <c r="AI54" s="54" t="e">
        <f>(BSPrice($B54*1.2,$J54,$K54,$C54,($I54-#REF!)/365,$G54,$H54,$D54)-BSPrice($B54,$J54,$K54,$C54,($I54-#REF!)/365,$G54,$H54,$D54))*$F54</f>
        <v>#NAME?</v>
      </c>
      <c r="AJ54" s="54" t="e">
        <f>(BSPrice($B54,$J54-0.1,$K54,$C54,($I54-#REF!)/365,$G54,$H54,$D54)-BSPrice($B54,$J54,$K54,$C54,($I54-#REF!)/365,$G54,$H54,$D54))*$F54</f>
        <v>#NAME?</v>
      </c>
      <c r="AK54" s="54" t="e">
        <f>(BSPrice($B54,$J54-0.05,$K54,$C54,($I54-#REF!)/365,$G54,$H54,$D54)-BSPrice($B54,$J54,$K54,$C54,($I54-#REF!)/365,$G54,$H54,$D54))*$F54</f>
        <v>#NAME?</v>
      </c>
      <c r="AL54" s="54" t="e">
        <f>(BSPrice($B54,$J54-0.02,$K54,$C54,($I54-#REF!)/365,$G54,$H54,$D54)-BSPrice($B54,$J54,$K54,$C54,($I54-#REF!)/365,$G54,$H54,$D54))*$F54</f>
        <v>#NAME?</v>
      </c>
      <c r="AM54" s="54" t="e">
        <f>(BSPrice($B54,$J54-0.01,$K54,$C54,($I54-#REF!)/365,$G54,$H54,$D54)-BSPrice($B54,$J54,$K54,$C54,($I54-#REF!)/365,$G54,$H54,$D54))*$F54</f>
        <v>#NAME?</v>
      </c>
      <c r="AN54" s="54" t="e">
        <f>(BSPrice($B54,$J54+0.01,$K54,$C54,($I54-#REF!)/365,$G54,$H54,$D54)-BSPrice($B54,$J54,$K54,$C54,($I54-#REF!)/365,$G54,$H54,$D54))*$F54</f>
        <v>#NAME?</v>
      </c>
      <c r="AO54" s="54" t="e">
        <f>(BSPrice($B54,$J54+0.02,$K54,$C54,($I54-#REF!)/365,$G54,$H54,$D54)-BSPrice($B54,$J54,$K54,$C54,($I54-#REF!)/365,$G54,$H54,$D54))*$F54</f>
        <v>#NAME?</v>
      </c>
      <c r="AP54" s="54" t="e">
        <f>(BSPrice($B54,$J54+0.05,$K54,$C54,($I54-#REF!)/365,$G54,$H54,$D54)-BSPrice($B54,$J54,$K54,$C54,($I54-#REF!)/365,$G54,$H54,$D54))*$F54</f>
        <v>#NAME?</v>
      </c>
      <c r="AQ54" s="54" t="e">
        <f>(BSPrice($B54,$J54+0.1,$K54,$C54,($I54-#REF!)/365,$G54,$H54,$D54)-BSPrice($B54,$J54,$K54,$C54,($I54-#REF!)/365,$G54,$H54,$D54))*$F54</f>
        <v>#NAME?</v>
      </c>
    </row>
    <row r="55" spans="1:43">
      <c r="A55" s="67" t="s">
        <v>1</v>
      </c>
      <c r="B55" s="44">
        <f>VLOOKUP(A55,PriceData!$K$4:$L$6,2,FALSE)</f>
        <v>2905</v>
      </c>
      <c r="C55" s="45">
        <f>VLOOKUP(A55,PriceData!$K$4:$M$6,3,FALSE)</f>
        <v>0.022</v>
      </c>
      <c r="D55" s="44" t="s">
        <v>56</v>
      </c>
      <c r="E55" s="44" t="s">
        <v>62</v>
      </c>
      <c r="F55" s="44">
        <v>20</v>
      </c>
      <c r="G55" s="44">
        <v>2731</v>
      </c>
      <c r="H55" s="44" t="s">
        <v>57</v>
      </c>
      <c r="I55" s="68">
        <v>40347</v>
      </c>
      <c r="J55" s="45">
        <f>FindImpliedVol(A55,D55,G55,I55)</f>
        <v>0.397433646982322</v>
      </c>
      <c r="K55" s="69">
        <f>VLOOKUP(I55,PriceData!$A$5:$D$7,MATCH($E55,PriceData!$A$4:$D$4,0),FALSE)</f>
        <v>0.023</v>
      </c>
      <c r="L55" s="52" t="e">
        <f>BSPrice($B55,$J55,$K55,$C55,($I55-#REF!)/365,$G55,$H55,$D55)</f>
        <v>#NAME?</v>
      </c>
      <c r="M55" s="52" t="e">
        <f t="shared" si="0"/>
        <v>#NAME?</v>
      </c>
      <c r="N55" s="44" t="s">
        <v>60</v>
      </c>
      <c r="P55" s="49" t="e">
        <f>BSDelta(B55,J55,K55,C55,(I55-#REF!)/365,G55,H55,D55)</f>
        <v>#NAME?</v>
      </c>
      <c r="Q55" s="49" t="e">
        <f>BSGamma(B55,J55,K55,C55,(I55-#REF!)/365,G55,D55)</f>
        <v>#NAME?</v>
      </c>
      <c r="R55" s="51" t="e">
        <f>BSVega(B55,J55,K55,C55,(I55-#REF!)/365,G55,D55)</f>
        <v>#NAME?</v>
      </c>
      <c r="S55" s="51" t="e">
        <f>BSVolga(B55,J55,K55,C55,(I55-#REF!)/365,G55,D55)</f>
        <v>#NAME?</v>
      </c>
      <c r="T55" s="51" t="e">
        <f>BSTheta(B55,J55,K55,C55,(I55-#REF!)/365,G55,H55,D55)</f>
        <v>#NAME?</v>
      </c>
      <c r="U55" s="52" t="e">
        <f>BSRho(B55,J55,K55,C55,(I55-#REF!)/365,G55,H55,D55)</f>
        <v>#NAME?</v>
      </c>
      <c r="V55" s="70" t="e">
        <f t="shared" si="1"/>
        <v>#NAME?</v>
      </c>
      <c r="W55" s="70" t="e">
        <f t="shared" si="2"/>
        <v>#NAME?</v>
      </c>
      <c r="X55" s="54" t="e">
        <f t="shared" si="3"/>
        <v>#NAME?</v>
      </c>
      <c r="Y55" s="54" t="e">
        <f t="shared" si="4"/>
        <v>#NAME?</v>
      </c>
      <c r="Z55" s="54" t="e">
        <f t="shared" si="5"/>
        <v>#NAME?</v>
      </c>
      <c r="AA55" s="54" t="e">
        <f t="shared" si="6"/>
        <v>#NAME?</v>
      </c>
      <c r="AB55" s="54" t="e">
        <f>(BSPrice($B55*0.8,$J55,$K55,$C55,($I55-#REF!)/365,$G55,$H55,$D55)-BSPrice($B55,$J55,$K55,$C55,($I55-#REF!)/365,$G55,$H55,$D55))*$F55</f>
        <v>#NAME?</v>
      </c>
      <c r="AC55" s="54" t="e">
        <f>(BSPrice($B55*0.9,$J55,$K55,$C55,($I55-#REF!)/365,$G55,$H55,$D55)-BSPrice($B55,$J55,$K55,$C55,($I55-#REF!)/365,$G55,$H55,$D55))*$F55</f>
        <v>#NAME?</v>
      </c>
      <c r="AD55" s="54" t="e">
        <f>(BSPrice($B55*0.95,$J55,$K55,$C55,($I55-#REF!)/365,$G55,$H55,$D55)-BSPrice($B55,$J55,$K55,$C55,($I55-#REF!)/365,$G55,$H55,$D55))*$F55</f>
        <v>#NAME?</v>
      </c>
      <c r="AE55" s="54" t="e">
        <f>(BSPrice($B55*0.98,$J55,$K55,$C55,($I55-#REF!)/365,$G55,$H55,$D55)-BSPrice($B55,$J55,$K55,$C55,($I55-#REF!)/365,$G55,$H55,$D55))*$F55</f>
        <v>#NAME?</v>
      </c>
      <c r="AF55" s="54" t="e">
        <f>(BSPrice($B55*1.02,$J55,$K55,$C55,($I55-#REF!)/365,$G55,$H55,$D55)-BSPrice($B55,$J55,$K55,$C55,($I55-#REF!)/365,$G55,$H55,$D55))*$F55</f>
        <v>#NAME?</v>
      </c>
      <c r="AG55" s="54" t="e">
        <f>(BSPrice($B55*1.05,$J55,$K55,$C55,($I55-#REF!)/365,$G55,$H55,$D55)-BSPrice($B55,$J55,$K55,$C55,($I55-#REF!)/365,$G55,$H55,$D55))*$F55</f>
        <v>#NAME?</v>
      </c>
      <c r="AH55" s="54" t="e">
        <f>(BSPrice($B55*1.1,$J55,$K55,$C55,($I55-#REF!)/365,$G55,$H55,$D55)-BSPrice($B55,$J55,$K55,$C55,($I55-#REF!)/365,$G55,$H55,$D55))*$F55</f>
        <v>#NAME?</v>
      </c>
      <c r="AI55" s="54" t="e">
        <f>(BSPrice($B55*1.2,$J55,$K55,$C55,($I55-#REF!)/365,$G55,$H55,$D55)-BSPrice($B55,$J55,$K55,$C55,($I55-#REF!)/365,$G55,$H55,$D55))*$F55</f>
        <v>#NAME?</v>
      </c>
      <c r="AJ55" s="54" t="e">
        <f>(BSPrice($B55,$J55-0.1,$K55,$C55,($I55-#REF!)/365,$G55,$H55,$D55)-BSPrice($B55,$J55,$K55,$C55,($I55-#REF!)/365,$G55,$H55,$D55))*$F55</f>
        <v>#NAME?</v>
      </c>
      <c r="AK55" s="54" t="e">
        <f>(BSPrice($B55,$J55-0.05,$K55,$C55,($I55-#REF!)/365,$G55,$H55,$D55)-BSPrice($B55,$J55,$K55,$C55,($I55-#REF!)/365,$G55,$H55,$D55))*$F55</f>
        <v>#NAME?</v>
      </c>
      <c r="AL55" s="54" t="e">
        <f>(BSPrice($B55,$J55-0.02,$K55,$C55,($I55-#REF!)/365,$G55,$H55,$D55)-BSPrice($B55,$J55,$K55,$C55,($I55-#REF!)/365,$G55,$H55,$D55))*$F55</f>
        <v>#NAME?</v>
      </c>
      <c r="AM55" s="54" t="e">
        <f>(BSPrice($B55,$J55-0.01,$K55,$C55,($I55-#REF!)/365,$G55,$H55,$D55)-BSPrice($B55,$J55,$K55,$C55,($I55-#REF!)/365,$G55,$H55,$D55))*$F55</f>
        <v>#NAME?</v>
      </c>
      <c r="AN55" s="54" t="e">
        <f>(BSPrice($B55,$J55+0.01,$K55,$C55,($I55-#REF!)/365,$G55,$H55,$D55)-BSPrice($B55,$J55,$K55,$C55,($I55-#REF!)/365,$G55,$H55,$D55))*$F55</f>
        <v>#NAME?</v>
      </c>
      <c r="AO55" s="54" t="e">
        <f>(BSPrice($B55,$J55+0.02,$K55,$C55,($I55-#REF!)/365,$G55,$H55,$D55)-BSPrice($B55,$J55,$K55,$C55,($I55-#REF!)/365,$G55,$H55,$D55))*$F55</f>
        <v>#NAME?</v>
      </c>
      <c r="AP55" s="54" t="e">
        <f>(BSPrice($B55,$J55+0.05,$K55,$C55,($I55-#REF!)/365,$G55,$H55,$D55)-BSPrice($B55,$J55,$K55,$C55,($I55-#REF!)/365,$G55,$H55,$D55))*$F55</f>
        <v>#NAME?</v>
      </c>
      <c r="AQ55" s="54" t="e">
        <f>(BSPrice($B55,$J55+0.1,$K55,$C55,($I55-#REF!)/365,$G55,$H55,$D55)-BSPrice($B55,$J55,$K55,$C55,($I55-#REF!)/365,$G55,$H55,$D55))*$F55</f>
        <v>#NAME?</v>
      </c>
    </row>
    <row r="56" spans="1:43">
      <c r="A56" s="67" t="s">
        <v>1</v>
      </c>
      <c r="B56" s="44">
        <f>VLOOKUP(A56,PriceData!$K$4:$L$6,2,FALSE)</f>
        <v>2905</v>
      </c>
      <c r="C56" s="45">
        <f>VLOOKUP(A56,PriceData!$K$4:$M$6,3,FALSE)</f>
        <v>0.022</v>
      </c>
      <c r="D56" s="44" t="s">
        <v>56</v>
      </c>
      <c r="E56" s="44" t="s">
        <v>62</v>
      </c>
      <c r="F56" s="44">
        <v>-20</v>
      </c>
      <c r="G56" s="44">
        <v>3341</v>
      </c>
      <c r="H56" s="44" t="s">
        <v>57</v>
      </c>
      <c r="I56" s="68">
        <v>40438</v>
      </c>
      <c r="J56" s="45">
        <f>FindImpliedVol(A56,D56,G56,I56)</f>
        <v>0.298159357023363</v>
      </c>
      <c r="K56" s="69">
        <f>VLOOKUP(I56,PriceData!$A$5:$D$7,MATCH($E56,PriceData!$A$4:$D$4,0),FALSE)</f>
        <v>0.025</v>
      </c>
      <c r="L56" s="52" t="e">
        <f>BSPrice($B56,$J56,$K56,$C56,($I56-#REF!)/365,$G56,$H56,$D56)</f>
        <v>#NAME?</v>
      </c>
      <c r="M56" s="52" t="e">
        <f t="shared" si="0"/>
        <v>#NAME?</v>
      </c>
      <c r="N56" s="44" t="s">
        <v>55</v>
      </c>
      <c r="P56" s="49" t="e">
        <f>BSDelta(B56,J56,K56,C56,(I56-#REF!)/365,G56,H56,D56)</f>
        <v>#NAME?</v>
      </c>
      <c r="Q56" s="49" t="e">
        <f>BSGamma(B56,J56,K56,C56,(I56-#REF!)/365,G56,D56)</f>
        <v>#NAME?</v>
      </c>
      <c r="R56" s="51" t="e">
        <f>BSVega(B56,J56,K56,C56,(I56-#REF!)/365,G56,D56)</f>
        <v>#NAME?</v>
      </c>
      <c r="S56" s="51" t="e">
        <f>BSVolga(B56,J56,K56,C56,(I56-#REF!)/365,G56,D56)</f>
        <v>#NAME?</v>
      </c>
      <c r="T56" s="51" t="e">
        <f>BSTheta(B56,J56,K56,C56,(I56-#REF!)/365,G56,H56,D56)</f>
        <v>#NAME?</v>
      </c>
      <c r="U56" s="52" t="e">
        <f>BSRho(B56,J56,K56,C56,(I56-#REF!)/365,G56,H56,D56)</f>
        <v>#NAME?</v>
      </c>
      <c r="V56" s="70" t="e">
        <f t="shared" si="1"/>
        <v>#NAME?</v>
      </c>
      <c r="W56" s="70" t="e">
        <f t="shared" si="2"/>
        <v>#NAME?</v>
      </c>
      <c r="X56" s="54" t="e">
        <f t="shared" si="3"/>
        <v>#NAME?</v>
      </c>
      <c r="Y56" s="54" t="e">
        <f t="shared" si="4"/>
        <v>#NAME?</v>
      </c>
      <c r="Z56" s="54" t="e">
        <f t="shared" si="5"/>
        <v>#NAME?</v>
      </c>
      <c r="AA56" s="54" t="e">
        <f t="shared" si="6"/>
        <v>#NAME?</v>
      </c>
      <c r="AB56" s="54" t="e">
        <f>(BSPrice($B56*0.8,$J56,$K56,$C56,($I56-#REF!)/365,$G56,$H56,$D56)-BSPrice($B56,$J56,$K56,$C56,($I56-#REF!)/365,$G56,$H56,$D56))*$F56</f>
        <v>#NAME?</v>
      </c>
      <c r="AC56" s="54" t="e">
        <f>(BSPrice($B56*0.9,$J56,$K56,$C56,($I56-#REF!)/365,$G56,$H56,$D56)-BSPrice($B56,$J56,$K56,$C56,($I56-#REF!)/365,$G56,$H56,$D56))*$F56</f>
        <v>#NAME?</v>
      </c>
      <c r="AD56" s="54" t="e">
        <f>(BSPrice($B56*0.95,$J56,$K56,$C56,($I56-#REF!)/365,$G56,$H56,$D56)-BSPrice($B56,$J56,$K56,$C56,($I56-#REF!)/365,$G56,$H56,$D56))*$F56</f>
        <v>#NAME?</v>
      </c>
      <c r="AE56" s="54" t="e">
        <f>(BSPrice($B56*0.98,$J56,$K56,$C56,($I56-#REF!)/365,$G56,$H56,$D56)-BSPrice($B56,$J56,$K56,$C56,($I56-#REF!)/365,$G56,$H56,$D56))*$F56</f>
        <v>#NAME?</v>
      </c>
      <c r="AF56" s="54" t="e">
        <f>(BSPrice($B56*1.02,$J56,$K56,$C56,($I56-#REF!)/365,$G56,$H56,$D56)-BSPrice($B56,$J56,$K56,$C56,($I56-#REF!)/365,$G56,$H56,$D56))*$F56</f>
        <v>#NAME?</v>
      </c>
      <c r="AG56" s="54" t="e">
        <f>(BSPrice($B56*1.05,$J56,$K56,$C56,($I56-#REF!)/365,$G56,$H56,$D56)-BSPrice($B56,$J56,$K56,$C56,($I56-#REF!)/365,$G56,$H56,$D56))*$F56</f>
        <v>#NAME?</v>
      </c>
      <c r="AH56" s="54" t="e">
        <f>(BSPrice($B56*1.1,$J56,$K56,$C56,($I56-#REF!)/365,$G56,$H56,$D56)-BSPrice($B56,$J56,$K56,$C56,($I56-#REF!)/365,$G56,$H56,$D56))*$F56</f>
        <v>#NAME?</v>
      </c>
      <c r="AI56" s="54" t="e">
        <f>(BSPrice($B56*1.2,$J56,$K56,$C56,($I56-#REF!)/365,$G56,$H56,$D56)-BSPrice($B56,$J56,$K56,$C56,($I56-#REF!)/365,$G56,$H56,$D56))*$F56</f>
        <v>#NAME?</v>
      </c>
      <c r="AJ56" s="54" t="e">
        <f>(BSPrice($B56,$J56-0.1,$K56,$C56,($I56-#REF!)/365,$G56,$H56,$D56)-BSPrice($B56,$J56,$K56,$C56,($I56-#REF!)/365,$G56,$H56,$D56))*$F56</f>
        <v>#NAME?</v>
      </c>
      <c r="AK56" s="54" t="e">
        <f>(BSPrice($B56,$J56-0.05,$K56,$C56,($I56-#REF!)/365,$G56,$H56,$D56)-BSPrice($B56,$J56,$K56,$C56,($I56-#REF!)/365,$G56,$H56,$D56))*$F56</f>
        <v>#NAME?</v>
      </c>
      <c r="AL56" s="54" t="e">
        <f>(BSPrice($B56,$J56-0.02,$K56,$C56,($I56-#REF!)/365,$G56,$H56,$D56)-BSPrice($B56,$J56,$K56,$C56,($I56-#REF!)/365,$G56,$H56,$D56))*$F56</f>
        <v>#NAME?</v>
      </c>
      <c r="AM56" s="54" t="e">
        <f>(BSPrice($B56,$J56-0.01,$K56,$C56,($I56-#REF!)/365,$G56,$H56,$D56)-BSPrice($B56,$J56,$K56,$C56,($I56-#REF!)/365,$G56,$H56,$D56))*$F56</f>
        <v>#NAME?</v>
      </c>
      <c r="AN56" s="54" t="e">
        <f>(BSPrice($B56,$J56+0.01,$K56,$C56,($I56-#REF!)/365,$G56,$H56,$D56)-BSPrice($B56,$J56,$K56,$C56,($I56-#REF!)/365,$G56,$H56,$D56))*$F56</f>
        <v>#NAME?</v>
      </c>
      <c r="AO56" s="54" t="e">
        <f>(BSPrice($B56,$J56+0.02,$K56,$C56,($I56-#REF!)/365,$G56,$H56,$D56)-BSPrice($B56,$J56,$K56,$C56,($I56-#REF!)/365,$G56,$H56,$D56))*$F56</f>
        <v>#NAME?</v>
      </c>
      <c r="AP56" s="54" t="e">
        <f>(BSPrice($B56,$J56+0.05,$K56,$C56,($I56-#REF!)/365,$G56,$H56,$D56)-BSPrice($B56,$J56,$K56,$C56,($I56-#REF!)/365,$G56,$H56,$D56))*$F56</f>
        <v>#NAME?</v>
      </c>
      <c r="AQ56" s="54" t="e">
        <f>(BSPrice($B56,$J56+0.1,$K56,$C56,($I56-#REF!)/365,$G56,$H56,$D56)-BSPrice($B56,$J56,$K56,$C56,($I56-#REF!)/365,$G56,$H56,$D56))*$F56</f>
        <v>#NAME?</v>
      </c>
    </row>
    <row r="57" spans="1:43">
      <c r="A57" s="67" t="s">
        <v>1</v>
      </c>
      <c r="B57" s="44">
        <f>VLOOKUP(A57,PriceData!$K$4:$L$6,2,FALSE)</f>
        <v>2905</v>
      </c>
      <c r="C57" s="45">
        <f>VLOOKUP(A57,PriceData!$K$4:$M$6,3,FALSE)</f>
        <v>0.022</v>
      </c>
      <c r="D57" s="44" t="s">
        <v>56</v>
      </c>
      <c r="E57" s="44" t="s">
        <v>62</v>
      </c>
      <c r="F57" s="44">
        <v>-20</v>
      </c>
      <c r="G57" s="44">
        <v>2731</v>
      </c>
      <c r="H57" s="44" t="s">
        <v>57</v>
      </c>
      <c r="I57" s="68">
        <v>40438</v>
      </c>
      <c r="J57" s="45">
        <f>FindImpliedVol(A57,D57,G57,I57)</f>
        <v>0.368635903057377</v>
      </c>
      <c r="K57" s="69">
        <f>VLOOKUP(I57,PriceData!$A$5:$D$7,MATCH($E57,PriceData!$A$4:$D$4,0),FALSE)</f>
        <v>0.025</v>
      </c>
      <c r="L57" s="52" t="e">
        <f>BSPrice($B57,$J57,$K57,$C57,($I57-#REF!)/365,$G57,$H57,$D57)</f>
        <v>#NAME?</v>
      </c>
      <c r="M57" s="52" t="e">
        <f t="shared" si="0"/>
        <v>#NAME?</v>
      </c>
      <c r="N57" s="44" t="s">
        <v>55</v>
      </c>
      <c r="P57" s="49" t="e">
        <f>BSDelta(B57,J57,K57,C57,(I57-#REF!)/365,G57,H57,D57)</f>
        <v>#NAME?</v>
      </c>
      <c r="Q57" s="49" t="e">
        <f>BSGamma(B57,J57,K57,C57,(I57-#REF!)/365,G57,D57)</f>
        <v>#NAME?</v>
      </c>
      <c r="R57" s="51" t="e">
        <f>BSVega(B57,J57,K57,C57,(I57-#REF!)/365,G57,D57)</f>
        <v>#NAME?</v>
      </c>
      <c r="S57" s="51" t="e">
        <f>BSVolga(B57,J57,K57,C57,(I57-#REF!)/365,G57,D57)</f>
        <v>#NAME?</v>
      </c>
      <c r="T57" s="51" t="e">
        <f>BSTheta(B57,J57,K57,C57,(I57-#REF!)/365,G57,H57,D57)</f>
        <v>#NAME?</v>
      </c>
      <c r="U57" s="52" t="e">
        <f>BSRho(B57,J57,K57,C57,(I57-#REF!)/365,G57,H57,D57)</f>
        <v>#NAME?</v>
      </c>
      <c r="V57" s="70" t="e">
        <f t="shared" si="1"/>
        <v>#NAME?</v>
      </c>
      <c r="W57" s="70" t="e">
        <f t="shared" si="2"/>
        <v>#NAME?</v>
      </c>
      <c r="X57" s="54" t="e">
        <f t="shared" si="3"/>
        <v>#NAME?</v>
      </c>
      <c r="Y57" s="54" t="e">
        <f t="shared" si="4"/>
        <v>#NAME?</v>
      </c>
      <c r="Z57" s="54" t="e">
        <f t="shared" si="5"/>
        <v>#NAME?</v>
      </c>
      <c r="AA57" s="54" t="e">
        <f t="shared" si="6"/>
        <v>#NAME?</v>
      </c>
      <c r="AB57" s="54" t="e">
        <f>(BSPrice($B57*0.8,$J57,$K57,$C57,($I57-#REF!)/365,$G57,$H57,$D57)-BSPrice($B57,$J57,$K57,$C57,($I57-#REF!)/365,$G57,$H57,$D57))*$F57</f>
        <v>#NAME?</v>
      </c>
      <c r="AC57" s="54" t="e">
        <f>(BSPrice($B57*0.9,$J57,$K57,$C57,($I57-#REF!)/365,$G57,$H57,$D57)-BSPrice($B57,$J57,$K57,$C57,($I57-#REF!)/365,$G57,$H57,$D57))*$F57</f>
        <v>#NAME?</v>
      </c>
      <c r="AD57" s="54" t="e">
        <f>(BSPrice($B57*0.95,$J57,$K57,$C57,($I57-#REF!)/365,$G57,$H57,$D57)-BSPrice($B57,$J57,$K57,$C57,($I57-#REF!)/365,$G57,$H57,$D57))*$F57</f>
        <v>#NAME?</v>
      </c>
      <c r="AE57" s="54" t="e">
        <f>(BSPrice($B57*0.98,$J57,$K57,$C57,($I57-#REF!)/365,$G57,$H57,$D57)-BSPrice($B57,$J57,$K57,$C57,($I57-#REF!)/365,$G57,$H57,$D57))*$F57</f>
        <v>#NAME?</v>
      </c>
      <c r="AF57" s="54" t="e">
        <f>(BSPrice($B57*1.02,$J57,$K57,$C57,($I57-#REF!)/365,$G57,$H57,$D57)-BSPrice($B57,$J57,$K57,$C57,($I57-#REF!)/365,$G57,$H57,$D57))*$F57</f>
        <v>#NAME?</v>
      </c>
      <c r="AG57" s="54" t="e">
        <f>(BSPrice($B57*1.05,$J57,$K57,$C57,($I57-#REF!)/365,$G57,$H57,$D57)-BSPrice($B57,$J57,$K57,$C57,($I57-#REF!)/365,$G57,$H57,$D57))*$F57</f>
        <v>#NAME?</v>
      </c>
      <c r="AH57" s="54" t="e">
        <f>(BSPrice($B57*1.1,$J57,$K57,$C57,($I57-#REF!)/365,$G57,$H57,$D57)-BSPrice($B57,$J57,$K57,$C57,($I57-#REF!)/365,$G57,$H57,$D57))*$F57</f>
        <v>#NAME?</v>
      </c>
      <c r="AI57" s="54" t="e">
        <f>(BSPrice($B57*1.2,$J57,$K57,$C57,($I57-#REF!)/365,$G57,$H57,$D57)-BSPrice($B57,$J57,$K57,$C57,($I57-#REF!)/365,$G57,$H57,$D57))*$F57</f>
        <v>#NAME?</v>
      </c>
      <c r="AJ57" s="54" t="e">
        <f>(BSPrice($B57,$J57-0.1,$K57,$C57,($I57-#REF!)/365,$G57,$H57,$D57)-BSPrice($B57,$J57,$K57,$C57,($I57-#REF!)/365,$G57,$H57,$D57))*$F57</f>
        <v>#NAME?</v>
      </c>
      <c r="AK57" s="54" t="e">
        <f>(BSPrice($B57,$J57-0.05,$K57,$C57,($I57-#REF!)/365,$G57,$H57,$D57)-BSPrice($B57,$J57,$K57,$C57,($I57-#REF!)/365,$G57,$H57,$D57))*$F57</f>
        <v>#NAME?</v>
      </c>
      <c r="AL57" s="54" t="e">
        <f>(BSPrice($B57,$J57-0.02,$K57,$C57,($I57-#REF!)/365,$G57,$H57,$D57)-BSPrice($B57,$J57,$K57,$C57,($I57-#REF!)/365,$G57,$H57,$D57))*$F57</f>
        <v>#NAME?</v>
      </c>
      <c r="AM57" s="54" t="e">
        <f>(BSPrice($B57,$J57-0.01,$K57,$C57,($I57-#REF!)/365,$G57,$H57,$D57)-BSPrice($B57,$J57,$K57,$C57,($I57-#REF!)/365,$G57,$H57,$D57))*$F57</f>
        <v>#NAME?</v>
      </c>
      <c r="AN57" s="54" t="e">
        <f>(BSPrice($B57,$J57+0.01,$K57,$C57,($I57-#REF!)/365,$G57,$H57,$D57)-BSPrice($B57,$J57,$K57,$C57,($I57-#REF!)/365,$G57,$H57,$D57))*$F57</f>
        <v>#NAME?</v>
      </c>
      <c r="AO57" s="54" t="e">
        <f>(BSPrice($B57,$J57+0.02,$K57,$C57,($I57-#REF!)/365,$G57,$H57,$D57)-BSPrice($B57,$J57,$K57,$C57,($I57-#REF!)/365,$G57,$H57,$D57))*$F57</f>
        <v>#NAME?</v>
      </c>
      <c r="AP57" s="54" t="e">
        <f>(BSPrice($B57,$J57+0.05,$K57,$C57,($I57-#REF!)/365,$G57,$H57,$D57)-BSPrice($B57,$J57,$K57,$C57,($I57-#REF!)/365,$G57,$H57,$D57))*$F57</f>
        <v>#NAME?</v>
      </c>
      <c r="AQ57" s="54" t="e">
        <f>(BSPrice($B57,$J57+0.1,$K57,$C57,($I57-#REF!)/365,$G57,$H57,$D57)-BSPrice($B57,$J57,$K57,$C57,($I57-#REF!)/365,$G57,$H57,$D57))*$F57</f>
        <v>#NAME?</v>
      </c>
    </row>
    <row r="58" spans="1:43">
      <c r="A58" s="67" t="s">
        <v>1</v>
      </c>
      <c r="B58" s="44">
        <f>VLOOKUP(A58,PriceData!$K$4:$L$6,2,FALSE)</f>
        <v>2905</v>
      </c>
      <c r="C58" s="45">
        <f>VLOOKUP(A58,PriceData!$K$4:$M$6,3,FALSE)</f>
        <v>0.022</v>
      </c>
      <c r="D58" s="44" t="s">
        <v>56</v>
      </c>
      <c r="E58" s="44" t="s">
        <v>62</v>
      </c>
      <c r="F58" s="44">
        <v>5</v>
      </c>
      <c r="G58" s="44">
        <v>2556</v>
      </c>
      <c r="H58" s="44" t="s">
        <v>57</v>
      </c>
      <c r="I58" s="68">
        <v>40438</v>
      </c>
      <c r="J58" s="45">
        <f>FindImpliedVol(A58,D58,G58,I58)</f>
        <v>0.423338439302555</v>
      </c>
      <c r="K58" s="69">
        <f>VLOOKUP(I58,PriceData!$A$5:$D$7,MATCH($E58,PriceData!$A$4:$D$4,0),FALSE)</f>
        <v>0.025</v>
      </c>
      <c r="L58" s="52" t="e">
        <f>BSPrice($B58,$J58,$K58,$C58,($I58-#REF!)/365,$G58,$H58,$D58)</f>
        <v>#NAME?</v>
      </c>
      <c r="M58" s="52" t="e">
        <f t="shared" si="0"/>
        <v>#NAME?</v>
      </c>
      <c r="N58" s="44" t="s">
        <v>61</v>
      </c>
      <c r="P58" s="49" t="e">
        <f>BSDelta(B58,J58,K58,C58,(I58-#REF!)/365,G58,H58,D58)</f>
        <v>#NAME?</v>
      </c>
      <c r="Q58" s="49" t="e">
        <f>BSGamma(B58,J58,K58,C58,(I58-#REF!)/365,G58,D58)</f>
        <v>#NAME?</v>
      </c>
      <c r="R58" s="51" t="e">
        <f>BSVega(B58,J58,K58,C58,(I58-#REF!)/365,G58,D58)</f>
        <v>#NAME?</v>
      </c>
      <c r="S58" s="51" t="e">
        <f>BSVolga(B58,J58,K58,C58,(I58-#REF!)/365,G58,D58)</f>
        <v>#NAME?</v>
      </c>
      <c r="T58" s="51" t="e">
        <f>BSTheta(B58,J58,K58,C58,(I58-#REF!)/365,G58,H58,D58)</f>
        <v>#NAME?</v>
      </c>
      <c r="U58" s="52" t="e">
        <f>BSRho(B58,J58,K58,C58,(I58-#REF!)/365,G58,H58,D58)</f>
        <v>#NAME?</v>
      </c>
      <c r="V58" s="70" t="e">
        <f t="shared" si="1"/>
        <v>#NAME?</v>
      </c>
      <c r="W58" s="70" t="e">
        <f t="shared" si="2"/>
        <v>#NAME?</v>
      </c>
      <c r="X58" s="54" t="e">
        <f t="shared" si="3"/>
        <v>#NAME?</v>
      </c>
      <c r="Y58" s="54" t="e">
        <f t="shared" si="4"/>
        <v>#NAME?</v>
      </c>
      <c r="Z58" s="54" t="e">
        <f t="shared" si="5"/>
        <v>#NAME?</v>
      </c>
      <c r="AA58" s="54" t="e">
        <f t="shared" si="6"/>
        <v>#NAME?</v>
      </c>
      <c r="AB58" s="54" t="e">
        <f>(BSPrice($B58*0.8,$J58,$K58,$C58,($I58-#REF!)/365,$G58,$H58,$D58)-BSPrice($B58,$J58,$K58,$C58,($I58-#REF!)/365,$G58,$H58,$D58))*$F58</f>
        <v>#NAME?</v>
      </c>
      <c r="AC58" s="54" t="e">
        <f>(BSPrice($B58*0.9,$J58,$K58,$C58,($I58-#REF!)/365,$G58,$H58,$D58)-BSPrice($B58,$J58,$K58,$C58,($I58-#REF!)/365,$G58,$H58,$D58))*$F58</f>
        <v>#NAME?</v>
      </c>
      <c r="AD58" s="54" t="e">
        <f>(BSPrice($B58*0.95,$J58,$K58,$C58,($I58-#REF!)/365,$G58,$H58,$D58)-BSPrice($B58,$J58,$K58,$C58,($I58-#REF!)/365,$G58,$H58,$D58))*$F58</f>
        <v>#NAME?</v>
      </c>
      <c r="AE58" s="54" t="e">
        <f>(BSPrice($B58*0.98,$J58,$K58,$C58,($I58-#REF!)/365,$G58,$H58,$D58)-BSPrice($B58,$J58,$K58,$C58,($I58-#REF!)/365,$G58,$H58,$D58))*$F58</f>
        <v>#NAME?</v>
      </c>
      <c r="AF58" s="54" t="e">
        <f>(BSPrice($B58*1.02,$J58,$K58,$C58,($I58-#REF!)/365,$G58,$H58,$D58)-BSPrice($B58,$J58,$K58,$C58,($I58-#REF!)/365,$G58,$H58,$D58))*$F58</f>
        <v>#NAME?</v>
      </c>
      <c r="AG58" s="54" t="e">
        <f>(BSPrice($B58*1.05,$J58,$K58,$C58,($I58-#REF!)/365,$G58,$H58,$D58)-BSPrice($B58,$J58,$K58,$C58,($I58-#REF!)/365,$G58,$H58,$D58))*$F58</f>
        <v>#NAME?</v>
      </c>
      <c r="AH58" s="54" t="e">
        <f>(BSPrice($B58*1.1,$J58,$K58,$C58,($I58-#REF!)/365,$G58,$H58,$D58)-BSPrice($B58,$J58,$K58,$C58,($I58-#REF!)/365,$G58,$H58,$D58))*$F58</f>
        <v>#NAME?</v>
      </c>
      <c r="AI58" s="54" t="e">
        <f>(BSPrice($B58*1.2,$J58,$K58,$C58,($I58-#REF!)/365,$G58,$H58,$D58)-BSPrice($B58,$J58,$K58,$C58,($I58-#REF!)/365,$G58,$H58,$D58))*$F58</f>
        <v>#NAME?</v>
      </c>
      <c r="AJ58" s="54" t="e">
        <f>(BSPrice($B58,$J58-0.1,$K58,$C58,($I58-#REF!)/365,$G58,$H58,$D58)-BSPrice($B58,$J58,$K58,$C58,($I58-#REF!)/365,$G58,$H58,$D58))*$F58</f>
        <v>#NAME?</v>
      </c>
      <c r="AK58" s="54" t="e">
        <f>(BSPrice($B58,$J58-0.05,$K58,$C58,($I58-#REF!)/365,$G58,$H58,$D58)-BSPrice($B58,$J58,$K58,$C58,($I58-#REF!)/365,$G58,$H58,$D58))*$F58</f>
        <v>#NAME?</v>
      </c>
      <c r="AL58" s="54" t="e">
        <f>(BSPrice($B58,$J58-0.02,$K58,$C58,($I58-#REF!)/365,$G58,$H58,$D58)-BSPrice($B58,$J58,$K58,$C58,($I58-#REF!)/365,$G58,$H58,$D58))*$F58</f>
        <v>#NAME?</v>
      </c>
      <c r="AM58" s="54" t="e">
        <f>(BSPrice($B58,$J58-0.01,$K58,$C58,($I58-#REF!)/365,$G58,$H58,$D58)-BSPrice($B58,$J58,$K58,$C58,($I58-#REF!)/365,$G58,$H58,$D58))*$F58</f>
        <v>#NAME?</v>
      </c>
      <c r="AN58" s="54" t="e">
        <f>(BSPrice($B58,$J58+0.01,$K58,$C58,($I58-#REF!)/365,$G58,$H58,$D58)-BSPrice($B58,$J58,$K58,$C58,($I58-#REF!)/365,$G58,$H58,$D58))*$F58</f>
        <v>#NAME?</v>
      </c>
      <c r="AO58" s="54" t="e">
        <f>(BSPrice($B58,$J58+0.02,$K58,$C58,($I58-#REF!)/365,$G58,$H58,$D58)-BSPrice($B58,$J58,$K58,$C58,($I58-#REF!)/365,$G58,$H58,$D58))*$F58</f>
        <v>#NAME?</v>
      </c>
      <c r="AP58" s="54" t="e">
        <f>(BSPrice($B58,$J58+0.05,$K58,$C58,($I58-#REF!)/365,$G58,$H58,$D58)-BSPrice($B58,$J58,$K58,$C58,($I58-#REF!)/365,$G58,$H58,$D58))*$F58</f>
        <v>#NAME?</v>
      </c>
      <c r="AQ58" s="54" t="e">
        <f>(BSPrice($B58,$J58+0.1,$K58,$C58,($I58-#REF!)/365,$G58,$H58,$D58)-BSPrice($B58,$J58,$K58,$C58,($I58-#REF!)/365,$G58,$H58,$D58))*$F58</f>
        <v>#NAME?</v>
      </c>
    </row>
    <row r="59" spans="1:43">
      <c r="A59" s="67" t="s">
        <v>64</v>
      </c>
      <c r="B59" s="44">
        <f>VLOOKUP(A59,PriceData!$K$4:$L$6,2,FALSE)</f>
        <v>10022</v>
      </c>
      <c r="C59" s="45">
        <f>VLOOKUP(A59,PriceData!$K$4:$M$6,3,FALSE)</f>
        <v>0.005</v>
      </c>
      <c r="D59" s="44" t="s">
        <v>53</v>
      </c>
      <c r="E59" s="44" t="s">
        <v>65</v>
      </c>
      <c r="F59" s="44">
        <v>-10</v>
      </c>
      <c r="H59" s="44"/>
      <c r="I59" s="68">
        <v>40256</v>
      </c>
      <c r="J59" s="45"/>
      <c r="K59" s="69"/>
      <c r="L59" s="52" t="e">
        <f>BSPrice($B59,$J59,$K59,$C59,($I59-#REF!)/365,$G59,$H59,$D59)</f>
        <v>#NAME?</v>
      </c>
      <c r="M59" s="52" t="e">
        <f t="shared" si="0"/>
        <v>#NAME?</v>
      </c>
      <c r="N59" s="44" t="s">
        <v>55</v>
      </c>
      <c r="P59" s="49" t="e">
        <f>BSDelta(B59,J59,K59,C59,(I59-#REF!)/365,G59,H59,D59)</f>
        <v>#NAME?</v>
      </c>
      <c r="Q59" s="49" t="e">
        <f>BSGamma(B59,J59,K59,C59,(I59-#REF!)/365,G59,D59)</f>
        <v>#NAME?</v>
      </c>
      <c r="R59" s="51" t="e">
        <f>BSVega(B59,J59,K59,C59,(I59-#REF!)/365,G59,D59)</f>
        <v>#NAME?</v>
      </c>
      <c r="S59" s="51" t="e">
        <f>BSVolga(B59,J59,K59,C59,(I59-#REF!)/365,G59,D59)</f>
        <v>#NAME?</v>
      </c>
      <c r="T59" s="51" t="e">
        <f>BSTheta(B59,J59,K59,C59,(I59-#REF!)/365,G59,H59,D59)</f>
        <v>#NAME?</v>
      </c>
      <c r="U59" s="52" t="e">
        <f>BSRho(B59,J59,K59,C59,(I59-#REF!)/365,G59,H59,D59)</f>
        <v>#NAME?</v>
      </c>
      <c r="V59" s="70" t="e">
        <f t="shared" si="1"/>
        <v>#NAME?</v>
      </c>
      <c r="W59" s="70" t="e">
        <f t="shared" si="2"/>
        <v>#NAME?</v>
      </c>
      <c r="X59" s="54" t="e">
        <f t="shared" si="3"/>
        <v>#NAME?</v>
      </c>
      <c r="Y59" s="54" t="e">
        <f t="shared" si="4"/>
        <v>#NAME?</v>
      </c>
      <c r="Z59" s="54" t="e">
        <f t="shared" si="5"/>
        <v>#NAME?</v>
      </c>
      <c r="AA59" s="54" t="e">
        <f t="shared" si="6"/>
        <v>#NAME?</v>
      </c>
      <c r="AB59" s="54" t="e">
        <f>(BSPrice($B59*0.8,$J59,$K59,$C59,($I59-#REF!)/365,$G59,$H59,$D59)-BSPrice($B59,$J59,$K59,$C59,($I59-#REF!)/365,$G59,$H59,$D59))*$F59</f>
        <v>#NAME?</v>
      </c>
      <c r="AC59" s="54" t="e">
        <f>(BSPrice($B59*0.9,$J59,$K59,$C59,($I59-#REF!)/365,$G59,$H59,$D59)-BSPrice($B59,$J59,$K59,$C59,($I59-#REF!)/365,$G59,$H59,$D59))*$F59</f>
        <v>#NAME?</v>
      </c>
      <c r="AD59" s="54" t="e">
        <f>(BSPrice($B59*0.95,$J59,$K59,$C59,($I59-#REF!)/365,$G59,$H59,$D59)-BSPrice($B59,$J59,$K59,$C59,($I59-#REF!)/365,$G59,$H59,$D59))*$F59</f>
        <v>#NAME?</v>
      </c>
      <c r="AE59" s="54" t="e">
        <f>(BSPrice($B59*0.98,$J59,$K59,$C59,($I59-#REF!)/365,$G59,$H59,$D59)-BSPrice($B59,$J59,$K59,$C59,($I59-#REF!)/365,$G59,$H59,$D59))*$F59</f>
        <v>#NAME?</v>
      </c>
      <c r="AF59" s="54" t="e">
        <f>(BSPrice($B59*1.02,$J59,$K59,$C59,($I59-#REF!)/365,$G59,$H59,$D59)-BSPrice($B59,$J59,$K59,$C59,($I59-#REF!)/365,$G59,$H59,$D59))*$F59</f>
        <v>#NAME?</v>
      </c>
      <c r="AG59" s="54" t="e">
        <f>(BSPrice($B59*1.05,$J59,$K59,$C59,($I59-#REF!)/365,$G59,$H59,$D59)-BSPrice($B59,$J59,$K59,$C59,($I59-#REF!)/365,$G59,$H59,$D59))*$F59</f>
        <v>#NAME?</v>
      </c>
      <c r="AH59" s="54" t="e">
        <f>(BSPrice($B59*1.1,$J59,$K59,$C59,($I59-#REF!)/365,$G59,$H59,$D59)-BSPrice($B59,$J59,$K59,$C59,($I59-#REF!)/365,$G59,$H59,$D59))*$F59</f>
        <v>#NAME?</v>
      </c>
      <c r="AI59" s="54" t="e">
        <f>(BSPrice($B59*1.2,$J59,$K59,$C59,($I59-#REF!)/365,$G59,$H59,$D59)-BSPrice($B59,$J59,$K59,$C59,($I59-#REF!)/365,$G59,$H59,$D59))*$F59</f>
        <v>#NAME?</v>
      </c>
      <c r="AJ59" s="54" t="e">
        <f>(BSPrice($B59,$J59-0.1,$K59,$C59,($I59-#REF!)/365,$G59,$H59,$D59)-BSPrice($B59,$J59,$K59,$C59,($I59-#REF!)/365,$G59,$H59,$D59))*$F59</f>
        <v>#NAME?</v>
      </c>
      <c r="AK59" s="54" t="e">
        <f>(BSPrice($B59,$J59-0.05,$K59,$C59,($I59-#REF!)/365,$G59,$H59,$D59)-BSPrice($B59,$J59,$K59,$C59,($I59-#REF!)/365,$G59,$H59,$D59))*$F59</f>
        <v>#NAME?</v>
      </c>
      <c r="AL59" s="54" t="e">
        <f>(BSPrice($B59,$J59-0.02,$K59,$C59,($I59-#REF!)/365,$G59,$H59,$D59)-BSPrice($B59,$J59,$K59,$C59,($I59-#REF!)/365,$G59,$H59,$D59))*$F59</f>
        <v>#NAME?</v>
      </c>
      <c r="AM59" s="54" t="e">
        <f>(BSPrice($B59,$J59-0.01,$K59,$C59,($I59-#REF!)/365,$G59,$H59,$D59)-BSPrice($B59,$J59,$K59,$C59,($I59-#REF!)/365,$G59,$H59,$D59))*$F59</f>
        <v>#NAME?</v>
      </c>
      <c r="AN59" s="54" t="e">
        <f>(BSPrice($B59,$J59+0.01,$K59,$C59,($I59-#REF!)/365,$G59,$H59,$D59)-BSPrice($B59,$J59,$K59,$C59,($I59-#REF!)/365,$G59,$H59,$D59))*$F59</f>
        <v>#NAME?</v>
      </c>
      <c r="AO59" s="54" t="e">
        <f>(BSPrice($B59,$J59+0.02,$K59,$C59,($I59-#REF!)/365,$G59,$H59,$D59)-BSPrice($B59,$J59,$K59,$C59,($I59-#REF!)/365,$G59,$H59,$D59))*$F59</f>
        <v>#NAME?</v>
      </c>
      <c r="AP59" s="54" t="e">
        <f>(BSPrice($B59,$J59+0.05,$K59,$C59,($I59-#REF!)/365,$G59,$H59,$D59)-BSPrice($B59,$J59,$K59,$C59,($I59-#REF!)/365,$G59,$H59,$D59))*$F59</f>
        <v>#NAME?</v>
      </c>
      <c r="AQ59" s="54" t="e">
        <f>(BSPrice($B59,$J59+0.1,$K59,$C59,($I59-#REF!)/365,$G59,$H59,$D59)-BSPrice($B59,$J59,$K59,$C59,($I59-#REF!)/365,$G59,$H59,$D59))*$F59</f>
        <v>#NAME?</v>
      </c>
    </row>
    <row r="60" spans="1:43">
      <c r="A60" s="67" t="s">
        <v>64</v>
      </c>
      <c r="B60" s="44">
        <f>VLOOKUP(A60,PriceData!$K$4:$L$6,2,FALSE)</f>
        <v>10022</v>
      </c>
      <c r="C60" s="45">
        <f>VLOOKUP(A60,PriceData!$K$4:$M$6,3,FALSE)</f>
        <v>0.005</v>
      </c>
      <c r="D60" s="44" t="s">
        <v>56</v>
      </c>
      <c r="E60" s="44" t="s">
        <v>65</v>
      </c>
      <c r="F60" s="44">
        <v>-20</v>
      </c>
      <c r="G60">
        <v>10022</v>
      </c>
      <c r="H60" s="44" t="s">
        <v>59</v>
      </c>
      <c r="I60" s="68">
        <v>40256</v>
      </c>
      <c r="J60" s="45">
        <f>FindImpliedVol(A60,D60,G60,I60)</f>
        <v>0.41</v>
      </c>
      <c r="K60" s="69">
        <f>VLOOKUP(I60,PriceData!$A$5:$D$7,MATCH($E60,PriceData!$A$4:$D$4,0),FALSE)</f>
        <v>0.005</v>
      </c>
      <c r="L60" s="52" t="e">
        <f>BSPrice($B60,$J60,$K60,$C60,($I60-#REF!)/365,$G60,$H60,$D60)</f>
        <v>#NAME?</v>
      </c>
      <c r="M60" s="52" t="e">
        <f t="shared" si="0"/>
        <v>#NAME?</v>
      </c>
      <c r="N60" s="44" t="s">
        <v>55</v>
      </c>
      <c r="P60" s="49" t="e">
        <f>BSDelta(B60,J60,K60,C60,(I60-#REF!)/365,G60,H60,D60)</f>
        <v>#NAME?</v>
      </c>
      <c r="Q60" s="49" t="e">
        <f>BSGamma(B60,J60,K60,C60,(I60-#REF!)/365,G60,D60)</f>
        <v>#NAME?</v>
      </c>
      <c r="R60" s="51" t="e">
        <f>BSVega(B60,J60,K60,C60,(I60-#REF!)/365,G60,D60)</f>
        <v>#NAME?</v>
      </c>
      <c r="S60" s="51" t="e">
        <f>BSVolga(B60,J60,K60,C60,(I60-#REF!)/365,G60,D60)</f>
        <v>#NAME?</v>
      </c>
      <c r="T60" s="51" t="e">
        <f>BSTheta(B60,J60,K60,C60,(I60-#REF!)/365,G60,H60,D60)</f>
        <v>#NAME?</v>
      </c>
      <c r="U60" s="52" t="e">
        <f>BSRho(B60,J60,K60,C60,(I60-#REF!)/365,G60,H60,D60)</f>
        <v>#NAME?</v>
      </c>
      <c r="V60" s="70" t="e">
        <f t="shared" si="1"/>
        <v>#NAME?</v>
      </c>
      <c r="W60" s="70" t="e">
        <f t="shared" si="2"/>
        <v>#NAME?</v>
      </c>
      <c r="X60" s="54" t="e">
        <f t="shared" si="3"/>
        <v>#NAME?</v>
      </c>
      <c r="Y60" s="54" t="e">
        <f t="shared" si="4"/>
        <v>#NAME?</v>
      </c>
      <c r="Z60" s="54" t="e">
        <f t="shared" si="5"/>
        <v>#NAME?</v>
      </c>
      <c r="AA60" s="54" t="e">
        <f t="shared" si="6"/>
        <v>#NAME?</v>
      </c>
      <c r="AB60" s="54" t="e">
        <f>(BSPrice($B60*0.8,$J60,$K60,$C60,($I60-#REF!)/365,$G60,$H60,$D60)-BSPrice($B60,$J60,$K60,$C60,($I60-#REF!)/365,$G60,$H60,$D60))*$F60</f>
        <v>#NAME?</v>
      </c>
      <c r="AC60" s="54" t="e">
        <f>(BSPrice($B60*0.9,$J60,$K60,$C60,($I60-#REF!)/365,$G60,$H60,$D60)-BSPrice($B60,$J60,$K60,$C60,($I60-#REF!)/365,$G60,$H60,$D60))*$F60</f>
        <v>#NAME?</v>
      </c>
      <c r="AD60" s="54" t="e">
        <f>(BSPrice($B60*0.95,$J60,$K60,$C60,($I60-#REF!)/365,$G60,$H60,$D60)-BSPrice($B60,$J60,$K60,$C60,($I60-#REF!)/365,$G60,$H60,$D60))*$F60</f>
        <v>#NAME?</v>
      </c>
      <c r="AE60" s="54" t="e">
        <f>(BSPrice($B60*0.98,$J60,$K60,$C60,($I60-#REF!)/365,$G60,$H60,$D60)-BSPrice($B60,$J60,$K60,$C60,($I60-#REF!)/365,$G60,$H60,$D60))*$F60</f>
        <v>#NAME?</v>
      </c>
      <c r="AF60" s="54" t="e">
        <f>(BSPrice($B60*1.02,$J60,$K60,$C60,($I60-#REF!)/365,$G60,$H60,$D60)-BSPrice($B60,$J60,$K60,$C60,($I60-#REF!)/365,$G60,$H60,$D60))*$F60</f>
        <v>#NAME?</v>
      </c>
      <c r="AG60" s="54" t="e">
        <f>(BSPrice($B60*1.05,$J60,$K60,$C60,($I60-#REF!)/365,$G60,$H60,$D60)-BSPrice($B60,$J60,$K60,$C60,($I60-#REF!)/365,$G60,$H60,$D60))*$F60</f>
        <v>#NAME?</v>
      </c>
      <c r="AH60" s="54" t="e">
        <f>(BSPrice($B60*1.1,$J60,$K60,$C60,($I60-#REF!)/365,$G60,$H60,$D60)-BSPrice($B60,$J60,$K60,$C60,($I60-#REF!)/365,$G60,$H60,$D60))*$F60</f>
        <v>#NAME?</v>
      </c>
      <c r="AI60" s="54" t="e">
        <f>(BSPrice($B60*1.2,$J60,$K60,$C60,($I60-#REF!)/365,$G60,$H60,$D60)-BSPrice($B60,$J60,$K60,$C60,($I60-#REF!)/365,$G60,$H60,$D60))*$F60</f>
        <v>#NAME?</v>
      </c>
      <c r="AJ60" s="54" t="e">
        <f>(BSPrice($B60,$J60-0.1,$K60,$C60,($I60-#REF!)/365,$G60,$H60,$D60)-BSPrice($B60,$J60,$K60,$C60,($I60-#REF!)/365,$G60,$H60,$D60))*$F60</f>
        <v>#NAME?</v>
      </c>
      <c r="AK60" s="54" t="e">
        <f>(BSPrice($B60,$J60-0.05,$K60,$C60,($I60-#REF!)/365,$G60,$H60,$D60)-BSPrice($B60,$J60,$K60,$C60,($I60-#REF!)/365,$G60,$H60,$D60))*$F60</f>
        <v>#NAME?</v>
      </c>
      <c r="AL60" s="54" t="e">
        <f>(BSPrice($B60,$J60-0.02,$K60,$C60,($I60-#REF!)/365,$G60,$H60,$D60)-BSPrice($B60,$J60,$K60,$C60,($I60-#REF!)/365,$G60,$H60,$D60))*$F60</f>
        <v>#NAME?</v>
      </c>
      <c r="AM60" s="54" t="e">
        <f>(BSPrice($B60,$J60-0.01,$K60,$C60,($I60-#REF!)/365,$G60,$H60,$D60)-BSPrice($B60,$J60,$K60,$C60,($I60-#REF!)/365,$G60,$H60,$D60))*$F60</f>
        <v>#NAME?</v>
      </c>
      <c r="AN60" s="54" t="e">
        <f>(BSPrice($B60,$J60+0.01,$K60,$C60,($I60-#REF!)/365,$G60,$H60,$D60)-BSPrice($B60,$J60,$K60,$C60,($I60-#REF!)/365,$G60,$H60,$D60))*$F60</f>
        <v>#NAME?</v>
      </c>
      <c r="AO60" s="54" t="e">
        <f>(BSPrice($B60,$J60+0.02,$K60,$C60,($I60-#REF!)/365,$G60,$H60,$D60)-BSPrice($B60,$J60,$K60,$C60,($I60-#REF!)/365,$G60,$H60,$D60))*$F60</f>
        <v>#NAME?</v>
      </c>
      <c r="AP60" s="54" t="e">
        <f>(BSPrice($B60,$J60+0.05,$K60,$C60,($I60-#REF!)/365,$G60,$H60,$D60)-BSPrice($B60,$J60,$K60,$C60,($I60-#REF!)/365,$G60,$H60,$D60))*$F60</f>
        <v>#NAME?</v>
      </c>
      <c r="AQ60" s="54" t="e">
        <f>(BSPrice($B60,$J60+0.1,$K60,$C60,($I60-#REF!)/365,$G60,$H60,$D60)-BSPrice($B60,$J60,$K60,$C60,($I60-#REF!)/365,$G60,$H60,$D60))*$F60</f>
        <v>#NAME?</v>
      </c>
    </row>
    <row r="61" spans="1:43">
      <c r="A61" s="67" t="s">
        <v>64</v>
      </c>
      <c r="B61" s="44">
        <f>VLOOKUP(A61,PriceData!$K$4:$L$6,2,FALSE)</f>
        <v>10022</v>
      </c>
      <c r="C61" s="45">
        <f>VLOOKUP(A61,PriceData!$K$4:$M$6,3,FALSE)</f>
        <v>0.005</v>
      </c>
      <c r="D61" s="44" t="s">
        <v>56</v>
      </c>
      <c r="E61" s="44" t="s">
        <v>65</v>
      </c>
      <c r="F61" s="44">
        <v>-10</v>
      </c>
      <c r="G61">
        <v>9120</v>
      </c>
      <c r="H61" s="44" t="s">
        <v>57</v>
      </c>
      <c r="I61" s="68">
        <v>40256</v>
      </c>
      <c r="J61" s="45">
        <f>FindImpliedVol(A61,D61,G61,I61)</f>
        <v>0.472167740835595</v>
      </c>
      <c r="K61" s="69">
        <f>VLOOKUP(I61,PriceData!$A$5:$D$7,MATCH($E61,PriceData!$A$4:$D$4,0),FALSE)</f>
        <v>0.005</v>
      </c>
      <c r="L61" s="52" t="e">
        <f>BSPrice($B61,$J61,$K61,$C61,($I61-#REF!)/365,$G61,$H61,$D61)</f>
        <v>#NAME?</v>
      </c>
      <c r="M61" s="52" t="e">
        <f t="shared" si="0"/>
        <v>#NAME?</v>
      </c>
      <c r="N61" s="44" t="s">
        <v>55</v>
      </c>
      <c r="P61" s="49" t="e">
        <f>BSDelta(B61,J61,K61,C61,(I61-#REF!)/365,G61,H61,D61)</f>
        <v>#NAME?</v>
      </c>
      <c r="Q61" s="49" t="e">
        <f>BSGamma(B61,J61,K61,C61,(I61-#REF!)/365,G61,D61)</f>
        <v>#NAME?</v>
      </c>
      <c r="R61" s="51" t="e">
        <f>BSVega(B61,J61,K61,C61,(I61-#REF!)/365,G61,D61)</f>
        <v>#NAME?</v>
      </c>
      <c r="S61" s="51" t="e">
        <f>BSVolga(B61,J61,K61,C61,(I61-#REF!)/365,G61,D61)</f>
        <v>#NAME?</v>
      </c>
      <c r="T61" s="51" t="e">
        <f>BSTheta(B61,J61,K61,C61,(I61-#REF!)/365,G61,H61,D61)</f>
        <v>#NAME?</v>
      </c>
      <c r="U61" s="52" t="e">
        <f>BSRho(B61,J61,K61,C61,(I61-#REF!)/365,G61,H61,D61)</f>
        <v>#NAME?</v>
      </c>
      <c r="V61" s="70" t="e">
        <f t="shared" si="1"/>
        <v>#NAME?</v>
      </c>
      <c r="W61" s="70" t="e">
        <f t="shared" si="2"/>
        <v>#NAME?</v>
      </c>
      <c r="X61" s="54" t="e">
        <f t="shared" si="3"/>
        <v>#NAME?</v>
      </c>
      <c r="Y61" s="54" t="e">
        <f t="shared" si="4"/>
        <v>#NAME?</v>
      </c>
      <c r="Z61" s="54" t="e">
        <f t="shared" si="5"/>
        <v>#NAME?</v>
      </c>
      <c r="AA61" s="54" t="e">
        <f t="shared" si="6"/>
        <v>#NAME?</v>
      </c>
      <c r="AB61" s="54" t="e">
        <f>(BSPrice($B61*0.8,$J61,$K61,$C61,($I61-#REF!)/365,$G61,$H61,$D61)-BSPrice($B61,$J61,$K61,$C61,($I61-#REF!)/365,$G61,$H61,$D61))*$F61</f>
        <v>#NAME?</v>
      </c>
      <c r="AC61" s="54" t="e">
        <f>(BSPrice($B61*0.9,$J61,$K61,$C61,($I61-#REF!)/365,$G61,$H61,$D61)-BSPrice($B61,$J61,$K61,$C61,($I61-#REF!)/365,$G61,$H61,$D61))*$F61</f>
        <v>#NAME?</v>
      </c>
      <c r="AD61" s="54" t="e">
        <f>(BSPrice($B61*0.95,$J61,$K61,$C61,($I61-#REF!)/365,$G61,$H61,$D61)-BSPrice($B61,$J61,$K61,$C61,($I61-#REF!)/365,$G61,$H61,$D61))*$F61</f>
        <v>#NAME?</v>
      </c>
      <c r="AE61" s="54" t="e">
        <f>(BSPrice($B61*0.98,$J61,$K61,$C61,($I61-#REF!)/365,$G61,$H61,$D61)-BSPrice($B61,$J61,$K61,$C61,($I61-#REF!)/365,$G61,$H61,$D61))*$F61</f>
        <v>#NAME?</v>
      </c>
      <c r="AF61" s="54" t="e">
        <f>(BSPrice($B61*1.02,$J61,$K61,$C61,($I61-#REF!)/365,$G61,$H61,$D61)-BSPrice($B61,$J61,$K61,$C61,($I61-#REF!)/365,$G61,$H61,$D61))*$F61</f>
        <v>#NAME?</v>
      </c>
      <c r="AG61" s="54" t="e">
        <f>(BSPrice($B61*1.05,$J61,$K61,$C61,($I61-#REF!)/365,$G61,$H61,$D61)-BSPrice($B61,$J61,$K61,$C61,($I61-#REF!)/365,$G61,$H61,$D61))*$F61</f>
        <v>#NAME?</v>
      </c>
      <c r="AH61" s="54" t="e">
        <f>(BSPrice($B61*1.1,$J61,$K61,$C61,($I61-#REF!)/365,$G61,$H61,$D61)-BSPrice($B61,$J61,$K61,$C61,($I61-#REF!)/365,$G61,$H61,$D61))*$F61</f>
        <v>#NAME?</v>
      </c>
      <c r="AI61" s="54" t="e">
        <f>(BSPrice($B61*1.2,$J61,$K61,$C61,($I61-#REF!)/365,$G61,$H61,$D61)-BSPrice($B61,$J61,$K61,$C61,($I61-#REF!)/365,$G61,$H61,$D61))*$F61</f>
        <v>#NAME?</v>
      </c>
      <c r="AJ61" s="54" t="e">
        <f>(BSPrice($B61,$J61-0.1,$K61,$C61,($I61-#REF!)/365,$G61,$H61,$D61)-BSPrice($B61,$J61,$K61,$C61,($I61-#REF!)/365,$G61,$H61,$D61))*$F61</f>
        <v>#NAME?</v>
      </c>
      <c r="AK61" s="54" t="e">
        <f>(BSPrice($B61,$J61-0.05,$K61,$C61,($I61-#REF!)/365,$G61,$H61,$D61)-BSPrice($B61,$J61,$K61,$C61,($I61-#REF!)/365,$G61,$H61,$D61))*$F61</f>
        <v>#NAME?</v>
      </c>
      <c r="AL61" s="54" t="e">
        <f>(BSPrice($B61,$J61-0.02,$K61,$C61,($I61-#REF!)/365,$G61,$H61,$D61)-BSPrice($B61,$J61,$K61,$C61,($I61-#REF!)/365,$G61,$H61,$D61))*$F61</f>
        <v>#NAME?</v>
      </c>
      <c r="AM61" s="54" t="e">
        <f>(BSPrice($B61,$J61-0.01,$K61,$C61,($I61-#REF!)/365,$G61,$H61,$D61)-BSPrice($B61,$J61,$K61,$C61,($I61-#REF!)/365,$G61,$H61,$D61))*$F61</f>
        <v>#NAME?</v>
      </c>
      <c r="AN61" s="54" t="e">
        <f>(BSPrice($B61,$J61+0.01,$K61,$C61,($I61-#REF!)/365,$G61,$H61,$D61)-BSPrice($B61,$J61,$K61,$C61,($I61-#REF!)/365,$G61,$H61,$D61))*$F61</f>
        <v>#NAME?</v>
      </c>
      <c r="AO61" s="54" t="e">
        <f>(BSPrice($B61,$J61+0.02,$K61,$C61,($I61-#REF!)/365,$G61,$H61,$D61)-BSPrice($B61,$J61,$K61,$C61,($I61-#REF!)/365,$G61,$H61,$D61))*$F61</f>
        <v>#NAME?</v>
      </c>
      <c r="AP61" s="54" t="e">
        <f>(BSPrice($B61,$J61+0.05,$K61,$C61,($I61-#REF!)/365,$G61,$H61,$D61)-BSPrice($B61,$J61,$K61,$C61,($I61-#REF!)/365,$G61,$H61,$D61))*$F61</f>
        <v>#NAME?</v>
      </c>
      <c r="AQ61" s="54" t="e">
        <f>(BSPrice($B61,$J61+0.1,$K61,$C61,($I61-#REF!)/365,$G61,$H61,$D61)-BSPrice($B61,$J61,$K61,$C61,($I61-#REF!)/365,$G61,$H61,$D61))*$F61</f>
        <v>#NAME?</v>
      </c>
    </row>
    <row r="62" spans="1:43">
      <c r="A62" s="67" t="s">
        <v>64</v>
      </c>
      <c r="B62" s="44">
        <f>VLOOKUP(A62,PriceData!$K$4:$L$6,2,FALSE)</f>
        <v>10022</v>
      </c>
      <c r="C62" s="45">
        <f>VLOOKUP(A62,PriceData!$K$4:$M$6,3,FALSE)</f>
        <v>0.005</v>
      </c>
      <c r="D62" s="44" t="s">
        <v>56</v>
      </c>
      <c r="E62" s="44" t="s">
        <v>65</v>
      </c>
      <c r="F62" s="44">
        <v>-20</v>
      </c>
      <c r="G62">
        <v>10022</v>
      </c>
      <c r="H62" s="44" t="s">
        <v>57</v>
      </c>
      <c r="I62" s="68">
        <v>40256</v>
      </c>
      <c r="J62" s="45">
        <f>FindImpliedVol(A62,D62,G62,I62)</f>
        <v>0.41</v>
      </c>
      <c r="K62" s="69">
        <f>VLOOKUP(I62,PriceData!$A$5:$D$7,MATCH($E62,PriceData!$A$4:$D$4,0),FALSE)</f>
        <v>0.005</v>
      </c>
      <c r="L62" s="52" t="e">
        <f>BSPrice($B62,$J62,$K62,$C62,($I62-#REF!)/365,$G62,$H62,$D62)</f>
        <v>#NAME?</v>
      </c>
      <c r="M62" s="52" t="e">
        <f t="shared" si="0"/>
        <v>#NAME?</v>
      </c>
      <c r="N62" s="44" t="s">
        <v>58</v>
      </c>
      <c r="P62" s="49" t="e">
        <f>BSDelta(B62,J62,K62,C62,(I62-#REF!)/365,G62,H62,D62)</f>
        <v>#NAME?</v>
      </c>
      <c r="Q62" s="49" t="e">
        <f>BSGamma(B62,J62,K62,C62,(I62-#REF!)/365,G62,D62)</f>
        <v>#NAME?</v>
      </c>
      <c r="R62" s="51" t="e">
        <f>BSVega(B62,J62,K62,C62,(I62-#REF!)/365,G62,D62)</f>
        <v>#NAME?</v>
      </c>
      <c r="S62" s="51" t="e">
        <f>BSVolga(B62,J62,K62,C62,(I62-#REF!)/365,G62,D62)</f>
        <v>#NAME?</v>
      </c>
      <c r="T62" s="51" t="e">
        <f>BSTheta(B62,J62,K62,C62,(I62-#REF!)/365,G62,H62,D62)</f>
        <v>#NAME?</v>
      </c>
      <c r="U62" s="52" t="e">
        <f>BSRho(B62,J62,K62,C62,(I62-#REF!)/365,G62,H62,D62)</f>
        <v>#NAME?</v>
      </c>
      <c r="V62" s="70" t="e">
        <f t="shared" si="1"/>
        <v>#NAME?</v>
      </c>
      <c r="W62" s="70" t="e">
        <f t="shared" si="2"/>
        <v>#NAME?</v>
      </c>
      <c r="X62" s="54" t="e">
        <f t="shared" si="3"/>
        <v>#NAME?</v>
      </c>
      <c r="Y62" s="54" t="e">
        <f t="shared" si="4"/>
        <v>#NAME?</v>
      </c>
      <c r="Z62" s="54" t="e">
        <f t="shared" si="5"/>
        <v>#NAME?</v>
      </c>
      <c r="AA62" s="54" t="e">
        <f t="shared" si="6"/>
        <v>#NAME?</v>
      </c>
      <c r="AB62" s="54" t="e">
        <f>(BSPrice($B62*0.8,$J62,$K62,$C62,($I62-#REF!)/365,$G62,$H62,$D62)-BSPrice($B62,$J62,$K62,$C62,($I62-#REF!)/365,$G62,$H62,$D62))*$F62</f>
        <v>#NAME?</v>
      </c>
      <c r="AC62" s="54" t="e">
        <f>(BSPrice($B62*0.9,$J62,$K62,$C62,($I62-#REF!)/365,$G62,$H62,$D62)-BSPrice($B62,$J62,$K62,$C62,($I62-#REF!)/365,$G62,$H62,$D62))*$F62</f>
        <v>#NAME?</v>
      </c>
      <c r="AD62" s="54" t="e">
        <f>(BSPrice($B62*0.95,$J62,$K62,$C62,($I62-#REF!)/365,$G62,$H62,$D62)-BSPrice($B62,$J62,$K62,$C62,($I62-#REF!)/365,$G62,$H62,$D62))*$F62</f>
        <v>#NAME?</v>
      </c>
      <c r="AE62" s="54" t="e">
        <f>(BSPrice($B62*0.98,$J62,$K62,$C62,($I62-#REF!)/365,$G62,$H62,$D62)-BSPrice($B62,$J62,$K62,$C62,($I62-#REF!)/365,$G62,$H62,$D62))*$F62</f>
        <v>#NAME?</v>
      </c>
      <c r="AF62" s="54" t="e">
        <f>(BSPrice($B62*1.02,$J62,$K62,$C62,($I62-#REF!)/365,$G62,$H62,$D62)-BSPrice($B62,$J62,$K62,$C62,($I62-#REF!)/365,$G62,$H62,$D62))*$F62</f>
        <v>#NAME?</v>
      </c>
      <c r="AG62" s="54" t="e">
        <f>(BSPrice($B62*1.05,$J62,$K62,$C62,($I62-#REF!)/365,$G62,$H62,$D62)-BSPrice($B62,$J62,$K62,$C62,($I62-#REF!)/365,$G62,$H62,$D62))*$F62</f>
        <v>#NAME?</v>
      </c>
      <c r="AH62" s="54" t="e">
        <f>(BSPrice($B62*1.1,$J62,$K62,$C62,($I62-#REF!)/365,$G62,$H62,$D62)-BSPrice($B62,$J62,$K62,$C62,($I62-#REF!)/365,$G62,$H62,$D62))*$F62</f>
        <v>#NAME?</v>
      </c>
      <c r="AI62" s="54" t="e">
        <f>(BSPrice($B62*1.2,$J62,$K62,$C62,($I62-#REF!)/365,$G62,$H62,$D62)-BSPrice($B62,$J62,$K62,$C62,($I62-#REF!)/365,$G62,$H62,$D62))*$F62</f>
        <v>#NAME?</v>
      </c>
      <c r="AJ62" s="54" t="e">
        <f>(BSPrice($B62,$J62-0.1,$K62,$C62,($I62-#REF!)/365,$G62,$H62,$D62)-BSPrice($B62,$J62,$K62,$C62,($I62-#REF!)/365,$G62,$H62,$D62))*$F62</f>
        <v>#NAME?</v>
      </c>
      <c r="AK62" s="54" t="e">
        <f>(BSPrice($B62,$J62-0.05,$K62,$C62,($I62-#REF!)/365,$G62,$H62,$D62)-BSPrice($B62,$J62,$K62,$C62,($I62-#REF!)/365,$G62,$H62,$D62))*$F62</f>
        <v>#NAME?</v>
      </c>
      <c r="AL62" s="54" t="e">
        <f>(BSPrice($B62,$J62-0.02,$K62,$C62,($I62-#REF!)/365,$G62,$H62,$D62)-BSPrice($B62,$J62,$K62,$C62,($I62-#REF!)/365,$G62,$H62,$D62))*$F62</f>
        <v>#NAME?</v>
      </c>
      <c r="AM62" s="54" t="e">
        <f>(BSPrice($B62,$J62-0.01,$K62,$C62,($I62-#REF!)/365,$G62,$H62,$D62)-BSPrice($B62,$J62,$K62,$C62,($I62-#REF!)/365,$G62,$H62,$D62))*$F62</f>
        <v>#NAME?</v>
      </c>
      <c r="AN62" s="54" t="e">
        <f>(BSPrice($B62,$J62+0.01,$K62,$C62,($I62-#REF!)/365,$G62,$H62,$D62)-BSPrice($B62,$J62,$K62,$C62,($I62-#REF!)/365,$G62,$H62,$D62))*$F62</f>
        <v>#NAME?</v>
      </c>
      <c r="AO62" s="54" t="e">
        <f>(BSPrice($B62,$J62+0.02,$K62,$C62,($I62-#REF!)/365,$G62,$H62,$D62)-BSPrice($B62,$J62,$K62,$C62,($I62-#REF!)/365,$G62,$H62,$D62))*$F62</f>
        <v>#NAME?</v>
      </c>
      <c r="AP62" s="54" t="e">
        <f>(BSPrice($B62,$J62+0.05,$K62,$C62,($I62-#REF!)/365,$G62,$H62,$D62)-BSPrice($B62,$J62,$K62,$C62,($I62-#REF!)/365,$G62,$H62,$D62))*$F62</f>
        <v>#NAME?</v>
      </c>
      <c r="AQ62" s="54" t="e">
        <f>(BSPrice($B62,$J62+0.1,$K62,$C62,($I62-#REF!)/365,$G62,$H62,$D62)-BSPrice($B62,$J62,$K62,$C62,($I62-#REF!)/365,$G62,$H62,$D62))*$F62</f>
        <v>#NAME?</v>
      </c>
    </row>
    <row r="63" spans="1:43">
      <c r="A63" s="67" t="s">
        <v>64</v>
      </c>
      <c r="B63" s="44">
        <f>VLOOKUP(A63,PriceData!$K$4:$L$6,2,FALSE)</f>
        <v>10022</v>
      </c>
      <c r="C63" s="45">
        <f>VLOOKUP(A63,PriceData!$K$4:$M$6,3,FALSE)</f>
        <v>0.005</v>
      </c>
      <c r="D63" s="44" t="s">
        <v>56</v>
      </c>
      <c r="E63" s="44" t="s">
        <v>65</v>
      </c>
      <c r="F63" s="44">
        <v>-20</v>
      </c>
      <c r="G63">
        <v>10323</v>
      </c>
      <c r="H63" s="44" t="s">
        <v>59</v>
      </c>
      <c r="I63" s="68">
        <v>40256</v>
      </c>
      <c r="J63" s="45">
        <f>FindImpliedVol(A63,D63,G63,I63)</f>
        <v>0.397537825839525</v>
      </c>
      <c r="K63" s="69">
        <f>VLOOKUP(I63,PriceData!$A$5:$D$7,MATCH($E63,PriceData!$A$4:$D$4,0),FALSE)</f>
        <v>0.005</v>
      </c>
      <c r="L63" s="52" t="e">
        <f>BSPrice($B63,$J63,$K63,$C63,($I63-#REF!)/365,$G63,$H63,$D63)</f>
        <v>#NAME?</v>
      </c>
      <c r="M63" s="52" t="e">
        <f t="shared" si="0"/>
        <v>#NAME?</v>
      </c>
      <c r="N63" s="44" t="s">
        <v>55</v>
      </c>
      <c r="P63" s="49" t="e">
        <f>BSDelta(B63,J63,K63,C63,(I63-#REF!)/365,G63,H63,D63)</f>
        <v>#NAME?</v>
      </c>
      <c r="Q63" s="49" t="e">
        <f>BSGamma(B63,J63,K63,C63,(I63-#REF!)/365,G63,D63)</f>
        <v>#NAME?</v>
      </c>
      <c r="R63" s="51" t="e">
        <f>BSVega(B63,J63,K63,C63,(I63-#REF!)/365,G63,D63)</f>
        <v>#NAME?</v>
      </c>
      <c r="S63" s="51" t="e">
        <f>BSVolga(B63,J63,K63,C63,(I63-#REF!)/365,G63,D63)</f>
        <v>#NAME?</v>
      </c>
      <c r="T63" s="51" t="e">
        <f>BSTheta(B63,J63,K63,C63,(I63-#REF!)/365,G63,H63,D63)</f>
        <v>#NAME?</v>
      </c>
      <c r="U63" s="52" t="e">
        <f>BSRho(B63,J63,K63,C63,(I63-#REF!)/365,G63,H63,D63)</f>
        <v>#NAME?</v>
      </c>
      <c r="V63" s="70" t="e">
        <f t="shared" si="1"/>
        <v>#NAME?</v>
      </c>
      <c r="W63" s="70" t="e">
        <f t="shared" si="2"/>
        <v>#NAME?</v>
      </c>
      <c r="X63" s="54" t="e">
        <f t="shared" si="3"/>
        <v>#NAME?</v>
      </c>
      <c r="Y63" s="54" t="e">
        <f t="shared" si="4"/>
        <v>#NAME?</v>
      </c>
      <c r="Z63" s="54" t="e">
        <f t="shared" si="5"/>
        <v>#NAME?</v>
      </c>
      <c r="AA63" s="54" t="e">
        <f t="shared" si="6"/>
        <v>#NAME?</v>
      </c>
      <c r="AB63" s="54" t="e">
        <f>(BSPrice($B63*0.8,$J63,$K63,$C63,($I63-#REF!)/365,$G63,$H63,$D63)-BSPrice($B63,$J63,$K63,$C63,($I63-#REF!)/365,$G63,$H63,$D63))*$F63</f>
        <v>#NAME?</v>
      </c>
      <c r="AC63" s="54" t="e">
        <f>(BSPrice($B63*0.9,$J63,$K63,$C63,($I63-#REF!)/365,$G63,$H63,$D63)-BSPrice($B63,$J63,$K63,$C63,($I63-#REF!)/365,$G63,$H63,$D63))*$F63</f>
        <v>#NAME?</v>
      </c>
      <c r="AD63" s="54" t="e">
        <f>(BSPrice($B63*0.95,$J63,$K63,$C63,($I63-#REF!)/365,$G63,$H63,$D63)-BSPrice($B63,$J63,$K63,$C63,($I63-#REF!)/365,$G63,$H63,$D63))*$F63</f>
        <v>#NAME?</v>
      </c>
      <c r="AE63" s="54" t="e">
        <f>(BSPrice($B63*0.98,$J63,$K63,$C63,($I63-#REF!)/365,$G63,$H63,$D63)-BSPrice($B63,$J63,$K63,$C63,($I63-#REF!)/365,$G63,$H63,$D63))*$F63</f>
        <v>#NAME?</v>
      </c>
      <c r="AF63" s="54" t="e">
        <f>(BSPrice($B63*1.02,$J63,$K63,$C63,($I63-#REF!)/365,$G63,$H63,$D63)-BSPrice($B63,$J63,$K63,$C63,($I63-#REF!)/365,$G63,$H63,$D63))*$F63</f>
        <v>#NAME?</v>
      </c>
      <c r="AG63" s="54" t="e">
        <f>(BSPrice($B63*1.05,$J63,$K63,$C63,($I63-#REF!)/365,$G63,$H63,$D63)-BSPrice($B63,$J63,$K63,$C63,($I63-#REF!)/365,$G63,$H63,$D63))*$F63</f>
        <v>#NAME?</v>
      </c>
      <c r="AH63" s="54" t="e">
        <f>(BSPrice($B63*1.1,$J63,$K63,$C63,($I63-#REF!)/365,$G63,$H63,$D63)-BSPrice($B63,$J63,$K63,$C63,($I63-#REF!)/365,$G63,$H63,$D63))*$F63</f>
        <v>#NAME?</v>
      </c>
      <c r="AI63" s="54" t="e">
        <f>(BSPrice($B63*1.2,$J63,$K63,$C63,($I63-#REF!)/365,$G63,$H63,$D63)-BSPrice($B63,$J63,$K63,$C63,($I63-#REF!)/365,$G63,$H63,$D63))*$F63</f>
        <v>#NAME?</v>
      </c>
      <c r="AJ63" s="54" t="e">
        <f>(BSPrice($B63,$J63-0.1,$K63,$C63,($I63-#REF!)/365,$G63,$H63,$D63)-BSPrice($B63,$J63,$K63,$C63,($I63-#REF!)/365,$G63,$H63,$D63))*$F63</f>
        <v>#NAME?</v>
      </c>
      <c r="AK63" s="54" t="e">
        <f>(BSPrice($B63,$J63-0.05,$K63,$C63,($I63-#REF!)/365,$G63,$H63,$D63)-BSPrice($B63,$J63,$K63,$C63,($I63-#REF!)/365,$G63,$H63,$D63))*$F63</f>
        <v>#NAME?</v>
      </c>
      <c r="AL63" s="54" t="e">
        <f>(BSPrice($B63,$J63-0.02,$K63,$C63,($I63-#REF!)/365,$G63,$H63,$D63)-BSPrice($B63,$J63,$K63,$C63,($I63-#REF!)/365,$G63,$H63,$D63))*$F63</f>
        <v>#NAME?</v>
      </c>
      <c r="AM63" s="54" t="e">
        <f>(BSPrice($B63,$J63-0.01,$K63,$C63,($I63-#REF!)/365,$G63,$H63,$D63)-BSPrice($B63,$J63,$K63,$C63,($I63-#REF!)/365,$G63,$H63,$D63))*$F63</f>
        <v>#NAME?</v>
      </c>
      <c r="AN63" s="54" t="e">
        <f>(BSPrice($B63,$J63+0.01,$K63,$C63,($I63-#REF!)/365,$G63,$H63,$D63)-BSPrice($B63,$J63,$K63,$C63,($I63-#REF!)/365,$G63,$H63,$D63))*$F63</f>
        <v>#NAME?</v>
      </c>
      <c r="AO63" s="54" t="e">
        <f>(BSPrice($B63,$J63+0.02,$K63,$C63,($I63-#REF!)/365,$G63,$H63,$D63)-BSPrice($B63,$J63,$K63,$C63,($I63-#REF!)/365,$G63,$H63,$D63))*$F63</f>
        <v>#NAME?</v>
      </c>
      <c r="AP63" s="54" t="e">
        <f>(BSPrice($B63,$J63+0.05,$K63,$C63,($I63-#REF!)/365,$G63,$H63,$D63)-BSPrice($B63,$J63,$K63,$C63,($I63-#REF!)/365,$G63,$H63,$D63))*$F63</f>
        <v>#NAME?</v>
      </c>
      <c r="AQ63" s="54" t="e">
        <f>(BSPrice($B63,$J63+0.1,$K63,$C63,($I63-#REF!)/365,$G63,$H63,$D63)-BSPrice($B63,$J63,$K63,$C63,($I63-#REF!)/365,$G63,$H63,$D63))*$F63</f>
        <v>#NAME?</v>
      </c>
    </row>
    <row r="64" spans="1:43">
      <c r="A64" s="67" t="s">
        <v>64</v>
      </c>
      <c r="B64" s="44">
        <f>VLOOKUP(A64,PriceData!$K$4:$L$6,2,FALSE)</f>
        <v>10022</v>
      </c>
      <c r="C64" s="45">
        <f>VLOOKUP(A64,PriceData!$K$4:$M$6,3,FALSE)</f>
        <v>0.005</v>
      </c>
      <c r="D64" s="44" t="s">
        <v>56</v>
      </c>
      <c r="E64" s="44" t="s">
        <v>65</v>
      </c>
      <c r="F64" s="44">
        <v>-20</v>
      </c>
      <c r="G64">
        <v>10323</v>
      </c>
      <c r="H64" s="44" t="s">
        <v>57</v>
      </c>
      <c r="I64" s="68">
        <v>40256</v>
      </c>
      <c r="J64" s="45">
        <f>FindImpliedVol(A64,D64,G64,I64)</f>
        <v>0.397537825839525</v>
      </c>
      <c r="K64" s="69">
        <f>VLOOKUP(I64,PriceData!$A$5:$D$7,MATCH($E64,PriceData!$A$4:$D$4,0),FALSE)</f>
        <v>0.005</v>
      </c>
      <c r="L64" s="52" t="e">
        <f>BSPrice($B64,$J64,$K64,$C64,($I64-#REF!)/365,$G64,$H64,$D64)</f>
        <v>#NAME?</v>
      </c>
      <c r="M64" s="52" t="e">
        <f t="shared" si="0"/>
        <v>#NAME?</v>
      </c>
      <c r="N64" s="44" t="s">
        <v>55</v>
      </c>
      <c r="P64" s="49" t="e">
        <f>BSDelta(B64,J64,K64,C64,(I64-#REF!)/365,G64,H64,D64)</f>
        <v>#NAME?</v>
      </c>
      <c r="Q64" s="49" t="e">
        <f>BSGamma(B64,J64,K64,C64,(I64-#REF!)/365,G64,D64)</f>
        <v>#NAME?</v>
      </c>
      <c r="R64" s="51" t="e">
        <f>BSVega(B64,J64,K64,C64,(I64-#REF!)/365,G64,D64)</f>
        <v>#NAME?</v>
      </c>
      <c r="S64" s="51" t="e">
        <f>BSVolga(B64,J64,K64,C64,(I64-#REF!)/365,G64,D64)</f>
        <v>#NAME?</v>
      </c>
      <c r="T64" s="51" t="e">
        <f>BSTheta(B64,J64,K64,C64,(I64-#REF!)/365,G64,H64,D64)</f>
        <v>#NAME?</v>
      </c>
      <c r="U64" s="52" t="e">
        <f>BSRho(B64,J64,K64,C64,(I64-#REF!)/365,G64,H64,D64)</f>
        <v>#NAME?</v>
      </c>
      <c r="V64" s="70" t="e">
        <f t="shared" si="1"/>
        <v>#NAME?</v>
      </c>
      <c r="W64" s="70" t="e">
        <f t="shared" si="2"/>
        <v>#NAME?</v>
      </c>
      <c r="X64" s="54" t="e">
        <f t="shared" si="3"/>
        <v>#NAME?</v>
      </c>
      <c r="Y64" s="54" t="e">
        <f t="shared" si="4"/>
        <v>#NAME?</v>
      </c>
      <c r="Z64" s="54" t="e">
        <f t="shared" si="5"/>
        <v>#NAME?</v>
      </c>
      <c r="AA64" s="54" t="e">
        <f t="shared" si="6"/>
        <v>#NAME?</v>
      </c>
      <c r="AB64" s="54" t="e">
        <f>(BSPrice($B64*0.8,$J64,$K64,$C64,($I64-#REF!)/365,$G64,$H64,$D64)-BSPrice($B64,$J64,$K64,$C64,($I64-#REF!)/365,$G64,$H64,$D64))*$F64</f>
        <v>#NAME?</v>
      </c>
      <c r="AC64" s="54" t="e">
        <f>(BSPrice($B64*0.9,$J64,$K64,$C64,($I64-#REF!)/365,$G64,$H64,$D64)-BSPrice($B64,$J64,$K64,$C64,($I64-#REF!)/365,$G64,$H64,$D64))*$F64</f>
        <v>#NAME?</v>
      </c>
      <c r="AD64" s="54" t="e">
        <f>(BSPrice($B64*0.95,$J64,$K64,$C64,($I64-#REF!)/365,$G64,$H64,$D64)-BSPrice($B64,$J64,$K64,$C64,($I64-#REF!)/365,$G64,$H64,$D64))*$F64</f>
        <v>#NAME?</v>
      </c>
      <c r="AE64" s="54" t="e">
        <f>(BSPrice($B64*0.98,$J64,$K64,$C64,($I64-#REF!)/365,$G64,$H64,$D64)-BSPrice($B64,$J64,$K64,$C64,($I64-#REF!)/365,$G64,$H64,$D64))*$F64</f>
        <v>#NAME?</v>
      </c>
      <c r="AF64" s="54" t="e">
        <f>(BSPrice($B64*1.02,$J64,$K64,$C64,($I64-#REF!)/365,$G64,$H64,$D64)-BSPrice($B64,$J64,$K64,$C64,($I64-#REF!)/365,$G64,$H64,$D64))*$F64</f>
        <v>#NAME?</v>
      </c>
      <c r="AG64" s="54" t="e">
        <f>(BSPrice($B64*1.05,$J64,$K64,$C64,($I64-#REF!)/365,$G64,$H64,$D64)-BSPrice($B64,$J64,$K64,$C64,($I64-#REF!)/365,$G64,$H64,$D64))*$F64</f>
        <v>#NAME?</v>
      </c>
      <c r="AH64" s="54" t="e">
        <f>(BSPrice($B64*1.1,$J64,$K64,$C64,($I64-#REF!)/365,$G64,$H64,$D64)-BSPrice($B64,$J64,$K64,$C64,($I64-#REF!)/365,$G64,$H64,$D64))*$F64</f>
        <v>#NAME?</v>
      </c>
      <c r="AI64" s="54" t="e">
        <f>(BSPrice($B64*1.2,$J64,$K64,$C64,($I64-#REF!)/365,$G64,$H64,$D64)-BSPrice($B64,$J64,$K64,$C64,($I64-#REF!)/365,$G64,$H64,$D64))*$F64</f>
        <v>#NAME?</v>
      </c>
      <c r="AJ64" s="54" t="e">
        <f>(BSPrice($B64,$J64-0.1,$K64,$C64,($I64-#REF!)/365,$G64,$H64,$D64)-BSPrice($B64,$J64,$K64,$C64,($I64-#REF!)/365,$G64,$H64,$D64))*$F64</f>
        <v>#NAME?</v>
      </c>
      <c r="AK64" s="54" t="e">
        <f>(BSPrice($B64,$J64-0.05,$K64,$C64,($I64-#REF!)/365,$G64,$H64,$D64)-BSPrice($B64,$J64,$K64,$C64,($I64-#REF!)/365,$G64,$H64,$D64))*$F64</f>
        <v>#NAME?</v>
      </c>
      <c r="AL64" s="54" t="e">
        <f>(BSPrice($B64,$J64-0.02,$K64,$C64,($I64-#REF!)/365,$G64,$H64,$D64)-BSPrice($B64,$J64,$K64,$C64,($I64-#REF!)/365,$G64,$H64,$D64))*$F64</f>
        <v>#NAME?</v>
      </c>
      <c r="AM64" s="54" t="e">
        <f>(BSPrice($B64,$J64-0.01,$K64,$C64,($I64-#REF!)/365,$G64,$H64,$D64)-BSPrice($B64,$J64,$K64,$C64,($I64-#REF!)/365,$G64,$H64,$D64))*$F64</f>
        <v>#NAME?</v>
      </c>
      <c r="AN64" s="54" t="e">
        <f>(BSPrice($B64,$J64+0.01,$K64,$C64,($I64-#REF!)/365,$G64,$H64,$D64)-BSPrice($B64,$J64,$K64,$C64,($I64-#REF!)/365,$G64,$H64,$D64))*$F64</f>
        <v>#NAME?</v>
      </c>
      <c r="AO64" s="54" t="e">
        <f>(BSPrice($B64,$J64+0.02,$K64,$C64,($I64-#REF!)/365,$G64,$H64,$D64)-BSPrice($B64,$J64,$K64,$C64,($I64-#REF!)/365,$G64,$H64,$D64))*$F64</f>
        <v>#NAME?</v>
      </c>
      <c r="AP64" s="54" t="e">
        <f>(BSPrice($B64,$J64+0.05,$K64,$C64,($I64-#REF!)/365,$G64,$H64,$D64)-BSPrice($B64,$J64,$K64,$C64,($I64-#REF!)/365,$G64,$H64,$D64))*$F64</f>
        <v>#NAME?</v>
      </c>
      <c r="AQ64" s="54" t="e">
        <f>(BSPrice($B64,$J64+0.1,$K64,$C64,($I64-#REF!)/365,$G64,$H64,$D64)-BSPrice($B64,$J64,$K64,$C64,($I64-#REF!)/365,$G64,$H64,$D64))*$F64</f>
        <v>#NAME?</v>
      </c>
    </row>
    <row r="65" spans="1:43">
      <c r="A65" s="67" t="s">
        <v>64</v>
      </c>
      <c r="B65" s="44">
        <f>VLOOKUP(A65,PriceData!$K$4:$L$6,2,FALSE)</f>
        <v>10022</v>
      </c>
      <c r="C65" s="45">
        <f>VLOOKUP(A65,PriceData!$K$4:$M$6,3,FALSE)</f>
        <v>0.005</v>
      </c>
      <c r="D65" s="44" t="s">
        <v>56</v>
      </c>
      <c r="E65" s="44" t="s">
        <v>65</v>
      </c>
      <c r="F65" s="44">
        <v>50</v>
      </c>
      <c r="G65">
        <v>8519</v>
      </c>
      <c r="H65" s="44" t="s">
        <v>57</v>
      </c>
      <c r="I65" s="68">
        <v>40256</v>
      </c>
      <c r="J65" s="45">
        <f>FindImpliedVol(A65,D65,G65,I65)</f>
        <v>0.534139247868658</v>
      </c>
      <c r="K65" s="69">
        <f>VLOOKUP(I65,PriceData!$A$5:$D$7,MATCH($E65,PriceData!$A$4:$D$4,0),FALSE)</f>
        <v>0.005</v>
      </c>
      <c r="L65" s="52" t="e">
        <f>BSPrice($B65,$J65,$K65,$C65,($I65-#REF!)/365,$G65,$H65,$D65)</f>
        <v>#NAME?</v>
      </c>
      <c r="M65" s="52" t="e">
        <f t="shared" si="0"/>
        <v>#NAME?</v>
      </c>
      <c r="N65" s="44" t="s">
        <v>55</v>
      </c>
      <c r="P65" s="49" t="e">
        <f>BSDelta(B65,J65,K65,C65,(I65-#REF!)/365,G65,H65,D65)</f>
        <v>#NAME?</v>
      </c>
      <c r="Q65" s="49" t="e">
        <f>BSGamma(B65,J65,K65,C65,(I65-#REF!)/365,G65,D65)</f>
        <v>#NAME?</v>
      </c>
      <c r="R65" s="51" t="e">
        <f>BSVega(B65,J65,K65,C65,(I65-#REF!)/365,G65,D65)</f>
        <v>#NAME?</v>
      </c>
      <c r="S65" s="51" t="e">
        <f>BSVolga(B65,J65,K65,C65,(I65-#REF!)/365,G65,D65)</f>
        <v>#NAME?</v>
      </c>
      <c r="T65" s="51" t="e">
        <f>BSTheta(B65,J65,K65,C65,(I65-#REF!)/365,G65,H65,D65)</f>
        <v>#NAME?</v>
      </c>
      <c r="U65" s="52" t="e">
        <f>BSRho(B65,J65,K65,C65,(I65-#REF!)/365,G65,H65,D65)</f>
        <v>#NAME?</v>
      </c>
      <c r="V65" s="70" t="e">
        <f t="shared" si="1"/>
        <v>#NAME?</v>
      </c>
      <c r="W65" s="70" t="e">
        <f t="shared" si="2"/>
        <v>#NAME?</v>
      </c>
      <c r="X65" s="54" t="e">
        <f t="shared" si="3"/>
        <v>#NAME?</v>
      </c>
      <c r="Y65" s="54" t="e">
        <f t="shared" si="4"/>
        <v>#NAME?</v>
      </c>
      <c r="Z65" s="54" t="e">
        <f t="shared" si="5"/>
        <v>#NAME?</v>
      </c>
      <c r="AA65" s="54" t="e">
        <f t="shared" si="6"/>
        <v>#NAME?</v>
      </c>
      <c r="AB65" s="54" t="e">
        <f>(BSPrice($B65*0.8,$J65,$K65,$C65,($I65-#REF!)/365,$G65,$H65,$D65)-BSPrice($B65,$J65,$K65,$C65,($I65-#REF!)/365,$G65,$H65,$D65))*$F65</f>
        <v>#NAME?</v>
      </c>
      <c r="AC65" s="54" t="e">
        <f>(BSPrice($B65*0.9,$J65,$K65,$C65,($I65-#REF!)/365,$G65,$H65,$D65)-BSPrice($B65,$J65,$K65,$C65,($I65-#REF!)/365,$G65,$H65,$D65))*$F65</f>
        <v>#NAME?</v>
      </c>
      <c r="AD65" s="54" t="e">
        <f>(BSPrice($B65*0.95,$J65,$K65,$C65,($I65-#REF!)/365,$G65,$H65,$D65)-BSPrice($B65,$J65,$K65,$C65,($I65-#REF!)/365,$G65,$H65,$D65))*$F65</f>
        <v>#NAME?</v>
      </c>
      <c r="AE65" s="54" t="e">
        <f>(BSPrice($B65*0.98,$J65,$K65,$C65,($I65-#REF!)/365,$G65,$H65,$D65)-BSPrice($B65,$J65,$K65,$C65,($I65-#REF!)/365,$G65,$H65,$D65))*$F65</f>
        <v>#NAME?</v>
      </c>
      <c r="AF65" s="54" t="e">
        <f>(BSPrice($B65*1.02,$J65,$K65,$C65,($I65-#REF!)/365,$G65,$H65,$D65)-BSPrice($B65,$J65,$K65,$C65,($I65-#REF!)/365,$G65,$H65,$D65))*$F65</f>
        <v>#NAME?</v>
      </c>
      <c r="AG65" s="54" t="e">
        <f>(BSPrice($B65*1.05,$J65,$K65,$C65,($I65-#REF!)/365,$G65,$H65,$D65)-BSPrice($B65,$J65,$K65,$C65,($I65-#REF!)/365,$G65,$H65,$D65))*$F65</f>
        <v>#NAME?</v>
      </c>
      <c r="AH65" s="54" t="e">
        <f>(BSPrice($B65*1.1,$J65,$K65,$C65,($I65-#REF!)/365,$G65,$H65,$D65)-BSPrice($B65,$J65,$K65,$C65,($I65-#REF!)/365,$G65,$H65,$D65))*$F65</f>
        <v>#NAME?</v>
      </c>
      <c r="AI65" s="54" t="e">
        <f>(BSPrice($B65*1.2,$J65,$K65,$C65,($I65-#REF!)/365,$G65,$H65,$D65)-BSPrice($B65,$J65,$K65,$C65,($I65-#REF!)/365,$G65,$H65,$D65))*$F65</f>
        <v>#NAME?</v>
      </c>
      <c r="AJ65" s="54" t="e">
        <f>(BSPrice($B65,$J65-0.1,$K65,$C65,($I65-#REF!)/365,$G65,$H65,$D65)-BSPrice($B65,$J65,$K65,$C65,($I65-#REF!)/365,$G65,$H65,$D65))*$F65</f>
        <v>#NAME?</v>
      </c>
      <c r="AK65" s="54" t="e">
        <f>(BSPrice($B65,$J65-0.05,$K65,$C65,($I65-#REF!)/365,$G65,$H65,$D65)-BSPrice($B65,$J65,$K65,$C65,($I65-#REF!)/365,$G65,$H65,$D65))*$F65</f>
        <v>#NAME?</v>
      </c>
      <c r="AL65" s="54" t="e">
        <f>(BSPrice($B65,$J65-0.02,$K65,$C65,($I65-#REF!)/365,$G65,$H65,$D65)-BSPrice($B65,$J65,$K65,$C65,($I65-#REF!)/365,$G65,$H65,$D65))*$F65</f>
        <v>#NAME?</v>
      </c>
      <c r="AM65" s="54" t="e">
        <f>(BSPrice($B65,$J65-0.01,$K65,$C65,($I65-#REF!)/365,$G65,$H65,$D65)-BSPrice($B65,$J65,$K65,$C65,($I65-#REF!)/365,$G65,$H65,$D65))*$F65</f>
        <v>#NAME?</v>
      </c>
      <c r="AN65" s="54" t="e">
        <f>(BSPrice($B65,$J65+0.01,$K65,$C65,($I65-#REF!)/365,$G65,$H65,$D65)-BSPrice($B65,$J65,$K65,$C65,($I65-#REF!)/365,$G65,$H65,$D65))*$F65</f>
        <v>#NAME?</v>
      </c>
      <c r="AO65" s="54" t="e">
        <f>(BSPrice($B65,$J65+0.02,$K65,$C65,($I65-#REF!)/365,$G65,$H65,$D65)-BSPrice($B65,$J65,$K65,$C65,($I65-#REF!)/365,$G65,$H65,$D65))*$F65</f>
        <v>#NAME?</v>
      </c>
      <c r="AP65" s="54" t="e">
        <f>(BSPrice($B65,$J65+0.05,$K65,$C65,($I65-#REF!)/365,$G65,$H65,$D65)-BSPrice($B65,$J65,$K65,$C65,($I65-#REF!)/365,$G65,$H65,$D65))*$F65</f>
        <v>#NAME?</v>
      </c>
      <c r="AQ65" s="54" t="e">
        <f>(BSPrice($B65,$J65+0.1,$K65,$C65,($I65-#REF!)/365,$G65,$H65,$D65)-BSPrice($B65,$J65,$K65,$C65,($I65-#REF!)/365,$G65,$H65,$D65))*$F65</f>
        <v>#NAME?</v>
      </c>
    </row>
    <row r="66" spans="1:43">
      <c r="A66" s="67" t="s">
        <v>64</v>
      </c>
      <c r="B66" s="44">
        <f>VLOOKUP(A66,PriceData!$K$4:$L$6,2,FALSE)</f>
        <v>10022</v>
      </c>
      <c r="C66" s="45">
        <f>VLOOKUP(A66,PriceData!$K$4:$M$6,3,FALSE)</f>
        <v>0.005</v>
      </c>
      <c r="D66" s="44" t="s">
        <v>56</v>
      </c>
      <c r="E66" s="44" t="s">
        <v>65</v>
      </c>
      <c r="F66" s="44">
        <v>-20</v>
      </c>
      <c r="G66">
        <v>9120</v>
      </c>
      <c r="H66" s="44" t="s">
        <v>57</v>
      </c>
      <c r="I66" s="68">
        <v>40256</v>
      </c>
      <c r="J66" s="45">
        <f>FindImpliedVol(A66,D66,G66,I66)</f>
        <v>0.472167740835595</v>
      </c>
      <c r="K66" s="69">
        <f>VLOOKUP(I66,PriceData!$A$5:$D$7,MATCH($E66,PriceData!$A$4:$D$4,0),FALSE)</f>
        <v>0.005</v>
      </c>
      <c r="L66" s="52" t="e">
        <f>BSPrice($B66,$J66,$K66,$C66,($I66-#REF!)/365,$G66,$H66,$D66)</f>
        <v>#NAME?</v>
      </c>
      <c r="M66" s="52" t="e">
        <f t="shared" ref="M66:M84" si="7">F66*L66</f>
        <v>#NAME?</v>
      </c>
      <c r="N66" s="44" t="s">
        <v>58</v>
      </c>
      <c r="P66" s="49" t="e">
        <f>BSDelta(B66,J66,K66,C66,(I66-#REF!)/365,G66,H66,D66)</f>
        <v>#NAME?</v>
      </c>
      <c r="Q66" s="49" t="e">
        <f>BSGamma(B66,J66,K66,C66,(I66-#REF!)/365,G66,D66)</f>
        <v>#NAME?</v>
      </c>
      <c r="R66" s="51" t="e">
        <f>BSVega(B66,J66,K66,C66,(I66-#REF!)/365,G66,D66)</f>
        <v>#NAME?</v>
      </c>
      <c r="S66" s="51" t="e">
        <f>BSVolga(B66,J66,K66,C66,(I66-#REF!)/365,G66,D66)</f>
        <v>#NAME?</v>
      </c>
      <c r="T66" s="51" t="e">
        <f>BSTheta(B66,J66,K66,C66,(I66-#REF!)/365,G66,H66,D66)</f>
        <v>#NAME?</v>
      </c>
      <c r="U66" s="52" t="e">
        <f>BSRho(B66,J66,K66,C66,(I66-#REF!)/365,G66,H66,D66)</f>
        <v>#NAME?</v>
      </c>
      <c r="V66" s="70" t="e">
        <f t="shared" si="1"/>
        <v>#NAME?</v>
      </c>
      <c r="W66" s="70" t="e">
        <f t="shared" si="2"/>
        <v>#NAME?</v>
      </c>
      <c r="X66" s="54" t="e">
        <f t="shared" ref="X66:X84" si="8">$F66*R66</f>
        <v>#NAME?</v>
      </c>
      <c r="Y66" s="54" t="e">
        <f t="shared" si="4"/>
        <v>#NAME?</v>
      </c>
      <c r="Z66" s="54" t="e">
        <f t="shared" ref="Z66:Z84" si="9">$F66*T66</f>
        <v>#NAME?</v>
      </c>
      <c r="AA66" s="54" t="e">
        <f t="shared" ref="AA66:AA84" si="10">$F66*U66</f>
        <v>#NAME?</v>
      </c>
      <c r="AB66" s="54" t="e">
        <f>(BSPrice($B66*0.8,$J66,$K66,$C66,($I66-#REF!)/365,$G66,$H66,$D66)-BSPrice($B66,$J66,$K66,$C66,($I66-#REF!)/365,$G66,$H66,$D66))*$F66</f>
        <v>#NAME?</v>
      </c>
      <c r="AC66" s="54" t="e">
        <f>(BSPrice($B66*0.9,$J66,$K66,$C66,($I66-#REF!)/365,$G66,$H66,$D66)-BSPrice($B66,$J66,$K66,$C66,($I66-#REF!)/365,$G66,$H66,$D66))*$F66</f>
        <v>#NAME?</v>
      </c>
      <c r="AD66" s="54" t="e">
        <f>(BSPrice($B66*0.95,$J66,$K66,$C66,($I66-#REF!)/365,$G66,$H66,$D66)-BSPrice($B66,$J66,$K66,$C66,($I66-#REF!)/365,$G66,$H66,$D66))*$F66</f>
        <v>#NAME?</v>
      </c>
      <c r="AE66" s="54" t="e">
        <f>(BSPrice($B66*0.98,$J66,$K66,$C66,($I66-#REF!)/365,$G66,$H66,$D66)-BSPrice($B66,$J66,$K66,$C66,($I66-#REF!)/365,$G66,$H66,$D66))*$F66</f>
        <v>#NAME?</v>
      </c>
      <c r="AF66" s="54" t="e">
        <f>(BSPrice($B66*1.02,$J66,$K66,$C66,($I66-#REF!)/365,$G66,$H66,$D66)-BSPrice($B66,$J66,$K66,$C66,($I66-#REF!)/365,$G66,$H66,$D66))*$F66</f>
        <v>#NAME?</v>
      </c>
      <c r="AG66" s="54" t="e">
        <f>(BSPrice($B66*1.05,$J66,$K66,$C66,($I66-#REF!)/365,$G66,$H66,$D66)-BSPrice($B66,$J66,$K66,$C66,($I66-#REF!)/365,$G66,$H66,$D66))*$F66</f>
        <v>#NAME?</v>
      </c>
      <c r="AH66" s="54" t="e">
        <f>(BSPrice($B66*1.1,$J66,$K66,$C66,($I66-#REF!)/365,$G66,$H66,$D66)-BSPrice($B66,$J66,$K66,$C66,($I66-#REF!)/365,$G66,$H66,$D66))*$F66</f>
        <v>#NAME?</v>
      </c>
      <c r="AI66" s="54" t="e">
        <f>(BSPrice($B66*1.2,$J66,$K66,$C66,($I66-#REF!)/365,$G66,$H66,$D66)-BSPrice($B66,$J66,$K66,$C66,($I66-#REF!)/365,$G66,$H66,$D66))*$F66</f>
        <v>#NAME?</v>
      </c>
      <c r="AJ66" s="54" t="e">
        <f>(BSPrice($B66,$J66-0.1,$K66,$C66,($I66-#REF!)/365,$G66,$H66,$D66)-BSPrice($B66,$J66,$K66,$C66,($I66-#REF!)/365,$G66,$H66,$D66))*$F66</f>
        <v>#NAME?</v>
      </c>
      <c r="AK66" s="54" t="e">
        <f>(BSPrice($B66,$J66-0.05,$K66,$C66,($I66-#REF!)/365,$G66,$H66,$D66)-BSPrice($B66,$J66,$K66,$C66,($I66-#REF!)/365,$G66,$H66,$D66))*$F66</f>
        <v>#NAME?</v>
      </c>
      <c r="AL66" s="54" t="e">
        <f>(BSPrice($B66,$J66-0.02,$K66,$C66,($I66-#REF!)/365,$G66,$H66,$D66)-BSPrice($B66,$J66,$K66,$C66,($I66-#REF!)/365,$G66,$H66,$D66))*$F66</f>
        <v>#NAME?</v>
      </c>
      <c r="AM66" s="54" t="e">
        <f>(BSPrice($B66,$J66-0.01,$K66,$C66,($I66-#REF!)/365,$G66,$H66,$D66)-BSPrice($B66,$J66,$K66,$C66,($I66-#REF!)/365,$G66,$H66,$D66))*$F66</f>
        <v>#NAME?</v>
      </c>
      <c r="AN66" s="54" t="e">
        <f>(BSPrice($B66,$J66+0.01,$K66,$C66,($I66-#REF!)/365,$G66,$H66,$D66)-BSPrice($B66,$J66,$K66,$C66,($I66-#REF!)/365,$G66,$H66,$D66))*$F66</f>
        <v>#NAME?</v>
      </c>
      <c r="AO66" s="54" t="e">
        <f>(BSPrice($B66,$J66+0.02,$K66,$C66,($I66-#REF!)/365,$G66,$H66,$D66)-BSPrice($B66,$J66,$K66,$C66,($I66-#REF!)/365,$G66,$H66,$D66))*$F66</f>
        <v>#NAME?</v>
      </c>
      <c r="AP66" s="54" t="e">
        <f>(BSPrice($B66,$J66+0.05,$K66,$C66,($I66-#REF!)/365,$G66,$H66,$D66)-BSPrice($B66,$J66,$K66,$C66,($I66-#REF!)/365,$G66,$H66,$D66))*$F66</f>
        <v>#NAME?</v>
      </c>
      <c r="AQ66" s="54" t="e">
        <f>(BSPrice($B66,$J66+0.1,$K66,$C66,($I66-#REF!)/365,$G66,$H66,$D66)-BSPrice($B66,$J66,$K66,$C66,($I66-#REF!)/365,$G66,$H66,$D66))*$F66</f>
        <v>#NAME?</v>
      </c>
    </row>
    <row r="67" spans="1:43">
      <c r="A67" s="67" t="s">
        <v>64</v>
      </c>
      <c r="B67" s="44">
        <f>VLOOKUP(A67,PriceData!$K$4:$L$6,2,FALSE)</f>
        <v>10022</v>
      </c>
      <c r="C67" s="45">
        <f>VLOOKUP(A67,PriceData!$K$4:$M$6,3,FALSE)</f>
        <v>0.005</v>
      </c>
      <c r="D67" s="44" t="s">
        <v>56</v>
      </c>
      <c r="E67" s="44" t="s">
        <v>65</v>
      </c>
      <c r="F67" s="44">
        <v>-20</v>
      </c>
      <c r="G67">
        <v>9120</v>
      </c>
      <c r="H67" s="44" t="s">
        <v>57</v>
      </c>
      <c r="I67" s="68">
        <v>40256</v>
      </c>
      <c r="J67" s="45">
        <f>FindImpliedVol(A67,D67,G67,I67)</f>
        <v>0.472167740835595</v>
      </c>
      <c r="K67" s="69">
        <f>VLOOKUP(I67,PriceData!$A$5:$D$7,MATCH($E67,PriceData!$A$4:$D$4,0),FALSE)</f>
        <v>0.005</v>
      </c>
      <c r="L67" s="52" t="e">
        <f>BSPrice($B67,$J67,$K67,$C67,($I67-#REF!)/365,$G67,$H67,$D67)</f>
        <v>#NAME?</v>
      </c>
      <c r="M67" s="52" t="e">
        <f t="shared" si="7"/>
        <v>#NAME?</v>
      </c>
      <c r="N67" s="44" t="s">
        <v>55</v>
      </c>
      <c r="P67" s="49" t="e">
        <f>BSDelta(B67,J67,K67,C67,(I67-#REF!)/365,G67,H67,D67)</f>
        <v>#NAME?</v>
      </c>
      <c r="Q67" s="49" t="e">
        <f>BSGamma(B67,J67,K67,C67,(I67-#REF!)/365,G67,D67)</f>
        <v>#NAME?</v>
      </c>
      <c r="R67" s="51" t="e">
        <f>BSVega(B67,J67,K67,C67,(I67-#REF!)/365,G67,D67)</f>
        <v>#NAME?</v>
      </c>
      <c r="S67" s="51" t="e">
        <f>BSVolga(B67,J67,K67,C67,(I67-#REF!)/365,G67,D67)</f>
        <v>#NAME?</v>
      </c>
      <c r="T67" s="51" t="e">
        <f>BSTheta(B67,J67,K67,C67,(I67-#REF!)/365,G67,H67,D67)</f>
        <v>#NAME?</v>
      </c>
      <c r="U67" s="52" t="e">
        <f>BSRho(B67,J67,K67,C67,(I67-#REF!)/365,G67,H67,D67)</f>
        <v>#NAME?</v>
      </c>
      <c r="V67" s="70" t="e">
        <f t="shared" ref="V67:V84" si="11">$F67*$P67</f>
        <v>#NAME?</v>
      </c>
      <c r="W67" s="70" t="e">
        <f t="shared" ref="W67:W84" si="12">$F67*$Q67</f>
        <v>#NAME?</v>
      </c>
      <c r="X67" s="54" t="e">
        <f t="shared" si="8"/>
        <v>#NAME?</v>
      </c>
      <c r="Y67" s="54" t="e">
        <f t="shared" ref="Y67:Y84" si="13">$F67*S67</f>
        <v>#NAME?</v>
      </c>
      <c r="Z67" s="54" t="e">
        <f t="shared" si="9"/>
        <v>#NAME?</v>
      </c>
      <c r="AA67" s="54" t="e">
        <f t="shared" si="10"/>
        <v>#NAME?</v>
      </c>
      <c r="AB67" s="54" t="e">
        <f>(BSPrice($B67*0.8,$J67,$K67,$C67,($I67-#REF!)/365,$G67,$H67,$D67)-BSPrice($B67,$J67,$K67,$C67,($I67-#REF!)/365,$G67,$H67,$D67))*$F67</f>
        <v>#NAME?</v>
      </c>
      <c r="AC67" s="54" t="e">
        <f>(BSPrice($B67*0.9,$J67,$K67,$C67,($I67-#REF!)/365,$G67,$H67,$D67)-BSPrice($B67,$J67,$K67,$C67,($I67-#REF!)/365,$G67,$H67,$D67))*$F67</f>
        <v>#NAME?</v>
      </c>
      <c r="AD67" s="54" t="e">
        <f>(BSPrice($B67*0.95,$J67,$K67,$C67,($I67-#REF!)/365,$G67,$H67,$D67)-BSPrice($B67,$J67,$K67,$C67,($I67-#REF!)/365,$G67,$H67,$D67))*$F67</f>
        <v>#NAME?</v>
      </c>
      <c r="AE67" s="54" t="e">
        <f>(BSPrice($B67*0.98,$J67,$K67,$C67,($I67-#REF!)/365,$G67,$H67,$D67)-BSPrice($B67,$J67,$K67,$C67,($I67-#REF!)/365,$G67,$H67,$D67))*$F67</f>
        <v>#NAME?</v>
      </c>
      <c r="AF67" s="54" t="e">
        <f>(BSPrice($B67*1.02,$J67,$K67,$C67,($I67-#REF!)/365,$G67,$H67,$D67)-BSPrice($B67,$J67,$K67,$C67,($I67-#REF!)/365,$G67,$H67,$D67))*$F67</f>
        <v>#NAME?</v>
      </c>
      <c r="AG67" s="54" t="e">
        <f>(BSPrice($B67*1.05,$J67,$K67,$C67,($I67-#REF!)/365,$G67,$H67,$D67)-BSPrice($B67,$J67,$K67,$C67,($I67-#REF!)/365,$G67,$H67,$D67))*$F67</f>
        <v>#NAME?</v>
      </c>
      <c r="AH67" s="54" t="e">
        <f>(BSPrice($B67*1.1,$J67,$K67,$C67,($I67-#REF!)/365,$G67,$H67,$D67)-BSPrice($B67,$J67,$K67,$C67,($I67-#REF!)/365,$G67,$H67,$D67))*$F67</f>
        <v>#NAME?</v>
      </c>
      <c r="AI67" s="54" t="e">
        <f>(BSPrice($B67*1.2,$J67,$K67,$C67,($I67-#REF!)/365,$G67,$H67,$D67)-BSPrice($B67,$J67,$K67,$C67,($I67-#REF!)/365,$G67,$H67,$D67))*$F67</f>
        <v>#NAME?</v>
      </c>
      <c r="AJ67" s="54" t="e">
        <f>(BSPrice($B67,$J67-0.1,$K67,$C67,($I67-#REF!)/365,$G67,$H67,$D67)-BSPrice($B67,$J67,$K67,$C67,($I67-#REF!)/365,$G67,$H67,$D67))*$F67</f>
        <v>#NAME?</v>
      </c>
      <c r="AK67" s="54" t="e">
        <f>(BSPrice($B67,$J67-0.05,$K67,$C67,($I67-#REF!)/365,$G67,$H67,$D67)-BSPrice($B67,$J67,$K67,$C67,($I67-#REF!)/365,$G67,$H67,$D67))*$F67</f>
        <v>#NAME?</v>
      </c>
      <c r="AL67" s="54" t="e">
        <f>(BSPrice($B67,$J67-0.02,$K67,$C67,($I67-#REF!)/365,$G67,$H67,$D67)-BSPrice($B67,$J67,$K67,$C67,($I67-#REF!)/365,$G67,$H67,$D67))*$F67</f>
        <v>#NAME?</v>
      </c>
      <c r="AM67" s="54" t="e">
        <f>(BSPrice($B67,$J67-0.01,$K67,$C67,($I67-#REF!)/365,$G67,$H67,$D67)-BSPrice($B67,$J67,$K67,$C67,($I67-#REF!)/365,$G67,$H67,$D67))*$F67</f>
        <v>#NAME?</v>
      </c>
      <c r="AN67" s="54" t="e">
        <f>(BSPrice($B67,$J67+0.01,$K67,$C67,($I67-#REF!)/365,$G67,$H67,$D67)-BSPrice($B67,$J67,$K67,$C67,($I67-#REF!)/365,$G67,$H67,$D67))*$F67</f>
        <v>#NAME?</v>
      </c>
      <c r="AO67" s="54" t="e">
        <f>(BSPrice($B67,$J67+0.02,$K67,$C67,($I67-#REF!)/365,$G67,$H67,$D67)-BSPrice($B67,$J67,$K67,$C67,($I67-#REF!)/365,$G67,$H67,$D67))*$F67</f>
        <v>#NAME?</v>
      </c>
      <c r="AP67" s="54" t="e">
        <f>(BSPrice($B67,$J67+0.05,$K67,$C67,($I67-#REF!)/365,$G67,$H67,$D67)-BSPrice($B67,$J67,$K67,$C67,($I67-#REF!)/365,$G67,$H67,$D67))*$F67</f>
        <v>#NAME?</v>
      </c>
      <c r="AQ67" s="54" t="e">
        <f>(BSPrice($B67,$J67+0.1,$K67,$C67,($I67-#REF!)/365,$G67,$H67,$D67)-BSPrice($B67,$J67,$K67,$C67,($I67-#REF!)/365,$G67,$H67,$D67))*$F67</f>
        <v>#NAME?</v>
      </c>
    </row>
    <row r="68" spans="1:43">
      <c r="A68" s="67" t="s">
        <v>64</v>
      </c>
      <c r="B68" s="44">
        <f>VLOOKUP(A68,PriceData!$K$4:$L$6,2,FALSE)</f>
        <v>10022</v>
      </c>
      <c r="C68" s="45">
        <f>VLOOKUP(A68,PriceData!$K$4:$M$6,3,FALSE)</f>
        <v>0.005</v>
      </c>
      <c r="D68" s="44" t="s">
        <v>56</v>
      </c>
      <c r="E68" s="44" t="s">
        <v>65</v>
      </c>
      <c r="F68" s="44">
        <v>-25</v>
      </c>
      <c r="G68">
        <v>10022</v>
      </c>
      <c r="H68" s="44" t="s">
        <v>59</v>
      </c>
      <c r="I68" s="68">
        <v>40256</v>
      </c>
      <c r="J68" s="45">
        <f>FindImpliedVol(A68,D68,G68,I68)</f>
        <v>0.41</v>
      </c>
      <c r="K68" s="69">
        <f>VLOOKUP(I68,PriceData!$A$5:$D$7,MATCH($E68,PriceData!$A$4:$D$4,0),FALSE)</f>
        <v>0.005</v>
      </c>
      <c r="L68" s="52" t="e">
        <f>BSPrice($B68,$J68,$K68,$C68,($I68-#REF!)/365,$G68,$H68,$D68)</f>
        <v>#NAME?</v>
      </c>
      <c r="M68" s="52" t="e">
        <f t="shared" si="7"/>
        <v>#NAME?</v>
      </c>
      <c r="N68" s="44" t="s">
        <v>55</v>
      </c>
      <c r="P68" s="49" t="e">
        <f>BSDelta(B68,J68,K68,C68,(I68-#REF!)/365,G68,H68,D68)</f>
        <v>#NAME?</v>
      </c>
      <c r="Q68" s="49" t="e">
        <f>BSGamma(B68,J68,K68,C68,(I68-#REF!)/365,G68,D68)</f>
        <v>#NAME?</v>
      </c>
      <c r="R68" s="51" t="e">
        <f>BSVega(B68,J68,K68,C68,(I68-#REF!)/365,G68,D68)</f>
        <v>#NAME?</v>
      </c>
      <c r="S68" s="51" t="e">
        <f>BSVolga(B68,J68,K68,C68,(I68-#REF!)/365,G68,D68)</f>
        <v>#NAME?</v>
      </c>
      <c r="T68" s="51" t="e">
        <f>BSTheta(B68,J68,K68,C68,(I68-#REF!)/365,G68,H68,D68)</f>
        <v>#NAME?</v>
      </c>
      <c r="U68" s="52" t="e">
        <f>BSRho(B68,J68,K68,C68,(I68-#REF!)/365,G68,H68,D68)</f>
        <v>#NAME?</v>
      </c>
      <c r="V68" s="70" t="e">
        <f t="shared" si="11"/>
        <v>#NAME?</v>
      </c>
      <c r="W68" s="70" t="e">
        <f t="shared" si="12"/>
        <v>#NAME?</v>
      </c>
      <c r="X68" s="54" t="e">
        <f t="shared" si="8"/>
        <v>#NAME?</v>
      </c>
      <c r="Y68" s="54" t="e">
        <f t="shared" si="13"/>
        <v>#NAME?</v>
      </c>
      <c r="Z68" s="54" t="e">
        <f t="shared" si="9"/>
        <v>#NAME?</v>
      </c>
      <c r="AA68" s="54" t="e">
        <f t="shared" si="10"/>
        <v>#NAME?</v>
      </c>
      <c r="AB68" s="54" t="e">
        <f>(BSPrice($B68*0.8,$J68,$K68,$C68,($I68-#REF!)/365,$G68,$H68,$D68)-BSPrice($B68,$J68,$K68,$C68,($I68-#REF!)/365,$G68,$H68,$D68))*$F68</f>
        <v>#NAME?</v>
      </c>
      <c r="AC68" s="54" t="e">
        <f>(BSPrice($B68*0.9,$J68,$K68,$C68,($I68-#REF!)/365,$G68,$H68,$D68)-BSPrice($B68,$J68,$K68,$C68,($I68-#REF!)/365,$G68,$H68,$D68))*$F68</f>
        <v>#NAME?</v>
      </c>
      <c r="AD68" s="54" t="e">
        <f>(BSPrice($B68*0.95,$J68,$K68,$C68,($I68-#REF!)/365,$G68,$H68,$D68)-BSPrice($B68,$J68,$K68,$C68,($I68-#REF!)/365,$G68,$H68,$D68))*$F68</f>
        <v>#NAME?</v>
      </c>
      <c r="AE68" s="54" t="e">
        <f>(BSPrice($B68*0.98,$J68,$K68,$C68,($I68-#REF!)/365,$G68,$H68,$D68)-BSPrice($B68,$J68,$K68,$C68,($I68-#REF!)/365,$G68,$H68,$D68))*$F68</f>
        <v>#NAME?</v>
      </c>
      <c r="AF68" s="54" t="e">
        <f>(BSPrice($B68*1.02,$J68,$K68,$C68,($I68-#REF!)/365,$G68,$H68,$D68)-BSPrice($B68,$J68,$K68,$C68,($I68-#REF!)/365,$G68,$H68,$D68))*$F68</f>
        <v>#NAME?</v>
      </c>
      <c r="AG68" s="54" t="e">
        <f>(BSPrice($B68*1.05,$J68,$K68,$C68,($I68-#REF!)/365,$G68,$H68,$D68)-BSPrice($B68,$J68,$K68,$C68,($I68-#REF!)/365,$G68,$H68,$D68))*$F68</f>
        <v>#NAME?</v>
      </c>
      <c r="AH68" s="54" t="e">
        <f>(BSPrice($B68*1.1,$J68,$K68,$C68,($I68-#REF!)/365,$G68,$H68,$D68)-BSPrice($B68,$J68,$K68,$C68,($I68-#REF!)/365,$G68,$H68,$D68))*$F68</f>
        <v>#NAME?</v>
      </c>
      <c r="AI68" s="54" t="e">
        <f>(BSPrice($B68*1.2,$J68,$K68,$C68,($I68-#REF!)/365,$G68,$H68,$D68)-BSPrice($B68,$J68,$K68,$C68,($I68-#REF!)/365,$G68,$H68,$D68))*$F68</f>
        <v>#NAME?</v>
      </c>
      <c r="AJ68" s="54" t="e">
        <f>(BSPrice($B68,$J68-0.1,$K68,$C68,($I68-#REF!)/365,$G68,$H68,$D68)-BSPrice($B68,$J68,$K68,$C68,($I68-#REF!)/365,$G68,$H68,$D68))*$F68</f>
        <v>#NAME?</v>
      </c>
      <c r="AK68" s="54" t="e">
        <f>(BSPrice($B68,$J68-0.05,$K68,$C68,($I68-#REF!)/365,$G68,$H68,$D68)-BSPrice($B68,$J68,$K68,$C68,($I68-#REF!)/365,$G68,$H68,$D68))*$F68</f>
        <v>#NAME?</v>
      </c>
      <c r="AL68" s="54" t="e">
        <f>(BSPrice($B68,$J68-0.02,$K68,$C68,($I68-#REF!)/365,$G68,$H68,$D68)-BSPrice($B68,$J68,$K68,$C68,($I68-#REF!)/365,$G68,$H68,$D68))*$F68</f>
        <v>#NAME?</v>
      </c>
      <c r="AM68" s="54" t="e">
        <f>(BSPrice($B68,$J68-0.01,$K68,$C68,($I68-#REF!)/365,$G68,$H68,$D68)-BSPrice($B68,$J68,$K68,$C68,($I68-#REF!)/365,$G68,$H68,$D68))*$F68</f>
        <v>#NAME?</v>
      </c>
      <c r="AN68" s="54" t="e">
        <f>(BSPrice($B68,$J68+0.01,$K68,$C68,($I68-#REF!)/365,$G68,$H68,$D68)-BSPrice($B68,$J68,$K68,$C68,($I68-#REF!)/365,$G68,$H68,$D68))*$F68</f>
        <v>#NAME?</v>
      </c>
      <c r="AO68" s="54" t="e">
        <f>(BSPrice($B68,$J68+0.02,$K68,$C68,($I68-#REF!)/365,$G68,$H68,$D68)-BSPrice($B68,$J68,$K68,$C68,($I68-#REF!)/365,$G68,$H68,$D68))*$F68</f>
        <v>#NAME?</v>
      </c>
      <c r="AP68" s="54" t="e">
        <f>(BSPrice($B68,$J68+0.05,$K68,$C68,($I68-#REF!)/365,$G68,$H68,$D68)-BSPrice($B68,$J68,$K68,$C68,($I68-#REF!)/365,$G68,$H68,$D68))*$F68</f>
        <v>#NAME?</v>
      </c>
      <c r="AQ68" s="54" t="e">
        <f>(BSPrice($B68,$J68+0.1,$K68,$C68,($I68-#REF!)/365,$G68,$H68,$D68)-BSPrice($B68,$J68,$K68,$C68,($I68-#REF!)/365,$G68,$H68,$D68))*$F68</f>
        <v>#NAME?</v>
      </c>
    </row>
    <row r="69" spans="1:43">
      <c r="A69" s="67" t="s">
        <v>64</v>
      </c>
      <c r="B69" s="44">
        <f>VLOOKUP(A69,PriceData!$K$4:$L$6,2,FALSE)</f>
        <v>10022</v>
      </c>
      <c r="C69" s="45">
        <f>VLOOKUP(A69,PriceData!$K$4:$M$6,3,FALSE)</f>
        <v>0.005</v>
      </c>
      <c r="D69" s="44" t="s">
        <v>56</v>
      </c>
      <c r="E69" s="44" t="s">
        <v>65</v>
      </c>
      <c r="F69" s="44">
        <v>10</v>
      </c>
      <c r="G69">
        <v>8519</v>
      </c>
      <c r="H69" s="44" t="s">
        <v>57</v>
      </c>
      <c r="I69" s="68">
        <v>40256</v>
      </c>
      <c r="J69" s="45">
        <f>FindImpliedVol(A69,D69,G69,I69)</f>
        <v>0.534139247868658</v>
      </c>
      <c r="K69" s="69">
        <f>VLOOKUP(I69,PriceData!$A$5:$D$7,MATCH($E69,PriceData!$A$4:$D$4,0),FALSE)</f>
        <v>0.005</v>
      </c>
      <c r="L69" s="52" t="e">
        <f>BSPrice($B69,$J69,$K69,$C69,($I69-#REF!)/365,$G69,$H69,$D69)</f>
        <v>#NAME?</v>
      </c>
      <c r="M69" s="52" t="e">
        <f t="shared" si="7"/>
        <v>#NAME?</v>
      </c>
      <c r="N69" s="44" t="s">
        <v>60</v>
      </c>
      <c r="P69" s="49" t="e">
        <f>BSDelta(B69,J69,K69,C69,(I69-#REF!)/365,G69,H69,D69)</f>
        <v>#NAME?</v>
      </c>
      <c r="Q69" s="49" t="e">
        <f>BSGamma(B69,J69,K69,C69,(I69-#REF!)/365,G69,D69)</f>
        <v>#NAME?</v>
      </c>
      <c r="R69" s="51" t="e">
        <f>BSVega(B69,J69,K69,C69,(I69-#REF!)/365,G69,D69)</f>
        <v>#NAME?</v>
      </c>
      <c r="S69" s="51" t="e">
        <f>BSVolga(B69,J69,K69,C69,(I69-#REF!)/365,G69,D69)</f>
        <v>#NAME?</v>
      </c>
      <c r="T69" s="51" t="e">
        <f>BSTheta(B69,J69,K69,C69,(I69-#REF!)/365,G69,H69,D69)</f>
        <v>#NAME?</v>
      </c>
      <c r="U69" s="52" t="e">
        <f>BSRho(B69,J69,K69,C69,(I69-#REF!)/365,G69,H69,D69)</f>
        <v>#NAME?</v>
      </c>
      <c r="V69" s="70" t="e">
        <f t="shared" si="11"/>
        <v>#NAME?</v>
      </c>
      <c r="W69" s="70" t="e">
        <f t="shared" si="12"/>
        <v>#NAME?</v>
      </c>
      <c r="X69" s="54" t="e">
        <f t="shared" si="8"/>
        <v>#NAME?</v>
      </c>
      <c r="Y69" s="54" t="e">
        <f t="shared" si="13"/>
        <v>#NAME?</v>
      </c>
      <c r="Z69" s="54" t="e">
        <f t="shared" si="9"/>
        <v>#NAME?</v>
      </c>
      <c r="AA69" s="54" t="e">
        <f t="shared" si="10"/>
        <v>#NAME?</v>
      </c>
      <c r="AB69" s="54" t="e">
        <f>(BSPrice($B69*0.8,$J69,$K69,$C69,($I69-#REF!)/365,$G69,$H69,$D69)-BSPrice($B69,$J69,$K69,$C69,($I69-#REF!)/365,$G69,$H69,$D69))*$F69</f>
        <v>#NAME?</v>
      </c>
      <c r="AC69" s="54" t="e">
        <f>(BSPrice($B69*0.9,$J69,$K69,$C69,($I69-#REF!)/365,$G69,$H69,$D69)-BSPrice($B69,$J69,$K69,$C69,($I69-#REF!)/365,$G69,$H69,$D69))*$F69</f>
        <v>#NAME?</v>
      </c>
      <c r="AD69" s="54" t="e">
        <f>(BSPrice($B69*0.95,$J69,$K69,$C69,($I69-#REF!)/365,$G69,$H69,$D69)-BSPrice($B69,$J69,$K69,$C69,($I69-#REF!)/365,$G69,$H69,$D69))*$F69</f>
        <v>#NAME?</v>
      </c>
      <c r="AE69" s="54" t="e">
        <f>(BSPrice($B69*0.98,$J69,$K69,$C69,($I69-#REF!)/365,$G69,$H69,$D69)-BSPrice($B69,$J69,$K69,$C69,($I69-#REF!)/365,$G69,$H69,$D69))*$F69</f>
        <v>#NAME?</v>
      </c>
      <c r="AF69" s="54" t="e">
        <f>(BSPrice($B69*1.02,$J69,$K69,$C69,($I69-#REF!)/365,$G69,$H69,$D69)-BSPrice($B69,$J69,$K69,$C69,($I69-#REF!)/365,$G69,$H69,$D69))*$F69</f>
        <v>#NAME?</v>
      </c>
      <c r="AG69" s="54" t="e">
        <f>(BSPrice($B69*1.05,$J69,$K69,$C69,($I69-#REF!)/365,$G69,$H69,$D69)-BSPrice($B69,$J69,$K69,$C69,($I69-#REF!)/365,$G69,$H69,$D69))*$F69</f>
        <v>#NAME?</v>
      </c>
      <c r="AH69" s="54" t="e">
        <f>(BSPrice($B69*1.1,$J69,$K69,$C69,($I69-#REF!)/365,$G69,$H69,$D69)-BSPrice($B69,$J69,$K69,$C69,($I69-#REF!)/365,$G69,$H69,$D69))*$F69</f>
        <v>#NAME?</v>
      </c>
      <c r="AI69" s="54" t="e">
        <f>(BSPrice($B69*1.2,$J69,$K69,$C69,($I69-#REF!)/365,$G69,$H69,$D69)-BSPrice($B69,$J69,$K69,$C69,($I69-#REF!)/365,$G69,$H69,$D69))*$F69</f>
        <v>#NAME?</v>
      </c>
      <c r="AJ69" s="54" t="e">
        <f>(BSPrice($B69,$J69-0.1,$K69,$C69,($I69-#REF!)/365,$G69,$H69,$D69)-BSPrice($B69,$J69,$K69,$C69,($I69-#REF!)/365,$G69,$H69,$D69))*$F69</f>
        <v>#NAME?</v>
      </c>
      <c r="AK69" s="54" t="e">
        <f>(BSPrice($B69,$J69-0.05,$K69,$C69,($I69-#REF!)/365,$G69,$H69,$D69)-BSPrice($B69,$J69,$K69,$C69,($I69-#REF!)/365,$G69,$H69,$D69))*$F69</f>
        <v>#NAME?</v>
      </c>
      <c r="AL69" s="54" t="e">
        <f>(BSPrice($B69,$J69-0.02,$K69,$C69,($I69-#REF!)/365,$G69,$H69,$D69)-BSPrice($B69,$J69,$K69,$C69,($I69-#REF!)/365,$G69,$H69,$D69))*$F69</f>
        <v>#NAME?</v>
      </c>
      <c r="AM69" s="54" t="e">
        <f>(BSPrice($B69,$J69-0.01,$K69,$C69,($I69-#REF!)/365,$G69,$H69,$D69)-BSPrice($B69,$J69,$K69,$C69,($I69-#REF!)/365,$G69,$H69,$D69))*$F69</f>
        <v>#NAME?</v>
      </c>
      <c r="AN69" s="54" t="e">
        <f>(BSPrice($B69,$J69+0.01,$K69,$C69,($I69-#REF!)/365,$G69,$H69,$D69)-BSPrice($B69,$J69,$K69,$C69,($I69-#REF!)/365,$G69,$H69,$D69))*$F69</f>
        <v>#NAME?</v>
      </c>
      <c r="AO69" s="54" t="e">
        <f>(BSPrice($B69,$J69+0.02,$K69,$C69,($I69-#REF!)/365,$G69,$H69,$D69)-BSPrice($B69,$J69,$K69,$C69,($I69-#REF!)/365,$G69,$H69,$D69))*$F69</f>
        <v>#NAME?</v>
      </c>
      <c r="AP69" s="54" t="e">
        <f>(BSPrice($B69,$J69+0.05,$K69,$C69,($I69-#REF!)/365,$G69,$H69,$D69)-BSPrice($B69,$J69,$K69,$C69,($I69-#REF!)/365,$G69,$H69,$D69))*$F69</f>
        <v>#NAME?</v>
      </c>
      <c r="AQ69" s="54" t="e">
        <f>(BSPrice($B69,$J69+0.1,$K69,$C69,($I69-#REF!)/365,$G69,$H69,$D69)-BSPrice($B69,$J69,$K69,$C69,($I69-#REF!)/365,$G69,$H69,$D69))*$F69</f>
        <v>#NAME?</v>
      </c>
    </row>
    <row r="70" spans="1:43">
      <c r="A70" s="67" t="s">
        <v>64</v>
      </c>
      <c r="B70" s="44">
        <f>VLOOKUP(A70,PriceData!$K$4:$L$6,2,FALSE)</f>
        <v>10022</v>
      </c>
      <c r="C70" s="45">
        <f>VLOOKUP(A70,PriceData!$K$4:$M$6,3,FALSE)</f>
        <v>0.005</v>
      </c>
      <c r="D70" s="44" t="s">
        <v>56</v>
      </c>
      <c r="E70" s="44" t="s">
        <v>65</v>
      </c>
      <c r="F70" s="44">
        <v>-25</v>
      </c>
      <c r="G70">
        <v>10022</v>
      </c>
      <c r="H70" s="44" t="s">
        <v>57</v>
      </c>
      <c r="I70" s="68">
        <v>40347</v>
      </c>
      <c r="J70" s="45">
        <f>FindImpliedVol(A70,D70,G70,I70)</f>
        <v>0.36</v>
      </c>
      <c r="K70" s="69">
        <f>VLOOKUP(I70,PriceData!$A$5:$D$7,MATCH($E70,PriceData!$A$4:$D$4,0),FALSE)</f>
        <v>0.005</v>
      </c>
      <c r="L70" s="52" t="e">
        <f>BSPrice($B70,$J70,$K70,$C70,($I70-#REF!)/365,$G70,$H70,$D70)</f>
        <v>#NAME?</v>
      </c>
      <c r="M70" s="52" t="e">
        <f t="shared" si="7"/>
        <v>#NAME?</v>
      </c>
      <c r="N70" s="44" t="s">
        <v>55</v>
      </c>
      <c r="P70" s="49" t="e">
        <f>BSDelta(B70,J70,K70,C70,(I70-#REF!)/365,G70,H70,D70)</f>
        <v>#NAME?</v>
      </c>
      <c r="Q70" s="49" t="e">
        <f>BSGamma(B70,J70,K70,C70,(I70-#REF!)/365,G70,D70)</f>
        <v>#NAME?</v>
      </c>
      <c r="R70" s="51" t="e">
        <f>BSVega(B70,J70,K70,C70,(I70-#REF!)/365,G70,D70)</f>
        <v>#NAME?</v>
      </c>
      <c r="S70" s="51" t="e">
        <f>BSVolga(B70,J70,K70,C70,(I70-#REF!)/365,G70,D70)</f>
        <v>#NAME?</v>
      </c>
      <c r="T70" s="51" t="e">
        <f>BSTheta(B70,J70,K70,C70,(I70-#REF!)/365,G70,H70,D70)</f>
        <v>#NAME?</v>
      </c>
      <c r="U70" s="52" t="e">
        <f>BSRho(B70,J70,K70,C70,(I70-#REF!)/365,G70,H70,D70)</f>
        <v>#NAME?</v>
      </c>
      <c r="V70" s="70" t="e">
        <f t="shared" si="11"/>
        <v>#NAME?</v>
      </c>
      <c r="W70" s="70" t="e">
        <f t="shared" si="12"/>
        <v>#NAME?</v>
      </c>
      <c r="X70" s="54" t="e">
        <f t="shared" si="8"/>
        <v>#NAME?</v>
      </c>
      <c r="Y70" s="54" t="e">
        <f t="shared" si="13"/>
        <v>#NAME?</v>
      </c>
      <c r="Z70" s="54" t="e">
        <f t="shared" si="9"/>
        <v>#NAME?</v>
      </c>
      <c r="AA70" s="54" t="e">
        <f t="shared" si="10"/>
        <v>#NAME?</v>
      </c>
      <c r="AB70" s="54" t="e">
        <f>(BSPrice($B70*0.8,$J70,$K70,$C70,($I70-#REF!)/365,$G70,$H70,$D70)-BSPrice($B70,$J70,$K70,$C70,($I70-#REF!)/365,$G70,$H70,$D70))*$F70</f>
        <v>#NAME?</v>
      </c>
      <c r="AC70" s="54" t="e">
        <f>(BSPrice($B70*0.9,$J70,$K70,$C70,($I70-#REF!)/365,$G70,$H70,$D70)-BSPrice($B70,$J70,$K70,$C70,($I70-#REF!)/365,$G70,$H70,$D70))*$F70</f>
        <v>#NAME?</v>
      </c>
      <c r="AD70" s="54" t="e">
        <f>(BSPrice($B70*0.95,$J70,$K70,$C70,($I70-#REF!)/365,$G70,$H70,$D70)-BSPrice($B70,$J70,$K70,$C70,($I70-#REF!)/365,$G70,$H70,$D70))*$F70</f>
        <v>#NAME?</v>
      </c>
      <c r="AE70" s="54" t="e">
        <f>(BSPrice($B70*0.98,$J70,$K70,$C70,($I70-#REF!)/365,$G70,$H70,$D70)-BSPrice($B70,$J70,$K70,$C70,($I70-#REF!)/365,$G70,$H70,$D70))*$F70</f>
        <v>#NAME?</v>
      </c>
      <c r="AF70" s="54" t="e">
        <f>(BSPrice($B70*1.02,$J70,$K70,$C70,($I70-#REF!)/365,$G70,$H70,$D70)-BSPrice($B70,$J70,$K70,$C70,($I70-#REF!)/365,$G70,$H70,$D70))*$F70</f>
        <v>#NAME?</v>
      </c>
      <c r="AG70" s="54" t="e">
        <f>(BSPrice($B70*1.05,$J70,$K70,$C70,($I70-#REF!)/365,$G70,$H70,$D70)-BSPrice($B70,$J70,$K70,$C70,($I70-#REF!)/365,$G70,$H70,$D70))*$F70</f>
        <v>#NAME?</v>
      </c>
      <c r="AH70" s="54" t="e">
        <f>(BSPrice($B70*1.1,$J70,$K70,$C70,($I70-#REF!)/365,$G70,$H70,$D70)-BSPrice($B70,$J70,$K70,$C70,($I70-#REF!)/365,$G70,$H70,$D70))*$F70</f>
        <v>#NAME?</v>
      </c>
      <c r="AI70" s="54" t="e">
        <f>(BSPrice($B70*1.2,$J70,$K70,$C70,($I70-#REF!)/365,$G70,$H70,$D70)-BSPrice($B70,$J70,$K70,$C70,($I70-#REF!)/365,$G70,$H70,$D70))*$F70</f>
        <v>#NAME?</v>
      </c>
      <c r="AJ70" s="54" t="e">
        <f>(BSPrice($B70,$J70-0.1,$K70,$C70,($I70-#REF!)/365,$G70,$H70,$D70)-BSPrice($B70,$J70,$K70,$C70,($I70-#REF!)/365,$G70,$H70,$D70))*$F70</f>
        <v>#NAME?</v>
      </c>
      <c r="AK70" s="54" t="e">
        <f>(BSPrice($B70,$J70-0.05,$K70,$C70,($I70-#REF!)/365,$G70,$H70,$D70)-BSPrice($B70,$J70,$K70,$C70,($I70-#REF!)/365,$G70,$H70,$D70))*$F70</f>
        <v>#NAME?</v>
      </c>
      <c r="AL70" s="54" t="e">
        <f>(BSPrice($B70,$J70-0.02,$K70,$C70,($I70-#REF!)/365,$G70,$H70,$D70)-BSPrice($B70,$J70,$K70,$C70,($I70-#REF!)/365,$G70,$H70,$D70))*$F70</f>
        <v>#NAME?</v>
      </c>
      <c r="AM70" s="54" t="e">
        <f>(BSPrice($B70,$J70-0.01,$K70,$C70,($I70-#REF!)/365,$G70,$H70,$D70)-BSPrice($B70,$J70,$K70,$C70,($I70-#REF!)/365,$G70,$H70,$D70))*$F70</f>
        <v>#NAME?</v>
      </c>
      <c r="AN70" s="54" t="e">
        <f>(BSPrice($B70,$J70+0.01,$K70,$C70,($I70-#REF!)/365,$G70,$H70,$D70)-BSPrice($B70,$J70,$K70,$C70,($I70-#REF!)/365,$G70,$H70,$D70))*$F70</f>
        <v>#NAME?</v>
      </c>
      <c r="AO70" s="54" t="e">
        <f>(BSPrice($B70,$J70+0.02,$K70,$C70,($I70-#REF!)/365,$G70,$H70,$D70)-BSPrice($B70,$J70,$K70,$C70,($I70-#REF!)/365,$G70,$H70,$D70))*$F70</f>
        <v>#NAME?</v>
      </c>
      <c r="AP70" s="54" t="e">
        <f>(BSPrice($B70,$J70+0.05,$K70,$C70,($I70-#REF!)/365,$G70,$H70,$D70)-BSPrice($B70,$J70,$K70,$C70,($I70-#REF!)/365,$G70,$H70,$D70))*$F70</f>
        <v>#NAME?</v>
      </c>
      <c r="AQ70" s="54" t="e">
        <f>(BSPrice($B70,$J70+0.1,$K70,$C70,($I70-#REF!)/365,$G70,$H70,$D70)-BSPrice($B70,$J70,$K70,$C70,($I70-#REF!)/365,$G70,$H70,$D70))*$F70</f>
        <v>#NAME?</v>
      </c>
    </row>
    <row r="71" spans="1:43">
      <c r="A71" s="67" t="s">
        <v>64</v>
      </c>
      <c r="B71" s="44">
        <f>VLOOKUP(A71,PriceData!$K$4:$L$6,2,FALSE)</f>
        <v>10022</v>
      </c>
      <c r="C71" s="45">
        <f>VLOOKUP(A71,PriceData!$K$4:$M$6,3,FALSE)</f>
        <v>0.005</v>
      </c>
      <c r="D71" s="44" t="s">
        <v>56</v>
      </c>
      <c r="E71" s="44" t="s">
        <v>65</v>
      </c>
      <c r="F71" s="44">
        <v>-10</v>
      </c>
      <c r="G71">
        <v>9120</v>
      </c>
      <c r="H71" s="44" t="s">
        <v>57</v>
      </c>
      <c r="I71" s="68">
        <v>40347</v>
      </c>
      <c r="J71" s="45">
        <f>FindImpliedVol(A71,D71,G71,I71)</f>
        <v>0.422167740835595</v>
      </c>
      <c r="K71" s="69">
        <f>VLOOKUP(I71,PriceData!$A$5:$D$7,MATCH($E71,PriceData!$A$4:$D$4,0),FALSE)</f>
        <v>0.005</v>
      </c>
      <c r="L71" s="52" t="e">
        <f>BSPrice($B71,$J71,$K71,$C71,($I71-#REF!)/365,$G71,$H71,$D71)</f>
        <v>#NAME?</v>
      </c>
      <c r="M71" s="52" t="e">
        <f t="shared" si="7"/>
        <v>#NAME?</v>
      </c>
      <c r="N71" s="44" t="s">
        <v>55</v>
      </c>
      <c r="P71" s="49" t="e">
        <f>BSDelta(B71,J71,K71,C71,(I71-#REF!)/365,G71,H71,D71)</f>
        <v>#NAME?</v>
      </c>
      <c r="Q71" s="49" t="e">
        <f>BSGamma(B71,J71,K71,C71,(I71-#REF!)/365,G71,D71)</f>
        <v>#NAME?</v>
      </c>
      <c r="R71" s="51" t="e">
        <f>BSVega(B71,J71,K71,C71,(I71-#REF!)/365,G71,D71)</f>
        <v>#NAME?</v>
      </c>
      <c r="S71" s="51" t="e">
        <f>BSVolga(B71,J71,K71,C71,(I71-#REF!)/365,G71,D71)</f>
        <v>#NAME?</v>
      </c>
      <c r="T71" s="51" t="e">
        <f>BSTheta(B71,J71,K71,C71,(I71-#REF!)/365,G71,H71,D71)</f>
        <v>#NAME?</v>
      </c>
      <c r="U71" s="52" t="e">
        <f>BSRho(B71,J71,K71,C71,(I71-#REF!)/365,G71,H71,D71)</f>
        <v>#NAME?</v>
      </c>
      <c r="V71" s="70" t="e">
        <f t="shared" si="11"/>
        <v>#NAME?</v>
      </c>
      <c r="W71" s="70" t="e">
        <f t="shared" si="12"/>
        <v>#NAME?</v>
      </c>
      <c r="X71" s="54" t="e">
        <f t="shared" si="8"/>
        <v>#NAME?</v>
      </c>
      <c r="Y71" s="54" t="e">
        <f t="shared" si="13"/>
        <v>#NAME?</v>
      </c>
      <c r="Z71" s="54" t="e">
        <f t="shared" si="9"/>
        <v>#NAME?</v>
      </c>
      <c r="AA71" s="54" t="e">
        <f t="shared" si="10"/>
        <v>#NAME?</v>
      </c>
      <c r="AB71" s="54" t="e">
        <f>(BSPrice($B71*0.8,$J71,$K71,$C71,($I71-#REF!)/365,$G71,$H71,$D71)-BSPrice($B71,$J71,$K71,$C71,($I71-#REF!)/365,$G71,$H71,$D71))*$F71</f>
        <v>#NAME?</v>
      </c>
      <c r="AC71" s="54" t="e">
        <f>(BSPrice($B71*0.9,$J71,$K71,$C71,($I71-#REF!)/365,$G71,$H71,$D71)-BSPrice($B71,$J71,$K71,$C71,($I71-#REF!)/365,$G71,$H71,$D71))*$F71</f>
        <v>#NAME?</v>
      </c>
      <c r="AD71" s="54" t="e">
        <f>(BSPrice($B71*0.95,$J71,$K71,$C71,($I71-#REF!)/365,$G71,$H71,$D71)-BSPrice($B71,$J71,$K71,$C71,($I71-#REF!)/365,$G71,$H71,$D71))*$F71</f>
        <v>#NAME?</v>
      </c>
      <c r="AE71" s="54" t="e">
        <f>(BSPrice($B71*0.98,$J71,$K71,$C71,($I71-#REF!)/365,$G71,$H71,$D71)-BSPrice($B71,$J71,$K71,$C71,($I71-#REF!)/365,$G71,$H71,$D71))*$F71</f>
        <v>#NAME?</v>
      </c>
      <c r="AF71" s="54" t="e">
        <f>(BSPrice($B71*1.02,$J71,$K71,$C71,($I71-#REF!)/365,$G71,$H71,$D71)-BSPrice($B71,$J71,$K71,$C71,($I71-#REF!)/365,$G71,$H71,$D71))*$F71</f>
        <v>#NAME?</v>
      </c>
      <c r="AG71" s="54" t="e">
        <f>(BSPrice($B71*1.05,$J71,$K71,$C71,($I71-#REF!)/365,$G71,$H71,$D71)-BSPrice($B71,$J71,$K71,$C71,($I71-#REF!)/365,$G71,$H71,$D71))*$F71</f>
        <v>#NAME?</v>
      </c>
      <c r="AH71" s="54" t="e">
        <f>(BSPrice($B71*1.1,$J71,$K71,$C71,($I71-#REF!)/365,$G71,$H71,$D71)-BSPrice($B71,$J71,$K71,$C71,($I71-#REF!)/365,$G71,$H71,$D71))*$F71</f>
        <v>#NAME?</v>
      </c>
      <c r="AI71" s="54" t="e">
        <f>(BSPrice($B71*1.2,$J71,$K71,$C71,($I71-#REF!)/365,$G71,$H71,$D71)-BSPrice($B71,$J71,$K71,$C71,($I71-#REF!)/365,$G71,$H71,$D71))*$F71</f>
        <v>#NAME?</v>
      </c>
      <c r="AJ71" s="54" t="e">
        <f>(BSPrice($B71,$J71-0.1,$K71,$C71,($I71-#REF!)/365,$G71,$H71,$D71)-BSPrice($B71,$J71,$K71,$C71,($I71-#REF!)/365,$G71,$H71,$D71))*$F71</f>
        <v>#NAME?</v>
      </c>
      <c r="AK71" s="54" t="e">
        <f>(BSPrice($B71,$J71-0.05,$K71,$C71,($I71-#REF!)/365,$G71,$H71,$D71)-BSPrice($B71,$J71,$K71,$C71,($I71-#REF!)/365,$G71,$H71,$D71))*$F71</f>
        <v>#NAME?</v>
      </c>
      <c r="AL71" s="54" t="e">
        <f>(BSPrice($B71,$J71-0.02,$K71,$C71,($I71-#REF!)/365,$G71,$H71,$D71)-BSPrice($B71,$J71,$K71,$C71,($I71-#REF!)/365,$G71,$H71,$D71))*$F71</f>
        <v>#NAME?</v>
      </c>
      <c r="AM71" s="54" t="e">
        <f>(BSPrice($B71,$J71-0.01,$K71,$C71,($I71-#REF!)/365,$G71,$H71,$D71)-BSPrice($B71,$J71,$K71,$C71,($I71-#REF!)/365,$G71,$H71,$D71))*$F71</f>
        <v>#NAME?</v>
      </c>
      <c r="AN71" s="54" t="e">
        <f>(BSPrice($B71,$J71+0.01,$K71,$C71,($I71-#REF!)/365,$G71,$H71,$D71)-BSPrice($B71,$J71,$K71,$C71,($I71-#REF!)/365,$G71,$H71,$D71))*$F71</f>
        <v>#NAME?</v>
      </c>
      <c r="AO71" s="54" t="e">
        <f>(BSPrice($B71,$J71+0.02,$K71,$C71,($I71-#REF!)/365,$G71,$H71,$D71)-BSPrice($B71,$J71,$K71,$C71,($I71-#REF!)/365,$G71,$H71,$D71))*$F71</f>
        <v>#NAME?</v>
      </c>
      <c r="AP71" s="54" t="e">
        <f>(BSPrice($B71,$J71+0.05,$K71,$C71,($I71-#REF!)/365,$G71,$H71,$D71)-BSPrice($B71,$J71,$K71,$C71,($I71-#REF!)/365,$G71,$H71,$D71))*$F71</f>
        <v>#NAME?</v>
      </c>
      <c r="AQ71" s="54" t="e">
        <f>(BSPrice($B71,$J71+0.1,$K71,$C71,($I71-#REF!)/365,$G71,$H71,$D71)-BSPrice($B71,$J71,$K71,$C71,($I71-#REF!)/365,$G71,$H71,$D71))*$F71</f>
        <v>#NAME?</v>
      </c>
    </row>
    <row r="72" spans="1:43">
      <c r="A72" s="67" t="s">
        <v>64</v>
      </c>
      <c r="B72" s="44">
        <f>VLOOKUP(A72,PriceData!$K$4:$L$6,2,FALSE)</f>
        <v>10022</v>
      </c>
      <c r="C72" s="45">
        <f>VLOOKUP(A72,PriceData!$K$4:$M$6,3,FALSE)</f>
        <v>0.005</v>
      </c>
      <c r="D72" s="44" t="s">
        <v>56</v>
      </c>
      <c r="E72" s="44" t="s">
        <v>65</v>
      </c>
      <c r="F72" s="44">
        <v>-15</v>
      </c>
      <c r="G72">
        <v>9120</v>
      </c>
      <c r="H72" s="44" t="s">
        <v>57</v>
      </c>
      <c r="I72" s="68">
        <v>40347</v>
      </c>
      <c r="J72" s="45">
        <f>FindImpliedVol(A72,D72,G72,I72)</f>
        <v>0.422167740835595</v>
      </c>
      <c r="K72" s="69">
        <f>VLOOKUP(I72,PriceData!$A$5:$D$7,MATCH($E72,PriceData!$A$4:$D$4,0),FALSE)</f>
        <v>0.005</v>
      </c>
      <c r="L72" s="52" t="e">
        <f>BSPrice($B72,$J72,$K72,$C72,($I72-#REF!)/365,$G72,$H72,$D72)</f>
        <v>#NAME?</v>
      </c>
      <c r="M72" s="52" t="e">
        <f t="shared" si="7"/>
        <v>#NAME?</v>
      </c>
      <c r="N72" s="44" t="s">
        <v>58</v>
      </c>
      <c r="P72" s="49" t="e">
        <f>BSDelta(B72,J72,K72,C72,(I72-#REF!)/365,G72,H72,D72)</f>
        <v>#NAME?</v>
      </c>
      <c r="Q72" s="49" t="e">
        <f>BSGamma(B72,J72,K72,C72,(I72-#REF!)/365,G72,D72)</f>
        <v>#NAME?</v>
      </c>
      <c r="R72" s="51" t="e">
        <f>BSVega(B72,J72,K72,C72,(I72-#REF!)/365,G72,D72)</f>
        <v>#NAME?</v>
      </c>
      <c r="S72" s="51" t="e">
        <f>BSVolga(B72,J72,K72,C72,(I72-#REF!)/365,G72,D72)</f>
        <v>#NAME?</v>
      </c>
      <c r="T72" s="51" t="e">
        <f>BSTheta(B72,J72,K72,C72,(I72-#REF!)/365,G72,H72,D72)</f>
        <v>#NAME?</v>
      </c>
      <c r="U72" s="52" t="e">
        <f>BSRho(B72,J72,K72,C72,(I72-#REF!)/365,G72,H72,D72)</f>
        <v>#NAME?</v>
      </c>
      <c r="V72" s="70" t="e">
        <f t="shared" si="11"/>
        <v>#NAME?</v>
      </c>
      <c r="W72" s="70" t="e">
        <f t="shared" si="12"/>
        <v>#NAME?</v>
      </c>
      <c r="X72" s="54" t="e">
        <f t="shared" si="8"/>
        <v>#NAME?</v>
      </c>
      <c r="Y72" s="54" t="e">
        <f t="shared" si="13"/>
        <v>#NAME?</v>
      </c>
      <c r="Z72" s="54" t="e">
        <f t="shared" si="9"/>
        <v>#NAME?</v>
      </c>
      <c r="AA72" s="54" t="e">
        <f t="shared" si="10"/>
        <v>#NAME?</v>
      </c>
      <c r="AB72" s="54" t="e">
        <f>(BSPrice($B72*0.8,$J72,$K72,$C72,($I72-#REF!)/365,$G72,$H72,$D72)-BSPrice($B72,$J72,$K72,$C72,($I72-#REF!)/365,$G72,$H72,$D72))*$F72</f>
        <v>#NAME?</v>
      </c>
      <c r="AC72" s="54" t="e">
        <f>(BSPrice($B72*0.9,$J72,$K72,$C72,($I72-#REF!)/365,$G72,$H72,$D72)-BSPrice($B72,$J72,$K72,$C72,($I72-#REF!)/365,$G72,$H72,$D72))*$F72</f>
        <v>#NAME?</v>
      </c>
      <c r="AD72" s="54" t="e">
        <f>(BSPrice($B72*0.95,$J72,$K72,$C72,($I72-#REF!)/365,$G72,$H72,$D72)-BSPrice($B72,$J72,$K72,$C72,($I72-#REF!)/365,$G72,$H72,$D72))*$F72</f>
        <v>#NAME?</v>
      </c>
      <c r="AE72" s="54" t="e">
        <f>(BSPrice($B72*0.98,$J72,$K72,$C72,($I72-#REF!)/365,$G72,$H72,$D72)-BSPrice($B72,$J72,$K72,$C72,($I72-#REF!)/365,$G72,$H72,$D72))*$F72</f>
        <v>#NAME?</v>
      </c>
      <c r="AF72" s="54" t="e">
        <f>(BSPrice($B72*1.02,$J72,$K72,$C72,($I72-#REF!)/365,$G72,$H72,$D72)-BSPrice($B72,$J72,$K72,$C72,($I72-#REF!)/365,$G72,$H72,$D72))*$F72</f>
        <v>#NAME?</v>
      </c>
      <c r="AG72" s="54" t="e">
        <f>(BSPrice($B72*1.05,$J72,$K72,$C72,($I72-#REF!)/365,$G72,$H72,$D72)-BSPrice($B72,$J72,$K72,$C72,($I72-#REF!)/365,$G72,$H72,$D72))*$F72</f>
        <v>#NAME?</v>
      </c>
      <c r="AH72" s="54" t="e">
        <f>(BSPrice($B72*1.1,$J72,$K72,$C72,($I72-#REF!)/365,$G72,$H72,$D72)-BSPrice($B72,$J72,$K72,$C72,($I72-#REF!)/365,$G72,$H72,$D72))*$F72</f>
        <v>#NAME?</v>
      </c>
      <c r="AI72" s="54" t="e">
        <f>(BSPrice($B72*1.2,$J72,$K72,$C72,($I72-#REF!)/365,$G72,$H72,$D72)-BSPrice($B72,$J72,$K72,$C72,($I72-#REF!)/365,$G72,$H72,$D72))*$F72</f>
        <v>#NAME?</v>
      </c>
      <c r="AJ72" s="54" t="e">
        <f>(BSPrice($B72,$J72-0.1,$K72,$C72,($I72-#REF!)/365,$G72,$H72,$D72)-BSPrice($B72,$J72,$K72,$C72,($I72-#REF!)/365,$G72,$H72,$D72))*$F72</f>
        <v>#NAME?</v>
      </c>
      <c r="AK72" s="54" t="e">
        <f>(BSPrice($B72,$J72-0.05,$K72,$C72,($I72-#REF!)/365,$G72,$H72,$D72)-BSPrice($B72,$J72,$K72,$C72,($I72-#REF!)/365,$G72,$H72,$D72))*$F72</f>
        <v>#NAME?</v>
      </c>
      <c r="AL72" s="54" t="e">
        <f>(BSPrice($B72,$J72-0.02,$K72,$C72,($I72-#REF!)/365,$G72,$H72,$D72)-BSPrice($B72,$J72,$K72,$C72,($I72-#REF!)/365,$G72,$H72,$D72))*$F72</f>
        <v>#NAME?</v>
      </c>
      <c r="AM72" s="54" t="e">
        <f>(BSPrice($B72,$J72-0.01,$K72,$C72,($I72-#REF!)/365,$G72,$H72,$D72)-BSPrice($B72,$J72,$K72,$C72,($I72-#REF!)/365,$G72,$H72,$D72))*$F72</f>
        <v>#NAME?</v>
      </c>
      <c r="AN72" s="54" t="e">
        <f>(BSPrice($B72,$J72+0.01,$K72,$C72,($I72-#REF!)/365,$G72,$H72,$D72)-BSPrice($B72,$J72,$K72,$C72,($I72-#REF!)/365,$G72,$H72,$D72))*$F72</f>
        <v>#NAME?</v>
      </c>
      <c r="AO72" s="54" t="e">
        <f>(BSPrice($B72,$J72+0.02,$K72,$C72,($I72-#REF!)/365,$G72,$H72,$D72)-BSPrice($B72,$J72,$K72,$C72,($I72-#REF!)/365,$G72,$H72,$D72))*$F72</f>
        <v>#NAME?</v>
      </c>
      <c r="AP72" s="54" t="e">
        <f>(BSPrice($B72,$J72+0.05,$K72,$C72,($I72-#REF!)/365,$G72,$H72,$D72)-BSPrice($B72,$J72,$K72,$C72,($I72-#REF!)/365,$G72,$H72,$D72))*$F72</f>
        <v>#NAME?</v>
      </c>
      <c r="AQ72" s="54" t="e">
        <f>(BSPrice($B72,$J72+0.1,$K72,$C72,($I72-#REF!)/365,$G72,$H72,$D72)-BSPrice($B72,$J72,$K72,$C72,($I72-#REF!)/365,$G72,$H72,$D72))*$F72</f>
        <v>#NAME?</v>
      </c>
    </row>
    <row r="73" spans="1:43">
      <c r="A73" s="67" t="s">
        <v>64</v>
      </c>
      <c r="B73" s="44">
        <f>VLOOKUP(A73,PriceData!$K$4:$L$6,2,FALSE)</f>
        <v>10022</v>
      </c>
      <c r="C73" s="45">
        <f>VLOOKUP(A73,PriceData!$K$4:$M$6,3,FALSE)</f>
        <v>0.005</v>
      </c>
      <c r="D73" s="44" t="s">
        <v>56</v>
      </c>
      <c r="E73" s="44" t="s">
        <v>65</v>
      </c>
      <c r="F73" s="44">
        <v>-20</v>
      </c>
      <c r="G73">
        <v>11225</v>
      </c>
      <c r="H73" s="44" t="s">
        <v>59</v>
      </c>
      <c r="I73" s="68">
        <v>40347</v>
      </c>
      <c r="J73" s="45">
        <f>FindImpliedVol(A73,D73,G73,I73)</f>
        <v>0.329501010054712</v>
      </c>
      <c r="K73" s="69">
        <f>VLOOKUP(I73,PriceData!$A$5:$D$7,MATCH($E73,PriceData!$A$4:$D$4,0),FALSE)</f>
        <v>0.005</v>
      </c>
      <c r="L73" s="52" t="e">
        <f>BSPrice($B73,$J73,$K73,$C73,($I73-#REF!)/365,$G73,$H73,$D73)</f>
        <v>#NAME?</v>
      </c>
      <c r="M73" s="52" t="e">
        <f t="shared" si="7"/>
        <v>#NAME?</v>
      </c>
      <c r="N73" s="44" t="s">
        <v>55</v>
      </c>
      <c r="P73" s="49" t="e">
        <f>BSDelta(B73,J73,K73,C73,(I73-#REF!)/365,G73,H73,D73)</f>
        <v>#NAME?</v>
      </c>
      <c r="Q73" s="49" t="e">
        <f>BSGamma(B73,J73,K73,C73,(I73-#REF!)/365,G73,D73)</f>
        <v>#NAME?</v>
      </c>
      <c r="R73" s="51" t="e">
        <f>BSVega(B73,J73,K73,C73,(I73-#REF!)/365,G73,D73)</f>
        <v>#NAME?</v>
      </c>
      <c r="S73" s="51" t="e">
        <f>BSVolga(B73,J73,K73,C73,(I73-#REF!)/365,G73,D73)</f>
        <v>#NAME?</v>
      </c>
      <c r="T73" s="51" t="e">
        <f>BSTheta(B73,J73,K73,C73,(I73-#REF!)/365,G73,H73,D73)</f>
        <v>#NAME?</v>
      </c>
      <c r="U73" s="52" t="e">
        <f>BSRho(B73,J73,K73,C73,(I73-#REF!)/365,G73,H73,D73)</f>
        <v>#NAME?</v>
      </c>
      <c r="V73" s="70" t="e">
        <f t="shared" si="11"/>
        <v>#NAME?</v>
      </c>
      <c r="W73" s="70" t="e">
        <f t="shared" si="12"/>
        <v>#NAME?</v>
      </c>
      <c r="X73" s="54" t="e">
        <f t="shared" si="8"/>
        <v>#NAME?</v>
      </c>
      <c r="Y73" s="54" t="e">
        <f t="shared" si="13"/>
        <v>#NAME?</v>
      </c>
      <c r="Z73" s="54" t="e">
        <f t="shared" si="9"/>
        <v>#NAME?</v>
      </c>
      <c r="AA73" s="54" t="e">
        <f t="shared" si="10"/>
        <v>#NAME?</v>
      </c>
      <c r="AB73" s="54" t="e">
        <f>(BSPrice($B73*0.8,$J73,$K73,$C73,($I73-#REF!)/365,$G73,$H73,$D73)-BSPrice($B73,$J73,$K73,$C73,($I73-#REF!)/365,$G73,$H73,$D73))*$F73</f>
        <v>#NAME?</v>
      </c>
      <c r="AC73" s="54" t="e">
        <f>(BSPrice($B73*0.9,$J73,$K73,$C73,($I73-#REF!)/365,$G73,$H73,$D73)-BSPrice($B73,$J73,$K73,$C73,($I73-#REF!)/365,$G73,$H73,$D73))*$F73</f>
        <v>#NAME?</v>
      </c>
      <c r="AD73" s="54" t="e">
        <f>(BSPrice($B73*0.95,$J73,$K73,$C73,($I73-#REF!)/365,$G73,$H73,$D73)-BSPrice($B73,$J73,$K73,$C73,($I73-#REF!)/365,$G73,$H73,$D73))*$F73</f>
        <v>#NAME?</v>
      </c>
      <c r="AE73" s="54" t="e">
        <f>(BSPrice($B73*0.98,$J73,$K73,$C73,($I73-#REF!)/365,$G73,$H73,$D73)-BSPrice($B73,$J73,$K73,$C73,($I73-#REF!)/365,$G73,$H73,$D73))*$F73</f>
        <v>#NAME?</v>
      </c>
      <c r="AF73" s="54" t="e">
        <f>(BSPrice($B73*1.02,$J73,$K73,$C73,($I73-#REF!)/365,$G73,$H73,$D73)-BSPrice($B73,$J73,$K73,$C73,($I73-#REF!)/365,$G73,$H73,$D73))*$F73</f>
        <v>#NAME?</v>
      </c>
      <c r="AG73" s="54" t="e">
        <f>(BSPrice($B73*1.05,$J73,$K73,$C73,($I73-#REF!)/365,$G73,$H73,$D73)-BSPrice($B73,$J73,$K73,$C73,($I73-#REF!)/365,$G73,$H73,$D73))*$F73</f>
        <v>#NAME?</v>
      </c>
      <c r="AH73" s="54" t="e">
        <f>(BSPrice($B73*1.1,$J73,$K73,$C73,($I73-#REF!)/365,$G73,$H73,$D73)-BSPrice($B73,$J73,$K73,$C73,($I73-#REF!)/365,$G73,$H73,$D73))*$F73</f>
        <v>#NAME?</v>
      </c>
      <c r="AI73" s="54" t="e">
        <f>(BSPrice($B73*1.2,$J73,$K73,$C73,($I73-#REF!)/365,$G73,$H73,$D73)-BSPrice($B73,$J73,$K73,$C73,($I73-#REF!)/365,$G73,$H73,$D73))*$F73</f>
        <v>#NAME?</v>
      </c>
      <c r="AJ73" s="54" t="e">
        <f>(BSPrice($B73,$J73-0.1,$K73,$C73,($I73-#REF!)/365,$G73,$H73,$D73)-BSPrice($B73,$J73,$K73,$C73,($I73-#REF!)/365,$G73,$H73,$D73))*$F73</f>
        <v>#NAME?</v>
      </c>
      <c r="AK73" s="54" t="e">
        <f>(BSPrice($B73,$J73-0.05,$K73,$C73,($I73-#REF!)/365,$G73,$H73,$D73)-BSPrice($B73,$J73,$K73,$C73,($I73-#REF!)/365,$G73,$H73,$D73))*$F73</f>
        <v>#NAME?</v>
      </c>
      <c r="AL73" s="54" t="e">
        <f>(BSPrice($B73,$J73-0.02,$K73,$C73,($I73-#REF!)/365,$G73,$H73,$D73)-BSPrice($B73,$J73,$K73,$C73,($I73-#REF!)/365,$G73,$H73,$D73))*$F73</f>
        <v>#NAME?</v>
      </c>
      <c r="AM73" s="54" t="e">
        <f>(BSPrice($B73,$J73-0.01,$K73,$C73,($I73-#REF!)/365,$G73,$H73,$D73)-BSPrice($B73,$J73,$K73,$C73,($I73-#REF!)/365,$G73,$H73,$D73))*$F73</f>
        <v>#NAME?</v>
      </c>
      <c r="AN73" s="54" t="e">
        <f>(BSPrice($B73,$J73+0.01,$K73,$C73,($I73-#REF!)/365,$G73,$H73,$D73)-BSPrice($B73,$J73,$K73,$C73,($I73-#REF!)/365,$G73,$H73,$D73))*$F73</f>
        <v>#NAME?</v>
      </c>
      <c r="AO73" s="54" t="e">
        <f>(BSPrice($B73,$J73+0.02,$K73,$C73,($I73-#REF!)/365,$G73,$H73,$D73)-BSPrice($B73,$J73,$K73,$C73,($I73-#REF!)/365,$G73,$H73,$D73))*$F73</f>
        <v>#NAME?</v>
      </c>
      <c r="AP73" s="54" t="e">
        <f>(BSPrice($B73,$J73+0.05,$K73,$C73,($I73-#REF!)/365,$G73,$H73,$D73)-BSPrice($B73,$J73,$K73,$C73,($I73-#REF!)/365,$G73,$H73,$D73))*$F73</f>
        <v>#NAME?</v>
      </c>
      <c r="AQ73" s="54" t="e">
        <f>(BSPrice($B73,$J73+0.1,$K73,$C73,($I73-#REF!)/365,$G73,$H73,$D73)-BSPrice($B73,$J73,$K73,$C73,($I73-#REF!)/365,$G73,$H73,$D73))*$F73</f>
        <v>#NAME?</v>
      </c>
    </row>
    <row r="74" spans="1:43">
      <c r="A74" s="67" t="s">
        <v>64</v>
      </c>
      <c r="B74" s="44">
        <f>VLOOKUP(A74,PriceData!$K$4:$L$6,2,FALSE)</f>
        <v>10022</v>
      </c>
      <c r="C74" s="45">
        <f>VLOOKUP(A74,PriceData!$K$4:$M$6,3,FALSE)</f>
        <v>0.005</v>
      </c>
      <c r="D74" s="44" t="s">
        <v>56</v>
      </c>
      <c r="E74" s="44" t="s">
        <v>65</v>
      </c>
      <c r="F74" s="44">
        <v>-10</v>
      </c>
      <c r="G74">
        <v>11225</v>
      </c>
      <c r="H74" s="44" t="s">
        <v>57</v>
      </c>
      <c r="I74" s="68">
        <v>40347</v>
      </c>
      <c r="J74" s="45">
        <f>FindImpliedVol(A74,D74,G74,I74)</f>
        <v>0.329501010054712</v>
      </c>
      <c r="K74" s="69">
        <f>VLOOKUP(I74,PriceData!$A$5:$D$7,MATCH($E74,PriceData!$A$4:$D$4,0),FALSE)</f>
        <v>0.005</v>
      </c>
      <c r="L74" s="52" t="e">
        <f>BSPrice($B74,$J74,$K74,$C74,($I74-#REF!)/365,$G74,$H74,$D74)</f>
        <v>#NAME?</v>
      </c>
      <c r="M74" s="52" t="e">
        <f t="shared" si="7"/>
        <v>#NAME?</v>
      </c>
      <c r="N74" s="44" t="s">
        <v>63</v>
      </c>
      <c r="P74" s="49" t="e">
        <f>BSDelta(B74,J74,K74,C74,(I74-#REF!)/365,G74,H74,D74)</f>
        <v>#NAME?</v>
      </c>
      <c r="Q74" s="49" t="e">
        <f>BSGamma(B74,J74,K74,C74,(I74-#REF!)/365,G74,D74)</f>
        <v>#NAME?</v>
      </c>
      <c r="R74" s="51" t="e">
        <f>BSVega(B74,J74,K74,C74,(I74-#REF!)/365,G74,D74)</f>
        <v>#NAME?</v>
      </c>
      <c r="S74" s="51" t="e">
        <f>BSVolga(B74,J74,K74,C74,(I74-#REF!)/365,G74,D74)</f>
        <v>#NAME?</v>
      </c>
      <c r="T74" s="51" t="e">
        <f>BSTheta(B74,J74,K74,C74,(I74-#REF!)/365,G74,H74,D74)</f>
        <v>#NAME?</v>
      </c>
      <c r="U74" s="52" t="e">
        <f>BSRho(B74,J74,K74,C74,(I74-#REF!)/365,G74,H74,D74)</f>
        <v>#NAME?</v>
      </c>
      <c r="V74" s="70" t="e">
        <f t="shared" si="11"/>
        <v>#NAME?</v>
      </c>
      <c r="W74" s="70" t="e">
        <f t="shared" si="12"/>
        <v>#NAME?</v>
      </c>
      <c r="X74" s="54" t="e">
        <f t="shared" si="8"/>
        <v>#NAME?</v>
      </c>
      <c r="Y74" s="54" t="e">
        <f t="shared" si="13"/>
        <v>#NAME?</v>
      </c>
      <c r="Z74" s="54" t="e">
        <f t="shared" si="9"/>
        <v>#NAME?</v>
      </c>
      <c r="AA74" s="54" t="e">
        <f t="shared" si="10"/>
        <v>#NAME?</v>
      </c>
      <c r="AB74" s="54" t="e">
        <f>(BSPrice($B74*0.8,$J74,$K74,$C74,($I74-#REF!)/365,$G74,$H74,$D74)-BSPrice($B74,$J74,$K74,$C74,($I74-#REF!)/365,$G74,$H74,$D74))*$F74</f>
        <v>#NAME?</v>
      </c>
      <c r="AC74" s="54" t="e">
        <f>(BSPrice($B74*0.9,$J74,$K74,$C74,($I74-#REF!)/365,$G74,$H74,$D74)-BSPrice($B74,$J74,$K74,$C74,($I74-#REF!)/365,$G74,$H74,$D74))*$F74</f>
        <v>#NAME?</v>
      </c>
      <c r="AD74" s="54" t="e">
        <f>(BSPrice($B74*0.95,$J74,$K74,$C74,($I74-#REF!)/365,$G74,$H74,$D74)-BSPrice($B74,$J74,$K74,$C74,($I74-#REF!)/365,$G74,$H74,$D74))*$F74</f>
        <v>#NAME?</v>
      </c>
      <c r="AE74" s="54" t="e">
        <f>(BSPrice($B74*0.98,$J74,$K74,$C74,($I74-#REF!)/365,$G74,$H74,$D74)-BSPrice($B74,$J74,$K74,$C74,($I74-#REF!)/365,$G74,$H74,$D74))*$F74</f>
        <v>#NAME?</v>
      </c>
      <c r="AF74" s="54" t="e">
        <f>(BSPrice($B74*1.02,$J74,$K74,$C74,($I74-#REF!)/365,$G74,$H74,$D74)-BSPrice($B74,$J74,$K74,$C74,($I74-#REF!)/365,$G74,$H74,$D74))*$F74</f>
        <v>#NAME?</v>
      </c>
      <c r="AG74" s="54" t="e">
        <f>(BSPrice($B74*1.05,$J74,$K74,$C74,($I74-#REF!)/365,$G74,$H74,$D74)-BSPrice($B74,$J74,$K74,$C74,($I74-#REF!)/365,$G74,$H74,$D74))*$F74</f>
        <v>#NAME?</v>
      </c>
      <c r="AH74" s="54" t="e">
        <f>(BSPrice($B74*1.1,$J74,$K74,$C74,($I74-#REF!)/365,$G74,$H74,$D74)-BSPrice($B74,$J74,$K74,$C74,($I74-#REF!)/365,$G74,$H74,$D74))*$F74</f>
        <v>#NAME?</v>
      </c>
      <c r="AI74" s="54" t="e">
        <f>(BSPrice($B74*1.2,$J74,$K74,$C74,($I74-#REF!)/365,$G74,$H74,$D74)-BSPrice($B74,$J74,$K74,$C74,($I74-#REF!)/365,$G74,$H74,$D74))*$F74</f>
        <v>#NAME?</v>
      </c>
      <c r="AJ74" s="54" t="e">
        <f>(BSPrice($B74,$J74-0.1,$K74,$C74,($I74-#REF!)/365,$G74,$H74,$D74)-BSPrice($B74,$J74,$K74,$C74,($I74-#REF!)/365,$G74,$H74,$D74))*$F74</f>
        <v>#NAME?</v>
      </c>
      <c r="AK74" s="54" t="e">
        <f>(BSPrice($B74,$J74-0.05,$K74,$C74,($I74-#REF!)/365,$G74,$H74,$D74)-BSPrice($B74,$J74,$K74,$C74,($I74-#REF!)/365,$G74,$H74,$D74))*$F74</f>
        <v>#NAME?</v>
      </c>
      <c r="AL74" s="54" t="e">
        <f>(BSPrice($B74,$J74-0.02,$K74,$C74,($I74-#REF!)/365,$G74,$H74,$D74)-BSPrice($B74,$J74,$K74,$C74,($I74-#REF!)/365,$G74,$H74,$D74))*$F74</f>
        <v>#NAME?</v>
      </c>
      <c r="AM74" s="54" t="e">
        <f>(BSPrice($B74,$J74-0.01,$K74,$C74,($I74-#REF!)/365,$G74,$H74,$D74)-BSPrice($B74,$J74,$K74,$C74,($I74-#REF!)/365,$G74,$H74,$D74))*$F74</f>
        <v>#NAME?</v>
      </c>
      <c r="AN74" s="54" t="e">
        <f>(BSPrice($B74,$J74+0.01,$K74,$C74,($I74-#REF!)/365,$G74,$H74,$D74)-BSPrice($B74,$J74,$K74,$C74,($I74-#REF!)/365,$G74,$H74,$D74))*$F74</f>
        <v>#NAME?</v>
      </c>
      <c r="AO74" s="54" t="e">
        <f>(BSPrice($B74,$J74+0.02,$K74,$C74,($I74-#REF!)/365,$G74,$H74,$D74)-BSPrice($B74,$J74,$K74,$C74,($I74-#REF!)/365,$G74,$H74,$D74))*$F74</f>
        <v>#NAME?</v>
      </c>
      <c r="AP74" s="54" t="e">
        <f>(BSPrice($B74,$J74+0.05,$K74,$C74,($I74-#REF!)/365,$G74,$H74,$D74)-BSPrice($B74,$J74,$K74,$C74,($I74-#REF!)/365,$G74,$H74,$D74))*$F74</f>
        <v>#NAME?</v>
      </c>
      <c r="AQ74" s="54" t="e">
        <f>(BSPrice($B74,$J74+0.1,$K74,$C74,($I74-#REF!)/365,$G74,$H74,$D74)-BSPrice($B74,$J74,$K74,$C74,($I74-#REF!)/365,$G74,$H74,$D74))*$F74</f>
        <v>#NAME?</v>
      </c>
    </row>
    <row r="75" spans="1:43">
      <c r="A75" s="67" t="s">
        <v>64</v>
      </c>
      <c r="B75" s="44">
        <f>VLOOKUP(A75,PriceData!$K$4:$L$6,2,FALSE)</f>
        <v>10022</v>
      </c>
      <c r="C75" s="45">
        <f>VLOOKUP(A75,PriceData!$K$4:$M$6,3,FALSE)</f>
        <v>0.005</v>
      </c>
      <c r="D75" s="44" t="s">
        <v>56</v>
      </c>
      <c r="E75" s="44" t="s">
        <v>65</v>
      </c>
      <c r="F75" s="44">
        <v>-15</v>
      </c>
      <c r="G75">
        <v>10323</v>
      </c>
      <c r="H75" s="44" t="s">
        <v>59</v>
      </c>
      <c r="I75" s="68">
        <v>40347</v>
      </c>
      <c r="J75" s="45">
        <f>FindImpliedVol(A75,D75,G75,I75)</f>
        <v>0.347537825839525</v>
      </c>
      <c r="K75" s="69">
        <f>VLOOKUP(I75,PriceData!$A$5:$D$7,MATCH($E75,PriceData!$A$4:$D$4,0),FALSE)</f>
        <v>0.005</v>
      </c>
      <c r="L75" s="52" t="e">
        <f>BSPrice($B75,$J75,$K75,$C75,($I75-#REF!)/365,$G75,$H75,$D75)</f>
        <v>#NAME?</v>
      </c>
      <c r="M75" s="52" t="e">
        <f t="shared" si="7"/>
        <v>#NAME?</v>
      </c>
      <c r="N75" s="44" t="s">
        <v>55</v>
      </c>
      <c r="P75" s="49" t="e">
        <f>BSDelta(B75,J75,K75,C75,(I75-#REF!)/365,G75,H75,D75)</f>
        <v>#NAME?</v>
      </c>
      <c r="Q75" s="49" t="e">
        <f>BSGamma(B75,J75,K75,C75,(I75-#REF!)/365,G75,D75)</f>
        <v>#NAME?</v>
      </c>
      <c r="R75" s="51" t="e">
        <f>BSVega(B75,J75,K75,C75,(I75-#REF!)/365,G75,D75)</f>
        <v>#NAME?</v>
      </c>
      <c r="S75" s="51" t="e">
        <f>BSVolga(B75,J75,K75,C75,(I75-#REF!)/365,G75,D75)</f>
        <v>#NAME?</v>
      </c>
      <c r="T75" s="51" t="e">
        <f>BSTheta(B75,J75,K75,C75,(I75-#REF!)/365,G75,H75,D75)</f>
        <v>#NAME?</v>
      </c>
      <c r="U75" s="52" t="e">
        <f>BSRho(B75,J75,K75,C75,(I75-#REF!)/365,G75,H75,D75)</f>
        <v>#NAME?</v>
      </c>
      <c r="V75" s="70" t="e">
        <f t="shared" si="11"/>
        <v>#NAME?</v>
      </c>
      <c r="W75" s="70" t="e">
        <f t="shared" si="12"/>
        <v>#NAME?</v>
      </c>
      <c r="X75" s="54" t="e">
        <f t="shared" si="8"/>
        <v>#NAME?</v>
      </c>
      <c r="Y75" s="54" t="e">
        <f t="shared" si="13"/>
        <v>#NAME?</v>
      </c>
      <c r="Z75" s="54" t="e">
        <f t="shared" si="9"/>
        <v>#NAME?</v>
      </c>
      <c r="AA75" s="54" t="e">
        <f t="shared" si="10"/>
        <v>#NAME?</v>
      </c>
      <c r="AB75" s="54" t="e">
        <f>(BSPrice($B75*0.8,$J75,$K75,$C75,($I75-#REF!)/365,$G75,$H75,$D75)-BSPrice($B75,$J75,$K75,$C75,($I75-#REF!)/365,$G75,$H75,$D75))*$F75</f>
        <v>#NAME?</v>
      </c>
      <c r="AC75" s="54" t="e">
        <f>(BSPrice($B75*0.9,$J75,$K75,$C75,($I75-#REF!)/365,$G75,$H75,$D75)-BSPrice($B75,$J75,$K75,$C75,($I75-#REF!)/365,$G75,$H75,$D75))*$F75</f>
        <v>#NAME?</v>
      </c>
      <c r="AD75" s="54" t="e">
        <f>(BSPrice($B75*0.95,$J75,$K75,$C75,($I75-#REF!)/365,$G75,$H75,$D75)-BSPrice($B75,$J75,$K75,$C75,($I75-#REF!)/365,$G75,$H75,$D75))*$F75</f>
        <v>#NAME?</v>
      </c>
      <c r="AE75" s="54" t="e">
        <f>(BSPrice($B75*0.98,$J75,$K75,$C75,($I75-#REF!)/365,$G75,$H75,$D75)-BSPrice($B75,$J75,$K75,$C75,($I75-#REF!)/365,$G75,$H75,$D75))*$F75</f>
        <v>#NAME?</v>
      </c>
      <c r="AF75" s="54" t="e">
        <f>(BSPrice($B75*1.02,$J75,$K75,$C75,($I75-#REF!)/365,$G75,$H75,$D75)-BSPrice($B75,$J75,$K75,$C75,($I75-#REF!)/365,$G75,$H75,$D75))*$F75</f>
        <v>#NAME?</v>
      </c>
      <c r="AG75" s="54" t="e">
        <f>(BSPrice($B75*1.05,$J75,$K75,$C75,($I75-#REF!)/365,$G75,$H75,$D75)-BSPrice($B75,$J75,$K75,$C75,($I75-#REF!)/365,$G75,$H75,$D75))*$F75</f>
        <v>#NAME?</v>
      </c>
      <c r="AH75" s="54" t="e">
        <f>(BSPrice($B75*1.1,$J75,$K75,$C75,($I75-#REF!)/365,$G75,$H75,$D75)-BSPrice($B75,$J75,$K75,$C75,($I75-#REF!)/365,$G75,$H75,$D75))*$F75</f>
        <v>#NAME?</v>
      </c>
      <c r="AI75" s="54" t="e">
        <f>(BSPrice($B75*1.2,$J75,$K75,$C75,($I75-#REF!)/365,$G75,$H75,$D75)-BSPrice($B75,$J75,$K75,$C75,($I75-#REF!)/365,$G75,$H75,$D75))*$F75</f>
        <v>#NAME?</v>
      </c>
      <c r="AJ75" s="54" t="e">
        <f>(BSPrice($B75,$J75-0.1,$K75,$C75,($I75-#REF!)/365,$G75,$H75,$D75)-BSPrice($B75,$J75,$K75,$C75,($I75-#REF!)/365,$G75,$H75,$D75))*$F75</f>
        <v>#NAME?</v>
      </c>
      <c r="AK75" s="54" t="e">
        <f>(BSPrice($B75,$J75-0.05,$K75,$C75,($I75-#REF!)/365,$G75,$H75,$D75)-BSPrice($B75,$J75,$K75,$C75,($I75-#REF!)/365,$G75,$H75,$D75))*$F75</f>
        <v>#NAME?</v>
      </c>
      <c r="AL75" s="54" t="e">
        <f>(BSPrice($B75,$J75-0.02,$K75,$C75,($I75-#REF!)/365,$G75,$H75,$D75)-BSPrice($B75,$J75,$K75,$C75,($I75-#REF!)/365,$G75,$H75,$D75))*$F75</f>
        <v>#NAME?</v>
      </c>
      <c r="AM75" s="54" t="e">
        <f>(BSPrice($B75,$J75-0.01,$K75,$C75,($I75-#REF!)/365,$G75,$H75,$D75)-BSPrice($B75,$J75,$K75,$C75,($I75-#REF!)/365,$G75,$H75,$D75))*$F75</f>
        <v>#NAME?</v>
      </c>
      <c r="AN75" s="54" t="e">
        <f>(BSPrice($B75,$J75+0.01,$K75,$C75,($I75-#REF!)/365,$G75,$H75,$D75)-BSPrice($B75,$J75,$K75,$C75,($I75-#REF!)/365,$G75,$H75,$D75))*$F75</f>
        <v>#NAME?</v>
      </c>
      <c r="AO75" s="54" t="e">
        <f>(BSPrice($B75,$J75+0.02,$K75,$C75,($I75-#REF!)/365,$G75,$H75,$D75)-BSPrice($B75,$J75,$K75,$C75,($I75-#REF!)/365,$G75,$H75,$D75))*$F75</f>
        <v>#NAME?</v>
      </c>
      <c r="AP75" s="54" t="e">
        <f>(BSPrice($B75,$J75+0.05,$K75,$C75,($I75-#REF!)/365,$G75,$H75,$D75)-BSPrice($B75,$J75,$K75,$C75,($I75-#REF!)/365,$G75,$H75,$D75))*$F75</f>
        <v>#NAME?</v>
      </c>
      <c r="AQ75" s="54" t="e">
        <f>(BSPrice($B75,$J75+0.1,$K75,$C75,($I75-#REF!)/365,$G75,$H75,$D75)-BSPrice($B75,$J75,$K75,$C75,($I75-#REF!)/365,$G75,$H75,$D75))*$F75</f>
        <v>#NAME?</v>
      </c>
    </row>
    <row r="76" spans="1:43">
      <c r="A76" s="67" t="s">
        <v>64</v>
      </c>
      <c r="B76" s="44">
        <f>VLOOKUP(A76,PriceData!$K$4:$L$6,2,FALSE)</f>
        <v>10022</v>
      </c>
      <c r="C76" s="45">
        <f>VLOOKUP(A76,PriceData!$K$4:$M$6,3,FALSE)</f>
        <v>0.005</v>
      </c>
      <c r="D76" s="44" t="s">
        <v>56</v>
      </c>
      <c r="E76" s="44" t="s">
        <v>65</v>
      </c>
      <c r="F76" s="44">
        <v>-20</v>
      </c>
      <c r="G76">
        <v>10022</v>
      </c>
      <c r="H76" s="44" t="s">
        <v>57</v>
      </c>
      <c r="I76" s="68">
        <v>40347</v>
      </c>
      <c r="J76" s="45">
        <f>FindImpliedVol(A76,D76,G76,I76)</f>
        <v>0.36</v>
      </c>
      <c r="K76" s="69">
        <f>VLOOKUP(I76,PriceData!$A$5:$D$7,MATCH($E76,PriceData!$A$4:$D$4,0),FALSE)</f>
        <v>0.005</v>
      </c>
      <c r="L76" s="52" t="e">
        <f>BSPrice($B76,$J76,$K76,$C76,($I76-#REF!)/365,$G76,$H76,$D76)</f>
        <v>#NAME?</v>
      </c>
      <c r="M76" s="52" t="e">
        <f t="shared" si="7"/>
        <v>#NAME?</v>
      </c>
      <c r="N76" s="44" t="s">
        <v>55</v>
      </c>
      <c r="P76" s="49" t="e">
        <f>BSDelta(B76,J76,K76,C76,(I76-#REF!)/365,G76,H76,D76)</f>
        <v>#NAME?</v>
      </c>
      <c r="Q76" s="49" t="e">
        <f>BSGamma(B76,J76,K76,C76,(I76-#REF!)/365,G76,D76)</f>
        <v>#NAME?</v>
      </c>
      <c r="R76" s="51" t="e">
        <f>BSVega(B76,J76,K76,C76,(I76-#REF!)/365,G76,D76)</f>
        <v>#NAME?</v>
      </c>
      <c r="S76" s="51" t="e">
        <f>BSVolga(B76,J76,K76,C76,(I76-#REF!)/365,G76,D76)</f>
        <v>#NAME?</v>
      </c>
      <c r="T76" s="51" t="e">
        <f>BSTheta(B76,J76,K76,C76,(I76-#REF!)/365,G76,H76,D76)</f>
        <v>#NAME?</v>
      </c>
      <c r="U76" s="52" t="e">
        <f>BSRho(B76,J76,K76,C76,(I76-#REF!)/365,G76,H76,D76)</f>
        <v>#NAME?</v>
      </c>
      <c r="V76" s="70" t="e">
        <f t="shared" si="11"/>
        <v>#NAME?</v>
      </c>
      <c r="W76" s="70" t="e">
        <f t="shared" si="12"/>
        <v>#NAME?</v>
      </c>
      <c r="X76" s="54" t="e">
        <f t="shared" si="8"/>
        <v>#NAME?</v>
      </c>
      <c r="Y76" s="54" t="e">
        <f t="shared" si="13"/>
        <v>#NAME?</v>
      </c>
      <c r="Z76" s="54" t="e">
        <f t="shared" si="9"/>
        <v>#NAME?</v>
      </c>
      <c r="AA76" s="54" t="e">
        <f t="shared" si="10"/>
        <v>#NAME?</v>
      </c>
      <c r="AB76" s="54" t="e">
        <f>(BSPrice($B76*0.8,$J76,$K76,$C76,($I76-#REF!)/365,$G76,$H76,$D76)-BSPrice($B76,$J76,$K76,$C76,($I76-#REF!)/365,$G76,$H76,$D76))*$F76</f>
        <v>#NAME?</v>
      </c>
      <c r="AC76" s="54" t="e">
        <f>(BSPrice($B76*0.9,$J76,$K76,$C76,($I76-#REF!)/365,$G76,$H76,$D76)-BSPrice($B76,$J76,$K76,$C76,($I76-#REF!)/365,$G76,$H76,$D76))*$F76</f>
        <v>#NAME?</v>
      </c>
      <c r="AD76" s="54" t="e">
        <f>(BSPrice($B76*0.95,$J76,$K76,$C76,($I76-#REF!)/365,$G76,$H76,$D76)-BSPrice($B76,$J76,$K76,$C76,($I76-#REF!)/365,$G76,$H76,$D76))*$F76</f>
        <v>#NAME?</v>
      </c>
      <c r="AE76" s="54" t="e">
        <f>(BSPrice($B76*0.98,$J76,$K76,$C76,($I76-#REF!)/365,$G76,$H76,$D76)-BSPrice($B76,$J76,$K76,$C76,($I76-#REF!)/365,$G76,$H76,$D76))*$F76</f>
        <v>#NAME?</v>
      </c>
      <c r="AF76" s="54" t="e">
        <f>(BSPrice($B76*1.02,$J76,$K76,$C76,($I76-#REF!)/365,$G76,$H76,$D76)-BSPrice($B76,$J76,$K76,$C76,($I76-#REF!)/365,$G76,$H76,$D76))*$F76</f>
        <v>#NAME?</v>
      </c>
      <c r="AG76" s="54" t="e">
        <f>(BSPrice($B76*1.05,$J76,$K76,$C76,($I76-#REF!)/365,$G76,$H76,$D76)-BSPrice($B76,$J76,$K76,$C76,($I76-#REF!)/365,$G76,$H76,$D76))*$F76</f>
        <v>#NAME?</v>
      </c>
      <c r="AH76" s="54" t="e">
        <f>(BSPrice($B76*1.1,$J76,$K76,$C76,($I76-#REF!)/365,$G76,$H76,$D76)-BSPrice($B76,$J76,$K76,$C76,($I76-#REF!)/365,$G76,$H76,$D76))*$F76</f>
        <v>#NAME?</v>
      </c>
      <c r="AI76" s="54" t="e">
        <f>(BSPrice($B76*1.2,$J76,$K76,$C76,($I76-#REF!)/365,$G76,$H76,$D76)-BSPrice($B76,$J76,$K76,$C76,($I76-#REF!)/365,$G76,$H76,$D76))*$F76</f>
        <v>#NAME?</v>
      </c>
      <c r="AJ76" s="54" t="e">
        <f>(BSPrice($B76,$J76-0.1,$K76,$C76,($I76-#REF!)/365,$G76,$H76,$D76)-BSPrice($B76,$J76,$K76,$C76,($I76-#REF!)/365,$G76,$H76,$D76))*$F76</f>
        <v>#NAME?</v>
      </c>
      <c r="AK76" s="54" t="e">
        <f>(BSPrice($B76,$J76-0.05,$K76,$C76,($I76-#REF!)/365,$G76,$H76,$D76)-BSPrice($B76,$J76,$K76,$C76,($I76-#REF!)/365,$G76,$H76,$D76))*$F76</f>
        <v>#NAME?</v>
      </c>
      <c r="AL76" s="54" t="e">
        <f>(BSPrice($B76,$J76-0.02,$K76,$C76,($I76-#REF!)/365,$G76,$H76,$D76)-BSPrice($B76,$J76,$K76,$C76,($I76-#REF!)/365,$G76,$H76,$D76))*$F76</f>
        <v>#NAME?</v>
      </c>
      <c r="AM76" s="54" t="e">
        <f>(BSPrice($B76,$J76-0.01,$K76,$C76,($I76-#REF!)/365,$G76,$H76,$D76)-BSPrice($B76,$J76,$K76,$C76,($I76-#REF!)/365,$G76,$H76,$D76))*$F76</f>
        <v>#NAME?</v>
      </c>
      <c r="AN76" s="54" t="e">
        <f>(BSPrice($B76,$J76+0.01,$K76,$C76,($I76-#REF!)/365,$G76,$H76,$D76)-BSPrice($B76,$J76,$K76,$C76,($I76-#REF!)/365,$G76,$H76,$D76))*$F76</f>
        <v>#NAME?</v>
      </c>
      <c r="AO76" s="54" t="e">
        <f>(BSPrice($B76,$J76+0.02,$K76,$C76,($I76-#REF!)/365,$G76,$H76,$D76)-BSPrice($B76,$J76,$K76,$C76,($I76-#REF!)/365,$G76,$H76,$D76))*$F76</f>
        <v>#NAME?</v>
      </c>
      <c r="AP76" s="54" t="e">
        <f>(BSPrice($B76,$J76+0.05,$K76,$C76,($I76-#REF!)/365,$G76,$H76,$D76)-BSPrice($B76,$J76,$K76,$C76,($I76-#REF!)/365,$G76,$H76,$D76))*$F76</f>
        <v>#NAME?</v>
      </c>
      <c r="AQ76" s="54" t="e">
        <f>(BSPrice($B76,$J76+0.1,$K76,$C76,($I76-#REF!)/365,$G76,$H76,$D76)-BSPrice($B76,$J76,$K76,$C76,($I76-#REF!)/365,$G76,$H76,$D76))*$F76</f>
        <v>#NAME?</v>
      </c>
    </row>
    <row r="77" spans="1:43">
      <c r="A77" s="67" t="s">
        <v>64</v>
      </c>
      <c r="B77" s="44">
        <f>VLOOKUP(A77,PriceData!$K$4:$L$6,2,FALSE)</f>
        <v>10022</v>
      </c>
      <c r="C77" s="45">
        <f>VLOOKUP(A77,PriceData!$K$4:$M$6,3,FALSE)</f>
        <v>0.005</v>
      </c>
      <c r="D77" s="44" t="s">
        <v>56</v>
      </c>
      <c r="E77" s="44" t="s">
        <v>65</v>
      </c>
      <c r="F77" s="44">
        <v>-20</v>
      </c>
      <c r="G77">
        <v>11525</v>
      </c>
      <c r="H77" s="44" t="s">
        <v>59</v>
      </c>
      <c r="I77" s="68">
        <v>40347</v>
      </c>
      <c r="J77" s="45">
        <f>FindImpliedVol(A77,D77,G77,I77)</f>
        <v>0.328110573204544</v>
      </c>
      <c r="K77" s="69">
        <f>VLOOKUP(I77,PriceData!$A$5:$D$7,MATCH($E77,PriceData!$A$4:$D$4,0),FALSE)</f>
        <v>0.005</v>
      </c>
      <c r="L77" s="52" t="e">
        <f>BSPrice($B77,$J77,$K77,$C77,($I77-#REF!)/365,$G77,$H77,$D77)</f>
        <v>#NAME?</v>
      </c>
      <c r="M77" s="52" t="e">
        <f t="shared" si="7"/>
        <v>#NAME?</v>
      </c>
      <c r="N77" s="44" t="s">
        <v>60</v>
      </c>
      <c r="P77" s="49" t="e">
        <f>BSDelta(B77,J77,K77,C77,(I77-#REF!)/365,G77,H77,D77)</f>
        <v>#NAME?</v>
      </c>
      <c r="Q77" s="49" t="e">
        <f>BSGamma(B77,J77,K77,C77,(I77-#REF!)/365,G77,D77)</f>
        <v>#NAME?</v>
      </c>
      <c r="R77" s="51" t="e">
        <f>BSVega(B77,J77,K77,C77,(I77-#REF!)/365,G77,D77)</f>
        <v>#NAME?</v>
      </c>
      <c r="S77" s="51" t="e">
        <f>BSVolga(B77,J77,K77,C77,(I77-#REF!)/365,G77,D77)</f>
        <v>#NAME?</v>
      </c>
      <c r="T77" s="51" t="e">
        <f>BSTheta(B77,J77,K77,C77,(I77-#REF!)/365,G77,H77,D77)</f>
        <v>#NAME?</v>
      </c>
      <c r="U77" s="52" t="e">
        <f>BSRho(B77,J77,K77,C77,(I77-#REF!)/365,G77,H77,D77)</f>
        <v>#NAME?</v>
      </c>
      <c r="V77" s="70" t="e">
        <f t="shared" si="11"/>
        <v>#NAME?</v>
      </c>
      <c r="W77" s="70" t="e">
        <f t="shared" si="12"/>
        <v>#NAME?</v>
      </c>
      <c r="X77" s="54" t="e">
        <f t="shared" si="8"/>
        <v>#NAME?</v>
      </c>
      <c r="Y77" s="54" t="e">
        <f t="shared" si="13"/>
        <v>#NAME?</v>
      </c>
      <c r="Z77" s="54" t="e">
        <f t="shared" si="9"/>
        <v>#NAME?</v>
      </c>
      <c r="AA77" s="54" t="e">
        <f t="shared" si="10"/>
        <v>#NAME?</v>
      </c>
      <c r="AB77" s="54" t="e">
        <f>(BSPrice($B77*0.8,$J77,$K77,$C77,($I77-#REF!)/365,$G77,$H77,$D77)-BSPrice($B77,$J77,$K77,$C77,($I77-#REF!)/365,$G77,$H77,$D77))*$F77</f>
        <v>#NAME?</v>
      </c>
      <c r="AC77" s="54" t="e">
        <f>(BSPrice($B77*0.9,$J77,$K77,$C77,($I77-#REF!)/365,$G77,$H77,$D77)-BSPrice($B77,$J77,$K77,$C77,($I77-#REF!)/365,$G77,$H77,$D77))*$F77</f>
        <v>#NAME?</v>
      </c>
      <c r="AD77" s="54" t="e">
        <f>(BSPrice($B77*0.95,$J77,$K77,$C77,($I77-#REF!)/365,$G77,$H77,$D77)-BSPrice($B77,$J77,$K77,$C77,($I77-#REF!)/365,$G77,$H77,$D77))*$F77</f>
        <v>#NAME?</v>
      </c>
      <c r="AE77" s="54" t="e">
        <f>(BSPrice($B77*0.98,$J77,$K77,$C77,($I77-#REF!)/365,$G77,$H77,$D77)-BSPrice($B77,$J77,$K77,$C77,($I77-#REF!)/365,$G77,$H77,$D77))*$F77</f>
        <v>#NAME?</v>
      </c>
      <c r="AF77" s="54" t="e">
        <f>(BSPrice($B77*1.02,$J77,$K77,$C77,($I77-#REF!)/365,$G77,$H77,$D77)-BSPrice($B77,$J77,$K77,$C77,($I77-#REF!)/365,$G77,$H77,$D77))*$F77</f>
        <v>#NAME?</v>
      </c>
      <c r="AG77" s="54" t="e">
        <f>(BSPrice($B77*1.05,$J77,$K77,$C77,($I77-#REF!)/365,$G77,$H77,$D77)-BSPrice($B77,$J77,$K77,$C77,($I77-#REF!)/365,$G77,$H77,$D77))*$F77</f>
        <v>#NAME?</v>
      </c>
      <c r="AH77" s="54" t="e">
        <f>(BSPrice($B77*1.1,$J77,$K77,$C77,($I77-#REF!)/365,$G77,$H77,$D77)-BSPrice($B77,$J77,$K77,$C77,($I77-#REF!)/365,$G77,$H77,$D77))*$F77</f>
        <v>#NAME?</v>
      </c>
      <c r="AI77" s="54" t="e">
        <f>(BSPrice($B77*1.2,$J77,$K77,$C77,($I77-#REF!)/365,$G77,$H77,$D77)-BSPrice($B77,$J77,$K77,$C77,($I77-#REF!)/365,$G77,$H77,$D77))*$F77</f>
        <v>#NAME?</v>
      </c>
      <c r="AJ77" s="54" t="e">
        <f>(BSPrice($B77,$J77-0.1,$K77,$C77,($I77-#REF!)/365,$G77,$H77,$D77)-BSPrice($B77,$J77,$K77,$C77,($I77-#REF!)/365,$G77,$H77,$D77))*$F77</f>
        <v>#NAME?</v>
      </c>
      <c r="AK77" s="54" t="e">
        <f>(BSPrice($B77,$J77-0.05,$K77,$C77,($I77-#REF!)/365,$G77,$H77,$D77)-BSPrice($B77,$J77,$K77,$C77,($I77-#REF!)/365,$G77,$H77,$D77))*$F77</f>
        <v>#NAME?</v>
      </c>
      <c r="AL77" s="54" t="e">
        <f>(BSPrice($B77,$J77-0.02,$K77,$C77,($I77-#REF!)/365,$G77,$H77,$D77)-BSPrice($B77,$J77,$K77,$C77,($I77-#REF!)/365,$G77,$H77,$D77))*$F77</f>
        <v>#NAME?</v>
      </c>
      <c r="AM77" s="54" t="e">
        <f>(BSPrice($B77,$J77-0.01,$K77,$C77,($I77-#REF!)/365,$G77,$H77,$D77)-BSPrice($B77,$J77,$K77,$C77,($I77-#REF!)/365,$G77,$H77,$D77))*$F77</f>
        <v>#NAME?</v>
      </c>
      <c r="AN77" s="54" t="e">
        <f>(BSPrice($B77,$J77+0.01,$K77,$C77,($I77-#REF!)/365,$G77,$H77,$D77)-BSPrice($B77,$J77,$K77,$C77,($I77-#REF!)/365,$G77,$H77,$D77))*$F77</f>
        <v>#NAME?</v>
      </c>
      <c r="AO77" s="54" t="e">
        <f>(BSPrice($B77,$J77+0.02,$K77,$C77,($I77-#REF!)/365,$G77,$H77,$D77)-BSPrice($B77,$J77,$K77,$C77,($I77-#REF!)/365,$G77,$H77,$D77))*$F77</f>
        <v>#NAME?</v>
      </c>
      <c r="AP77" s="54" t="e">
        <f>(BSPrice($B77,$J77+0.05,$K77,$C77,($I77-#REF!)/365,$G77,$H77,$D77)-BSPrice($B77,$J77,$K77,$C77,($I77-#REF!)/365,$G77,$H77,$D77))*$F77</f>
        <v>#NAME?</v>
      </c>
      <c r="AQ77" s="54" t="e">
        <f>(BSPrice($B77,$J77+0.1,$K77,$C77,($I77-#REF!)/365,$G77,$H77,$D77)-BSPrice($B77,$J77,$K77,$C77,($I77-#REF!)/365,$G77,$H77,$D77))*$F77</f>
        <v>#NAME?</v>
      </c>
    </row>
    <row r="78" spans="1:43">
      <c r="A78" s="67" t="s">
        <v>64</v>
      </c>
      <c r="B78" s="44">
        <f>VLOOKUP(A78,PriceData!$K$4:$L$6,2,FALSE)</f>
        <v>10022</v>
      </c>
      <c r="C78" s="45">
        <f>VLOOKUP(A78,PriceData!$K$4:$M$6,3,FALSE)</f>
        <v>0.005</v>
      </c>
      <c r="D78" s="44" t="s">
        <v>56</v>
      </c>
      <c r="E78" s="44" t="s">
        <v>65</v>
      </c>
      <c r="F78" s="44">
        <v>5</v>
      </c>
      <c r="G78">
        <v>8519</v>
      </c>
      <c r="H78" s="44" t="s">
        <v>57</v>
      </c>
      <c r="I78" s="68">
        <v>40347</v>
      </c>
      <c r="J78" s="45">
        <f>FindImpliedVol(A78,D78,G78,I78)</f>
        <v>0.484139247868658</v>
      </c>
      <c r="K78" s="69">
        <f>VLOOKUP(I78,PriceData!$A$5:$D$7,MATCH($E78,PriceData!$A$4:$D$4,0),FALSE)</f>
        <v>0.005</v>
      </c>
      <c r="L78" s="52" t="e">
        <f>BSPrice($B78,$J78,$K78,$C78,($I78-#REF!)/365,$G78,$H78,$D78)</f>
        <v>#NAME?</v>
      </c>
      <c r="M78" s="52" t="e">
        <f t="shared" si="7"/>
        <v>#NAME?</v>
      </c>
      <c r="N78" s="44" t="s">
        <v>55</v>
      </c>
      <c r="P78" s="49" t="e">
        <f>BSDelta(B78,J78,K78,C78,(I78-#REF!)/365,G78,H78,D78)</f>
        <v>#NAME?</v>
      </c>
      <c r="Q78" s="49" t="e">
        <f>BSGamma(B78,J78,K78,C78,(I78-#REF!)/365,G78,D78)</f>
        <v>#NAME?</v>
      </c>
      <c r="R78" s="51" t="e">
        <f>BSVega(B78,J78,K78,C78,(I78-#REF!)/365,G78,D78)</f>
        <v>#NAME?</v>
      </c>
      <c r="S78" s="51" t="e">
        <f>BSVolga(B78,J78,K78,C78,(I78-#REF!)/365,G78,D78)</f>
        <v>#NAME?</v>
      </c>
      <c r="T78" s="51" t="e">
        <f>BSTheta(B78,J78,K78,C78,(I78-#REF!)/365,G78,H78,D78)</f>
        <v>#NAME?</v>
      </c>
      <c r="U78" s="52" t="e">
        <f>BSRho(B78,J78,K78,C78,(I78-#REF!)/365,G78,H78,D78)</f>
        <v>#NAME?</v>
      </c>
      <c r="V78" s="70" t="e">
        <f t="shared" si="11"/>
        <v>#NAME?</v>
      </c>
      <c r="W78" s="70" t="e">
        <f t="shared" si="12"/>
        <v>#NAME?</v>
      </c>
      <c r="X78" s="54" t="e">
        <f t="shared" si="8"/>
        <v>#NAME?</v>
      </c>
      <c r="Y78" s="54" t="e">
        <f t="shared" si="13"/>
        <v>#NAME?</v>
      </c>
      <c r="Z78" s="54" t="e">
        <f t="shared" si="9"/>
        <v>#NAME?</v>
      </c>
      <c r="AA78" s="54" t="e">
        <f t="shared" si="10"/>
        <v>#NAME?</v>
      </c>
      <c r="AB78" s="54" t="e">
        <f>(BSPrice($B78*0.8,$J78,$K78,$C78,($I78-#REF!)/365,$G78,$H78,$D78)-BSPrice($B78,$J78,$K78,$C78,($I78-#REF!)/365,$G78,$H78,$D78))*$F78</f>
        <v>#NAME?</v>
      </c>
      <c r="AC78" s="54" t="e">
        <f>(BSPrice($B78*0.9,$J78,$K78,$C78,($I78-#REF!)/365,$G78,$H78,$D78)-BSPrice($B78,$J78,$K78,$C78,($I78-#REF!)/365,$G78,$H78,$D78))*$F78</f>
        <v>#NAME?</v>
      </c>
      <c r="AD78" s="54" t="e">
        <f>(BSPrice($B78*0.95,$J78,$K78,$C78,($I78-#REF!)/365,$G78,$H78,$D78)-BSPrice($B78,$J78,$K78,$C78,($I78-#REF!)/365,$G78,$H78,$D78))*$F78</f>
        <v>#NAME?</v>
      </c>
      <c r="AE78" s="54" t="e">
        <f>(BSPrice($B78*0.98,$J78,$K78,$C78,($I78-#REF!)/365,$G78,$H78,$D78)-BSPrice($B78,$J78,$K78,$C78,($I78-#REF!)/365,$G78,$H78,$D78))*$F78</f>
        <v>#NAME?</v>
      </c>
      <c r="AF78" s="54" t="e">
        <f>(BSPrice($B78*1.02,$J78,$K78,$C78,($I78-#REF!)/365,$G78,$H78,$D78)-BSPrice($B78,$J78,$K78,$C78,($I78-#REF!)/365,$G78,$H78,$D78))*$F78</f>
        <v>#NAME?</v>
      </c>
      <c r="AG78" s="54" t="e">
        <f>(BSPrice($B78*1.05,$J78,$K78,$C78,($I78-#REF!)/365,$G78,$H78,$D78)-BSPrice($B78,$J78,$K78,$C78,($I78-#REF!)/365,$G78,$H78,$D78))*$F78</f>
        <v>#NAME?</v>
      </c>
      <c r="AH78" s="54" t="e">
        <f>(BSPrice($B78*1.1,$J78,$K78,$C78,($I78-#REF!)/365,$G78,$H78,$D78)-BSPrice($B78,$J78,$K78,$C78,($I78-#REF!)/365,$G78,$H78,$D78))*$F78</f>
        <v>#NAME?</v>
      </c>
      <c r="AI78" s="54" t="e">
        <f>(BSPrice($B78*1.2,$J78,$K78,$C78,($I78-#REF!)/365,$G78,$H78,$D78)-BSPrice($B78,$J78,$K78,$C78,($I78-#REF!)/365,$G78,$H78,$D78))*$F78</f>
        <v>#NAME?</v>
      </c>
      <c r="AJ78" s="54" t="e">
        <f>(BSPrice($B78,$J78-0.1,$K78,$C78,($I78-#REF!)/365,$G78,$H78,$D78)-BSPrice($B78,$J78,$K78,$C78,($I78-#REF!)/365,$G78,$H78,$D78))*$F78</f>
        <v>#NAME?</v>
      </c>
      <c r="AK78" s="54" t="e">
        <f>(BSPrice($B78,$J78-0.05,$K78,$C78,($I78-#REF!)/365,$G78,$H78,$D78)-BSPrice($B78,$J78,$K78,$C78,($I78-#REF!)/365,$G78,$H78,$D78))*$F78</f>
        <v>#NAME?</v>
      </c>
      <c r="AL78" s="54" t="e">
        <f>(BSPrice($B78,$J78-0.02,$K78,$C78,($I78-#REF!)/365,$G78,$H78,$D78)-BSPrice($B78,$J78,$K78,$C78,($I78-#REF!)/365,$G78,$H78,$D78))*$F78</f>
        <v>#NAME?</v>
      </c>
      <c r="AM78" s="54" t="e">
        <f>(BSPrice($B78,$J78-0.01,$K78,$C78,($I78-#REF!)/365,$G78,$H78,$D78)-BSPrice($B78,$J78,$K78,$C78,($I78-#REF!)/365,$G78,$H78,$D78))*$F78</f>
        <v>#NAME?</v>
      </c>
      <c r="AN78" s="54" t="e">
        <f>(BSPrice($B78,$J78+0.01,$K78,$C78,($I78-#REF!)/365,$G78,$H78,$D78)-BSPrice($B78,$J78,$K78,$C78,($I78-#REF!)/365,$G78,$H78,$D78))*$F78</f>
        <v>#NAME?</v>
      </c>
      <c r="AO78" s="54" t="e">
        <f>(BSPrice($B78,$J78+0.02,$K78,$C78,($I78-#REF!)/365,$G78,$H78,$D78)-BSPrice($B78,$J78,$K78,$C78,($I78-#REF!)/365,$G78,$H78,$D78))*$F78</f>
        <v>#NAME?</v>
      </c>
      <c r="AP78" s="54" t="e">
        <f>(BSPrice($B78,$J78+0.05,$K78,$C78,($I78-#REF!)/365,$G78,$H78,$D78)-BSPrice($B78,$J78,$K78,$C78,($I78-#REF!)/365,$G78,$H78,$D78))*$F78</f>
        <v>#NAME?</v>
      </c>
      <c r="AQ78" s="54" t="e">
        <f>(BSPrice($B78,$J78+0.1,$K78,$C78,($I78-#REF!)/365,$G78,$H78,$D78)-BSPrice($B78,$J78,$K78,$C78,($I78-#REF!)/365,$G78,$H78,$D78))*$F78</f>
        <v>#NAME?</v>
      </c>
    </row>
    <row r="79" spans="1:43">
      <c r="A79" s="67" t="s">
        <v>64</v>
      </c>
      <c r="B79" s="44">
        <f>VLOOKUP(A79,PriceData!$K$4:$L$6,2,FALSE)</f>
        <v>10022</v>
      </c>
      <c r="C79" s="45">
        <f>VLOOKUP(A79,PriceData!$K$4:$M$6,3,FALSE)</f>
        <v>0.005</v>
      </c>
      <c r="D79" s="44" t="s">
        <v>56</v>
      </c>
      <c r="E79" s="44" t="s">
        <v>65</v>
      </c>
      <c r="F79" s="44">
        <v>-20</v>
      </c>
      <c r="G79">
        <v>11525</v>
      </c>
      <c r="H79" s="44" t="s">
        <v>59</v>
      </c>
      <c r="I79" s="68">
        <v>40347</v>
      </c>
      <c r="J79" s="45">
        <f>FindImpliedVol(A79,D79,G79,I79)</f>
        <v>0.328110573204544</v>
      </c>
      <c r="K79" s="69">
        <f>VLOOKUP(I79,PriceData!$A$5:$D$7,MATCH($E79,PriceData!$A$4:$D$4,0),FALSE)</f>
        <v>0.005</v>
      </c>
      <c r="L79" s="52" t="e">
        <f>BSPrice($B79,$J79,$K79,$C79,($I79-#REF!)/365,$G79,$H79,$D79)</f>
        <v>#NAME?</v>
      </c>
      <c r="M79" s="52" t="e">
        <f t="shared" si="7"/>
        <v>#NAME?</v>
      </c>
      <c r="N79" s="44" t="s">
        <v>55</v>
      </c>
      <c r="P79" s="49" t="e">
        <f>BSDelta(B79,J79,K79,C79,(I79-#REF!)/365,G79,H79,D79)</f>
        <v>#NAME?</v>
      </c>
      <c r="Q79" s="49" t="e">
        <f>BSGamma(B79,J79,K79,C79,(I79-#REF!)/365,G79,D79)</f>
        <v>#NAME?</v>
      </c>
      <c r="R79" s="51" t="e">
        <f>BSVega(B79,J79,K79,C79,(I79-#REF!)/365,G79,D79)</f>
        <v>#NAME?</v>
      </c>
      <c r="S79" s="51" t="e">
        <f>BSVolga(B79,J79,K79,C79,(I79-#REF!)/365,G79,D79)</f>
        <v>#NAME?</v>
      </c>
      <c r="T79" s="51" t="e">
        <f>BSTheta(B79,J79,K79,C79,(I79-#REF!)/365,G79,H79,D79)</f>
        <v>#NAME?</v>
      </c>
      <c r="U79" s="52" t="e">
        <f>BSRho(B79,J79,K79,C79,(I79-#REF!)/365,G79,H79,D79)</f>
        <v>#NAME?</v>
      </c>
      <c r="V79" s="70" t="e">
        <f t="shared" si="11"/>
        <v>#NAME?</v>
      </c>
      <c r="W79" s="70" t="e">
        <f t="shared" si="12"/>
        <v>#NAME?</v>
      </c>
      <c r="X79" s="54" t="e">
        <f t="shared" si="8"/>
        <v>#NAME?</v>
      </c>
      <c r="Y79" s="54" t="e">
        <f t="shared" si="13"/>
        <v>#NAME?</v>
      </c>
      <c r="Z79" s="54" t="e">
        <f t="shared" si="9"/>
        <v>#NAME?</v>
      </c>
      <c r="AA79" s="54" t="e">
        <f t="shared" si="10"/>
        <v>#NAME?</v>
      </c>
      <c r="AB79" s="54" t="e">
        <f>(BSPrice($B79*0.8,$J79,$K79,$C79,($I79-#REF!)/365,$G79,$H79,$D79)-BSPrice($B79,$J79,$K79,$C79,($I79-#REF!)/365,$G79,$H79,$D79))*$F79</f>
        <v>#NAME?</v>
      </c>
      <c r="AC79" s="54" t="e">
        <f>(BSPrice($B79*0.9,$J79,$K79,$C79,($I79-#REF!)/365,$G79,$H79,$D79)-BSPrice($B79,$J79,$K79,$C79,($I79-#REF!)/365,$G79,$H79,$D79))*$F79</f>
        <v>#NAME?</v>
      </c>
      <c r="AD79" s="54" t="e">
        <f>(BSPrice($B79*0.95,$J79,$K79,$C79,($I79-#REF!)/365,$G79,$H79,$D79)-BSPrice($B79,$J79,$K79,$C79,($I79-#REF!)/365,$G79,$H79,$D79))*$F79</f>
        <v>#NAME?</v>
      </c>
      <c r="AE79" s="54" t="e">
        <f>(BSPrice($B79*0.98,$J79,$K79,$C79,($I79-#REF!)/365,$G79,$H79,$D79)-BSPrice($B79,$J79,$K79,$C79,($I79-#REF!)/365,$G79,$H79,$D79))*$F79</f>
        <v>#NAME?</v>
      </c>
      <c r="AF79" s="54" t="e">
        <f>(BSPrice($B79*1.02,$J79,$K79,$C79,($I79-#REF!)/365,$G79,$H79,$D79)-BSPrice($B79,$J79,$K79,$C79,($I79-#REF!)/365,$G79,$H79,$D79))*$F79</f>
        <v>#NAME?</v>
      </c>
      <c r="AG79" s="54" t="e">
        <f>(BSPrice($B79*1.05,$J79,$K79,$C79,($I79-#REF!)/365,$G79,$H79,$D79)-BSPrice($B79,$J79,$K79,$C79,($I79-#REF!)/365,$G79,$H79,$D79))*$F79</f>
        <v>#NAME?</v>
      </c>
      <c r="AH79" s="54" t="e">
        <f>(BSPrice($B79*1.1,$J79,$K79,$C79,($I79-#REF!)/365,$G79,$H79,$D79)-BSPrice($B79,$J79,$K79,$C79,($I79-#REF!)/365,$G79,$H79,$D79))*$F79</f>
        <v>#NAME?</v>
      </c>
      <c r="AI79" s="54" t="e">
        <f>(BSPrice($B79*1.2,$J79,$K79,$C79,($I79-#REF!)/365,$G79,$H79,$D79)-BSPrice($B79,$J79,$K79,$C79,($I79-#REF!)/365,$G79,$H79,$D79))*$F79</f>
        <v>#NAME?</v>
      </c>
      <c r="AJ79" s="54" t="e">
        <f>(BSPrice($B79,$J79-0.1,$K79,$C79,($I79-#REF!)/365,$G79,$H79,$D79)-BSPrice($B79,$J79,$K79,$C79,($I79-#REF!)/365,$G79,$H79,$D79))*$F79</f>
        <v>#NAME?</v>
      </c>
      <c r="AK79" s="54" t="e">
        <f>(BSPrice($B79,$J79-0.05,$K79,$C79,($I79-#REF!)/365,$G79,$H79,$D79)-BSPrice($B79,$J79,$K79,$C79,($I79-#REF!)/365,$G79,$H79,$D79))*$F79</f>
        <v>#NAME?</v>
      </c>
      <c r="AL79" s="54" t="e">
        <f>(BSPrice($B79,$J79-0.02,$K79,$C79,($I79-#REF!)/365,$G79,$H79,$D79)-BSPrice($B79,$J79,$K79,$C79,($I79-#REF!)/365,$G79,$H79,$D79))*$F79</f>
        <v>#NAME?</v>
      </c>
      <c r="AM79" s="54" t="e">
        <f>(BSPrice($B79,$J79-0.01,$K79,$C79,($I79-#REF!)/365,$G79,$H79,$D79)-BSPrice($B79,$J79,$K79,$C79,($I79-#REF!)/365,$G79,$H79,$D79))*$F79</f>
        <v>#NAME?</v>
      </c>
      <c r="AN79" s="54" t="e">
        <f>(BSPrice($B79,$J79+0.01,$K79,$C79,($I79-#REF!)/365,$G79,$H79,$D79)-BSPrice($B79,$J79,$K79,$C79,($I79-#REF!)/365,$G79,$H79,$D79))*$F79</f>
        <v>#NAME?</v>
      </c>
      <c r="AO79" s="54" t="e">
        <f>(BSPrice($B79,$J79+0.02,$K79,$C79,($I79-#REF!)/365,$G79,$H79,$D79)-BSPrice($B79,$J79,$K79,$C79,($I79-#REF!)/365,$G79,$H79,$D79))*$F79</f>
        <v>#NAME?</v>
      </c>
      <c r="AP79" s="54" t="e">
        <f>(BSPrice($B79,$J79+0.05,$K79,$C79,($I79-#REF!)/365,$G79,$H79,$D79)-BSPrice($B79,$J79,$K79,$C79,($I79-#REF!)/365,$G79,$H79,$D79))*$F79</f>
        <v>#NAME?</v>
      </c>
      <c r="AQ79" s="54" t="e">
        <f>(BSPrice($B79,$J79+0.1,$K79,$C79,($I79-#REF!)/365,$G79,$H79,$D79)-BSPrice($B79,$J79,$K79,$C79,($I79-#REF!)/365,$G79,$H79,$D79))*$F79</f>
        <v>#NAME?</v>
      </c>
    </row>
    <row r="80" spans="1:43">
      <c r="A80" s="67" t="s">
        <v>64</v>
      </c>
      <c r="B80" s="44">
        <f>VLOOKUP(A80,PriceData!$K$4:$L$6,2,FALSE)</f>
        <v>10022</v>
      </c>
      <c r="C80" s="45">
        <f>VLOOKUP(A80,PriceData!$K$4:$M$6,3,FALSE)</f>
        <v>0.005</v>
      </c>
      <c r="D80" s="44" t="s">
        <v>56</v>
      </c>
      <c r="E80" s="44" t="s">
        <v>65</v>
      </c>
      <c r="F80" s="44">
        <v>-10</v>
      </c>
      <c r="G80">
        <v>9721</v>
      </c>
      <c r="H80" s="44" t="s">
        <v>57</v>
      </c>
      <c r="I80" s="68">
        <v>40438</v>
      </c>
      <c r="J80" s="45">
        <f>FindImpliedVol(A80,D80,G80,I80)</f>
        <v>0.347557803706621</v>
      </c>
      <c r="K80" s="69">
        <f>VLOOKUP(I80,PriceData!$A$5:$D$7,MATCH($E80,PriceData!$A$4:$D$4,0),FALSE)</f>
        <v>0.0075</v>
      </c>
      <c r="L80" s="52" t="e">
        <f>BSPrice($B80,$J80,$K80,$C80,($I80-#REF!)/365,$G80,$H80,$D80)</f>
        <v>#NAME?</v>
      </c>
      <c r="M80" s="52" t="e">
        <f t="shared" si="7"/>
        <v>#NAME?</v>
      </c>
      <c r="N80" s="44" t="s">
        <v>61</v>
      </c>
      <c r="P80" s="49" t="e">
        <f>BSDelta(B80,J80,K80,C80,(I80-#REF!)/365,G80,H80,D80)</f>
        <v>#NAME?</v>
      </c>
      <c r="Q80" s="49" t="e">
        <f>BSGamma(B80,J80,K80,C80,(I80-#REF!)/365,G80,D80)</f>
        <v>#NAME?</v>
      </c>
      <c r="R80" s="51" t="e">
        <f>BSVega(B80,J80,K80,C80,(I80-#REF!)/365,G80,D80)</f>
        <v>#NAME?</v>
      </c>
      <c r="S80" s="51" t="e">
        <f>BSVolga(B80,J80,K80,C80,(I80-#REF!)/365,G80,D80)</f>
        <v>#NAME?</v>
      </c>
      <c r="T80" s="51" t="e">
        <f>BSTheta(B80,J80,K80,C80,(I80-#REF!)/365,G80,H80,D80)</f>
        <v>#NAME?</v>
      </c>
      <c r="U80" s="52" t="e">
        <f>BSRho(B80,J80,K80,C80,(I80-#REF!)/365,G80,H80,D80)</f>
        <v>#NAME?</v>
      </c>
      <c r="V80" s="70" t="e">
        <f t="shared" si="11"/>
        <v>#NAME?</v>
      </c>
      <c r="W80" s="70" t="e">
        <f t="shared" si="12"/>
        <v>#NAME?</v>
      </c>
      <c r="X80" s="54" t="e">
        <f t="shared" si="8"/>
        <v>#NAME?</v>
      </c>
      <c r="Y80" s="54" t="e">
        <f t="shared" si="13"/>
        <v>#NAME?</v>
      </c>
      <c r="Z80" s="54" t="e">
        <f t="shared" si="9"/>
        <v>#NAME?</v>
      </c>
      <c r="AA80" s="54" t="e">
        <f t="shared" si="10"/>
        <v>#NAME?</v>
      </c>
      <c r="AB80" s="54" t="e">
        <f>(BSPrice($B80*0.8,$J80,$K80,$C80,($I80-#REF!)/365,$G80,$H80,$D80)-BSPrice($B80,$J80,$K80,$C80,($I80-#REF!)/365,$G80,$H80,$D80))*$F80</f>
        <v>#NAME?</v>
      </c>
      <c r="AC80" s="54" t="e">
        <f>(BSPrice($B80*0.9,$J80,$K80,$C80,($I80-#REF!)/365,$G80,$H80,$D80)-BSPrice($B80,$J80,$K80,$C80,($I80-#REF!)/365,$G80,$H80,$D80))*$F80</f>
        <v>#NAME?</v>
      </c>
      <c r="AD80" s="54" t="e">
        <f>(BSPrice($B80*0.95,$J80,$K80,$C80,($I80-#REF!)/365,$G80,$H80,$D80)-BSPrice($B80,$J80,$K80,$C80,($I80-#REF!)/365,$G80,$H80,$D80))*$F80</f>
        <v>#NAME?</v>
      </c>
      <c r="AE80" s="54" t="e">
        <f>(BSPrice($B80*0.98,$J80,$K80,$C80,($I80-#REF!)/365,$G80,$H80,$D80)-BSPrice($B80,$J80,$K80,$C80,($I80-#REF!)/365,$G80,$H80,$D80))*$F80</f>
        <v>#NAME?</v>
      </c>
      <c r="AF80" s="54" t="e">
        <f>(BSPrice($B80*1.02,$J80,$K80,$C80,($I80-#REF!)/365,$G80,$H80,$D80)-BSPrice($B80,$J80,$K80,$C80,($I80-#REF!)/365,$G80,$H80,$D80))*$F80</f>
        <v>#NAME?</v>
      </c>
      <c r="AG80" s="54" t="e">
        <f>(BSPrice($B80*1.05,$J80,$K80,$C80,($I80-#REF!)/365,$G80,$H80,$D80)-BSPrice($B80,$J80,$K80,$C80,($I80-#REF!)/365,$G80,$H80,$D80))*$F80</f>
        <v>#NAME?</v>
      </c>
      <c r="AH80" s="54" t="e">
        <f>(BSPrice($B80*1.1,$J80,$K80,$C80,($I80-#REF!)/365,$G80,$H80,$D80)-BSPrice($B80,$J80,$K80,$C80,($I80-#REF!)/365,$G80,$H80,$D80))*$F80</f>
        <v>#NAME?</v>
      </c>
      <c r="AI80" s="54" t="e">
        <f>(BSPrice($B80*1.2,$J80,$K80,$C80,($I80-#REF!)/365,$G80,$H80,$D80)-BSPrice($B80,$J80,$K80,$C80,($I80-#REF!)/365,$G80,$H80,$D80))*$F80</f>
        <v>#NAME?</v>
      </c>
      <c r="AJ80" s="54" t="e">
        <f>(BSPrice($B80,$J80-0.1,$K80,$C80,($I80-#REF!)/365,$G80,$H80,$D80)-BSPrice($B80,$J80,$K80,$C80,($I80-#REF!)/365,$G80,$H80,$D80))*$F80</f>
        <v>#NAME?</v>
      </c>
      <c r="AK80" s="54" t="e">
        <f>(BSPrice($B80,$J80-0.05,$K80,$C80,($I80-#REF!)/365,$G80,$H80,$D80)-BSPrice($B80,$J80,$K80,$C80,($I80-#REF!)/365,$G80,$H80,$D80))*$F80</f>
        <v>#NAME?</v>
      </c>
      <c r="AL80" s="54" t="e">
        <f>(BSPrice($B80,$J80-0.02,$K80,$C80,($I80-#REF!)/365,$G80,$H80,$D80)-BSPrice($B80,$J80,$K80,$C80,($I80-#REF!)/365,$G80,$H80,$D80))*$F80</f>
        <v>#NAME?</v>
      </c>
      <c r="AM80" s="54" t="e">
        <f>(BSPrice($B80,$J80-0.01,$K80,$C80,($I80-#REF!)/365,$G80,$H80,$D80)-BSPrice($B80,$J80,$K80,$C80,($I80-#REF!)/365,$G80,$H80,$D80))*$F80</f>
        <v>#NAME?</v>
      </c>
      <c r="AN80" s="54" t="e">
        <f>(BSPrice($B80,$J80+0.01,$K80,$C80,($I80-#REF!)/365,$G80,$H80,$D80)-BSPrice($B80,$J80,$K80,$C80,($I80-#REF!)/365,$G80,$H80,$D80))*$F80</f>
        <v>#NAME?</v>
      </c>
      <c r="AO80" s="54" t="e">
        <f>(BSPrice($B80,$J80+0.02,$K80,$C80,($I80-#REF!)/365,$G80,$H80,$D80)-BSPrice($B80,$J80,$K80,$C80,($I80-#REF!)/365,$G80,$H80,$D80))*$F80</f>
        <v>#NAME?</v>
      </c>
      <c r="AP80" s="54" t="e">
        <f>(BSPrice($B80,$J80+0.05,$K80,$C80,($I80-#REF!)/365,$G80,$H80,$D80)-BSPrice($B80,$J80,$K80,$C80,($I80-#REF!)/365,$G80,$H80,$D80))*$F80</f>
        <v>#NAME?</v>
      </c>
      <c r="AQ80" s="54" t="e">
        <f>(BSPrice($B80,$J80+0.1,$K80,$C80,($I80-#REF!)/365,$G80,$H80,$D80)-BSPrice($B80,$J80,$K80,$C80,($I80-#REF!)/365,$G80,$H80,$D80))*$F80</f>
        <v>#NAME?</v>
      </c>
    </row>
    <row r="81" spans="1:43">
      <c r="A81" s="67" t="s">
        <v>64</v>
      </c>
      <c r="B81" s="44">
        <f>VLOOKUP(A81,PriceData!$K$4:$L$6,2,FALSE)</f>
        <v>10022</v>
      </c>
      <c r="C81" s="45">
        <f>VLOOKUP(A81,PriceData!$K$4:$M$6,3,FALSE)</f>
        <v>0.005</v>
      </c>
      <c r="D81" s="44" t="s">
        <v>56</v>
      </c>
      <c r="E81" s="44" t="s">
        <v>65</v>
      </c>
      <c r="F81" s="44">
        <v>-5</v>
      </c>
      <c r="G81">
        <v>7617</v>
      </c>
      <c r="H81" s="44" t="s">
        <v>57</v>
      </c>
      <c r="I81" s="68">
        <v>40438</v>
      </c>
      <c r="J81" s="45">
        <f>FindImpliedVol(A81,D81,G81,I81)</f>
        <v>0.575353119571989</v>
      </c>
      <c r="K81" s="69">
        <f>VLOOKUP(I81,PriceData!$A$5:$D$7,MATCH($E81,PriceData!$A$4:$D$4,0),FALSE)</f>
        <v>0.0075</v>
      </c>
      <c r="L81" s="52" t="e">
        <f>BSPrice($B81,$J81,$K81,$C81,($I81-#REF!)/365,$G81,$H81,$D81)</f>
        <v>#NAME?</v>
      </c>
      <c r="M81" s="52" t="e">
        <f t="shared" si="7"/>
        <v>#NAME?</v>
      </c>
      <c r="N81" s="44" t="s">
        <v>55</v>
      </c>
      <c r="P81" s="49" t="e">
        <f>BSDelta(B81,J81,K81,C81,(I81-#REF!)/365,G81,H81,D81)</f>
        <v>#NAME?</v>
      </c>
      <c r="Q81" s="49" t="e">
        <f>BSGamma(B81,J81,K81,C81,(I81-#REF!)/365,G81,D81)</f>
        <v>#NAME?</v>
      </c>
      <c r="R81" s="51" t="e">
        <f>BSVega(B81,J81,K81,C81,(I81-#REF!)/365,G81,D81)</f>
        <v>#NAME?</v>
      </c>
      <c r="S81" s="51" t="e">
        <f>BSVolga(B81,J81,K81,C81,(I81-#REF!)/365,G81,D81)</f>
        <v>#NAME?</v>
      </c>
      <c r="T81" s="51" t="e">
        <f>BSTheta(B81,J81,K81,C81,(I81-#REF!)/365,G81,H81,D81)</f>
        <v>#NAME?</v>
      </c>
      <c r="U81" s="52" t="e">
        <f>BSRho(B81,J81,K81,C81,(I81-#REF!)/365,G81,H81,D81)</f>
        <v>#NAME?</v>
      </c>
      <c r="V81" s="70" t="e">
        <f t="shared" si="11"/>
        <v>#NAME?</v>
      </c>
      <c r="W81" s="70" t="e">
        <f t="shared" si="12"/>
        <v>#NAME?</v>
      </c>
      <c r="X81" s="54" t="e">
        <f t="shared" si="8"/>
        <v>#NAME?</v>
      </c>
      <c r="Y81" s="54" t="e">
        <f t="shared" si="13"/>
        <v>#NAME?</v>
      </c>
      <c r="Z81" s="54" t="e">
        <f t="shared" si="9"/>
        <v>#NAME?</v>
      </c>
      <c r="AA81" s="54" t="e">
        <f t="shared" si="10"/>
        <v>#NAME?</v>
      </c>
      <c r="AB81" s="54" t="e">
        <f>(BSPrice($B81*0.8,$J81,$K81,$C81,($I81-#REF!)/365,$G81,$H81,$D81)-BSPrice($B81,$J81,$K81,$C81,($I81-#REF!)/365,$G81,$H81,$D81))*$F81</f>
        <v>#NAME?</v>
      </c>
      <c r="AC81" s="54" t="e">
        <f>(BSPrice($B81*0.9,$J81,$K81,$C81,($I81-#REF!)/365,$G81,$H81,$D81)-BSPrice($B81,$J81,$K81,$C81,($I81-#REF!)/365,$G81,$H81,$D81))*$F81</f>
        <v>#NAME?</v>
      </c>
      <c r="AD81" s="54" t="e">
        <f>(BSPrice($B81*0.95,$J81,$K81,$C81,($I81-#REF!)/365,$G81,$H81,$D81)-BSPrice($B81,$J81,$K81,$C81,($I81-#REF!)/365,$G81,$H81,$D81))*$F81</f>
        <v>#NAME?</v>
      </c>
      <c r="AE81" s="54" t="e">
        <f>(BSPrice($B81*0.98,$J81,$K81,$C81,($I81-#REF!)/365,$G81,$H81,$D81)-BSPrice($B81,$J81,$K81,$C81,($I81-#REF!)/365,$G81,$H81,$D81))*$F81</f>
        <v>#NAME?</v>
      </c>
      <c r="AF81" s="54" t="e">
        <f>(BSPrice($B81*1.02,$J81,$K81,$C81,($I81-#REF!)/365,$G81,$H81,$D81)-BSPrice($B81,$J81,$K81,$C81,($I81-#REF!)/365,$G81,$H81,$D81))*$F81</f>
        <v>#NAME?</v>
      </c>
      <c r="AG81" s="54" t="e">
        <f>(BSPrice($B81*1.05,$J81,$K81,$C81,($I81-#REF!)/365,$G81,$H81,$D81)-BSPrice($B81,$J81,$K81,$C81,($I81-#REF!)/365,$G81,$H81,$D81))*$F81</f>
        <v>#NAME?</v>
      </c>
      <c r="AH81" s="54" t="e">
        <f>(BSPrice($B81*1.1,$J81,$K81,$C81,($I81-#REF!)/365,$G81,$H81,$D81)-BSPrice($B81,$J81,$K81,$C81,($I81-#REF!)/365,$G81,$H81,$D81))*$F81</f>
        <v>#NAME?</v>
      </c>
      <c r="AI81" s="54" t="e">
        <f>(BSPrice($B81*1.2,$J81,$K81,$C81,($I81-#REF!)/365,$G81,$H81,$D81)-BSPrice($B81,$J81,$K81,$C81,($I81-#REF!)/365,$G81,$H81,$D81))*$F81</f>
        <v>#NAME?</v>
      </c>
      <c r="AJ81" s="54" t="e">
        <f>(BSPrice($B81,$J81-0.1,$K81,$C81,($I81-#REF!)/365,$G81,$H81,$D81)-BSPrice($B81,$J81,$K81,$C81,($I81-#REF!)/365,$G81,$H81,$D81))*$F81</f>
        <v>#NAME?</v>
      </c>
      <c r="AK81" s="54" t="e">
        <f>(BSPrice($B81,$J81-0.05,$K81,$C81,($I81-#REF!)/365,$G81,$H81,$D81)-BSPrice($B81,$J81,$K81,$C81,($I81-#REF!)/365,$G81,$H81,$D81))*$F81</f>
        <v>#NAME?</v>
      </c>
      <c r="AL81" s="54" t="e">
        <f>(BSPrice($B81,$J81-0.02,$K81,$C81,($I81-#REF!)/365,$G81,$H81,$D81)-BSPrice($B81,$J81,$K81,$C81,($I81-#REF!)/365,$G81,$H81,$D81))*$F81</f>
        <v>#NAME?</v>
      </c>
      <c r="AM81" s="54" t="e">
        <f>(BSPrice($B81,$J81-0.01,$K81,$C81,($I81-#REF!)/365,$G81,$H81,$D81)-BSPrice($B81,$J81,$K81,$C81,($I81-#REF!)/365,$G81,$H81,$D81))*$F81</f>
        <v>#NAME?</v>
      </c>
      <c r="AN81" s="54" t="e">
        <f>(BSPrice($B81,$J81+0.01,$K81,$C81,($I81-#REF!)/365,$G81,$H81,$D81)-BSPrice($B81,$J81,$K81,$C81,($I81-#REF!)/365,$G81,$H81,$D81))*$F81</f>
        <v>#NAME?</v>
      </c>
      <c r="AO81" s="54" t="e">
        <f>(BSPrice($B81,$J81+0.02,$K81,$C81,($I81-#REF!)/365,$G81,$H81,$D81)-BSPrice($B81,$J81,$K81,$C81,($I81-#REF!)/365,$G81,$H81,$D81))*$F81</f>
        <v>#NAME?</v>
      </c>
      <c r="AP81" s="54" t="e">
        <f>(BSPrice($B81,$J81+0.05,$K81,$C81,($I81-#REF!)/365,$G81,$H81,$D81)-BSPrice($B81,$J81,$K81,$C81,($I81-#REF!)/365,$G81,$H81,$D81))*$F81</f>
        <v>#NAME?</v>
      </c>
      <c r="AQ81" s="54" t="e">
        <f>(BSPrice($B81,$J81+0.1,$K81,$C81,($I81-#REF!)/365,$G81,$H81,$D81)-BSPrice($B81,$J81,$K81,$C81,($I81-#REF!)/365,$G81,$H81,$D81))*$F81</f>
        <v>#NAME?</v>
      </c>
    </row>
    <row r="82" spans="1:43">
      <c r="A82" s="67" t="s">
        <v>64</v>
      </c>
      <c r="B82" s="44">
        <f>VLOOKUP(A82,PriceData!$K$4:$L$6,2,FALSE)</f>
        <v>10022</v>
      </c>
      <c r="C82" s="45">
        <f>VLOOKUP(A82,PriceData!$K$4:$M$6,3,FALSE)</f>
        <v>0.005</v>
      </c>
      <c r="D82" s="44" t="s">
        <v>56</v>
      </c>
      <c r="E82" s="44" t="s">
        <v>65</v>
      </c>
      <c r="F82" s="44">
        <v>-10</v>
      </c>
      <c r="G82">
        <v>9721</v>
      </c>
      <c r="H82" s="44" t="s">
        <v>57</v>
      </c>
      <c r="I82" s="68">
        <v>40438</v>
      </c>
      <c r="J82" s="45">
        <f>FindImpliedVol(A82,D82,G82,I82)</f>
        <v>0.347557803706621</v>
      </c>
      <c r="K82" s="69">
        <f>VLOOKUP(I82,PriceData!$A$5:$D$7,MATCH($E82,PriceData!$A$4:$D$4,0),FALSE)</f>
        <v>0.0075</v>
      </c>
      <c r="L82" s="52" t="e">
        <f>BSPrice($B82,$J82,$K82,$C82,($I82-#REF!)/365,$G82,$H82,$D82)</f>
        <v>#NAME?</v>
      </c>
      <c r="M82" s="52" t="e">
        <f t="shared" si="7"/>
        <v>#NAME?</v>
      </c>
      <c r="N82" s="44" t="s">
        <v>60</v>
      </c>
      <c r="P82" s="49" t="e">
        <f>BSDelta(B82,J82,K82,C82,(I82-#REF!)/365,G82,H82,D82)</f>
        <v>#NAME?</v>
      </c>
      <c r="Q82" s="49" t="e">
        <f>BSGamma(B82,J82,K82,C82,(I82-#REF!)/365,G82,D82)</f>
        <v>#NAME?</v>
      </c>
      <c r="R82" s="51" t="e">
        <f>BSVega(B82,J82,K82,C82,(I82-#REF!)/365,G82,D82)</f>
        <v>#NAME?</v>
      </c>
      <c r="S82" s="51" t="e">
        <f>BSVolga(B82,J82,K82,C82,(I82-#REF!)/365,G82,D82)</f>
        <v>#NAME?</v>
      </c>
      <c r="T82" s="51" t="e">
        <f>BSTheta(B82,J82,K82,C82,(I82-#REF!)/365,G82,H82,D82)</f>
        <v>#NAME?</v>
      </c>
      <c r="U82" s="52" t="e">
        <f>BSRho(B82,J82,K82,C82,(I82-#REF!)/365,G82,H82,D82)</f>
        <v>#NAME?</v>
      </c>
      <c r="V82" s="70" t="e">
        <f t="shared" si="11"/>
        <v>#NAME?</v>
      </c>
      <c r="W82" s="70" t="e">
        <f t="shared" si="12"/>
        <v>#NAME?</v>
      </c>
      <c r="X82" s="54" t="e">
        <f t="shared" si="8"/>
        <v>#NAME?</v>
      </c>
      <c r="Y82" s="54" t="e">
        <f t="shared" si="13"/>
        <v>#NAME?</v>
      </c>
      <c r="Z82" s="54" t="e">
        <f t="shared" si="9"/>
        <v>#NAME?</v>
      </c>
      <c r="AA82" s="54" t="e">
        <f t="shared" si="10"/>
        <v>#NAME?</v>
      </c>
      <c r="AB82" s="54" t="e">
        <f>(BSPrice($B82*0.8,$J82,$K82,$C82,($I82-#REF!)/365,$G82,$H82,$D82)-BSPrice($B82,$J82,$K82,$C82,($I82-#REF!)/365,$G82,$H82,$D82))*$F82</f>
        <v>#NAME?</v>
      </c>
      <c r="AC82" s="54" t="e">
        <f>(BSPrice($B82*0.9,$J82,$K82,$C82,($I82-#REF!)/365,$G82,$H82,$D82)-BSPrice($B82,$J82,$K82,$C82,($I82-#REF!)/365,$G82,$H82,$D82))*$F82</f>
        <v>#NAME?</v>
      </c>
      <c r="AD82" s="54" t="e">
        <f>(BSPrice($B82*0.95,$J82,$K82,$C82,($I82-#REF!)/365,$G82,$H82,$D82)-BSPrice($B82,$J82,$K82,$C82,($I82-#REF!)/365,$G82,$H82,$D82))*$F82</f>
        <v>#NAME?</v>
      </c>
      <c r="AE82" s="54" t="e">
        <f>(BSPrice($B82*0.98,$J82,$K82,$C82,($I82-#REF!)/365,$G82,$H82,$D82)-BSPrice($B82,$J82,$K82,$C82,($I82-#REF!)/365,$G82,$H82,$D82))*$F82</f>
        <v>#NAME?</v>
      </c>
      <c r="AF82" s="54" t="e">
        <f>(BSPrice($B82*1.02,$J82,$K82,$C82,($I82-#REF!)/365,$G82,$H82,$D82)-BSPrice($B82,$J82,$K82,$C82,($I82-#REF!)/365,$G82,$H82,$D82))*$F82</f>
        <v>#NAME?</v>
      </c>
      <c r="AG82" s="54" t="e">
        <f>(BSPrice($B82*1.05,$J82,$K82,$C82,($I82-#REF!)/365,$G82,$H82,$D82)-BSPrice($B82,$J82,$K82,$C82,($I82-#REF!)/365,$G82,$H82,$D82))*$F82</f>
        <v>#NAME?</v>
      </c>
      <c r="AH82" s="54" t="e">
        <f>(BSPrice($B82*1.1,$J82,$K82,$C82,($I82-#REF!)/365,$G82,$H82,$D82)-BSPrice($B82,$J82,$K82,$C82,($I82-#REF!)/365,$G82,$H82,$D82))*$F82</f>
        <v>#NAME?</v>
      </c>
      <c r="AI82" s="54" t="e">
        <f>(BSPrice($B82*1.2,$J82,$K82,$C82,($I82-#REF!)/365,$G82,$H82,$D82)-BSPrice($B82,$J82,$K82,$C82,($I82-#REF!)/365,$G82,$H82,$D82))*$F82</f>
        <v>#NAME?</v>
      </c>
      <c r="AJ82" s="54" t="e">
        <f>(BSPrice($B82,$J82-0.1,$K82,$C82,($I82-#REF!)/365,$G82,$H82,$D82)-BSPrice($B82,$J82,$K82,$C82,($I82-#REF!)/365,$G82,$H82,$D82))*$F82</f>
        <v>#NAME?</v>
      </c>
      <c r="AK82" s="54" t="e">
        <f>(BSPrice($B82,$J82-0.05,$K82,$C82,($I82-#REF!)/365,$G82,$H82,$D82)-BSPrice($B82,$J82,$K82,$C82,($I82-#REF!)/365,$G82,$H82,$D82))*$F82</f>
        <v>#NAME?</v>
      </c>
      <c r="AL82" s="54" t="e">
        <f>(BSPrice($B82,$J82-0.02,$K82,$C82,($I82-#REF!)/365,$G82,$H82,$D82)-BSPrice($B82,$J82,$K82,$C82,($I82-#REF!)/365,$G82,$H82,$D82))*$F82</f>
        <v>#NAME?</v>
      </c>
      <c r="AM82" s="54" t="e">
        <f>(BSPrice($B82,$J82-0.01,$K82,$C82,($I82-#REF!)/365,$G82,$H82,$D82)-BSPrice($B82,$J82,$K82,$C82,($I82-#REF!)/365,$G82,$H82,$D82))*$F82</f>
        <v>#NAME?</v>
      </c>
      <c r="AN82" s="54" t="e">
        <f>(BSPrice($B82,$J82+0.01,$K82,$C82,($I82-#REF!)/365,$G82,$H82,$D82)-BSPrice($B82,$J82,$K82,$C82,($I82-#REF!)/365,$G82,$H82,$D82))*$F82</f>
        <v>#NAME?</v>
      </c>
      <c r="AO82" s="54" t="e">
        <f>(BSPrice($B82,$J82+0.02,$K82,$C82,($I82-#REF!)/365,$G82,$H82,$D82)-BSPrice($B82,$J82,$K82,$C82,($I82-#REF!)/365,$G82,$H82,$D82))*$F82</f>
        <v>#NAME?</v>
      </c>
      <c r="AP82" s="54" t="e">
        <f>(BSPrice($B82,$J82+0.05,$K82,$C82,($I82-#REF!)/365,$G82,$H82,$D82)-BSPrice($B82,$J82,$K82,$C82,($I82-#REF!)/365,$G82,$H82,$D82))*$F82</f>
        <v>#NAME?</v>
      </c>
      <c r="AQ82" s="54" t="e">
        <f>(BSPrice($B82,$J82+0.1,$K82,$C82,($I82-#REF!)/365,$G82,$H82,$D82)-BSPrice($B82,$J82,$K82,$C82,($I82-#REF!)/365,$G82,$H82,$D82))*$F82</f>
        <v>#NAME?</v>
      </c>
    </row>
    <row r="83" spans="1:43">
      <c r="A83" s="67" t="s">
        <v>64</v>
      </c>
      <c r="B83" s="44">
        <f>VLOOKUP(A83,PriceData!$K$4:$L$6,2,FALSE)</f>
        <v>10022</v>
      </c>
      <c r="C83" s="45">
        <f>VLOOKUP(A83,PriceData!$K$4:$M$6,3,FALSE)</f>
        <v>0.005</v>
      </c>
      <c r="D83" s="44" t="s">
        <v>56</v>
      </c>
      <c r="E83" s="44" t="s">
        <v>65</v>
      </c>
      <c r="F83" s="44">
        <v>-10</v>
      </c>
      <c r="G83">
        <v>8819</v>
      </c>
      <c r="H83" s="44" t="s">
        <v>57</v>
      </c>
      <c r="I83" s="68">
        <v>40438</v>
      </c>
      <c r="J83" s="45">
        <f>FindImpliedVol(A83,D83,G83,I83)</f>
        <v>0.422907634830482</v>
      </c>
      <c r="K83" s="69">
        <f>VLOOKUP(I83,PriceData!$A$5:$D$7,MATCH($E83,PriceData!$A$4:$D$4,0),FALSE)</f>
        <v>0.0075</v>
      </c>
      <c r="L83" s="52" t="e">
        <f>BSPrice($B83,$J83,$K83,$C83,($I83-#REF!)/365,$G83,$H83,$D83)</f>
        <v>#NAME?</v>
      </c>
      <c r="M83" s="52" t="e">
        <f t="shared" si="7"/>
        <v>#NAME?</v>
      </c>
      <c r="N83" s="44" t="s">
        <v>55</v>
      </c>
      <c r="P83" s="49" t="e">
        <f>BSDelta(B83,J83,K83,C83,(I83-#REF!)/365,G83,H83,D83)</f>
        <v>#NAME?</v>
      </c>
      <c r="Q83" s="49" t="e">
        <f>BSGamma(B83,J83,K83,C83,(I83-#REF!)/365,G83,D83)</f>
        <v>#NAME?</v>
      </c>
      <c r="R83" s="51" t="e">
        <f>BSVega(B83,J83,K83,C83,(I83-#REF!)/365,G83,D83)</f>
        <v>#NAME?</v>
      </c>
      <c r="S83" s="51" t="e">
        <f>BSVolga(B83,J83,K83,C83,(I83-#REF!)/365,G83,D83)</f>
        <v>#NAME?</v>
      </c>
      <c r="T83" s="51" t="e">
        <f>BSTheta(B83,J83,K83,C83,(I83-#REF!)/365,G83,H83,D83)</f>
        <v>#NAME?</v>
      </c>
      <c r="U83" s="52" t="e">
        <f>BSRho(B83,J83,K83,C83,(I83-#REF!)/365,G83,H83,D83)</f>
        <v>#NAME?</v>
      </c>
      <c r="V83" s="70" t="e">
        <f t="shared" si="11"/>
        <v>#NAME?</v>
      </c>
      <c r="W83" s="70" t="e">
        <f t="shared" si="12"/>
        <v>#NAME?</v>
      </c>
      <c r="X83" s="54" t="e">
        <f t="shared" si="8"/>
        <v>#NAME?</v>
      </c>
      <c r="Y83" s="54" t="e">
        <f t="shared" si="13"/>
        <v>#NAME?</v>
      </c>
      <c r="Z83" s="54" t="e">
        <f t="shared" si="9"/>
        <v>#NAME?</v>
      </c>
      <c r="AA83" s="54" t="e">
        <f t="shared" si="10"/>
        <v>#NAME?</v>
      </c>
      <c r="AB83" s="54" t="e">
        <f>(BSPrice($B83*0.8,$J83,$K83,$C83,($I83-#REF!)/365,$G83,$H83,$D83)-BSPrice($B83,$J83,$K83,$C83,($I83-#REF!)/365,$G83,$H83,$D83))*$F83</f>
        <v>#NAME?</v>
      </c>
      <c r="AC83" s="54" t="e">
        <f>(BSPrice($B83*0.9,$J83,$K83,$C83,($I83-#REF!)/365,$G83,$H83,$D83)-BSPrice($B83,$J83,$K83,$C83,($I83-#REF!)/365,$G83,$H83,$D83))*$F83</f>
        <v>#NAME?</v>
      </c>
      <c r="AD83" s="54" t="e">
        <f>(BSPrice($B83*0.95,$J83,$K83,$C83,($I83-#REF!)/365,$G83,$H83,$D83)-BSPrice($B83,$J83,$K83,$C83,($I83-#REF!)/365,$G83,$H83,$D83))*$F83</f>
        <v>#NAME?</v>
      </c>
      <c r="AE83" s="54" t="e">
        <f>(BSPrice($B83*0.98,$J83,$K83,$C83,($I83-#REF!)/365,$G83,$H83,$D83)-BSPrice($B83,$J83,$K83,$C83,($I83-#REF!)/365,$G83,$H83,$D83))*$F83</f>
        <v>#NAME?</v>
      </c>
      <c r="AF83" s="54" t="e">
        <f>(BSPrice($B83*1.02,$J83,$K83,$C83,($I83-#REF!)/365,$G83,$H83,$D83)-BSPrice($B83,$J83,$K83,$C83,($I83-#REF!)/365,$G83,$H83,$D83))*$F83</f>
        <v>#NAME?</v>
      </c>
      <c r="AG83" s="54" t="e">
        <f>(BSPrice($B83*1.05,$J83,$K83,$C83,($I83-#REF!)/365,$G83,$H83,$D83)-BSPrice($B83,$J83,$K83,$C83,($I83-#REF!)/365,$G83,$H83,$D83))*$F83</f>
        <v>#NAME?</v>
      </c>
      <c r="AH83" s="54" t="e">
        <f>(BSPrice($B83*1.1,$J83,$K83,$C83,($I83-#REF!)/365,$G83,$H83,$D83)-BSPrice($B83,$J83,$K83,$C83,($I83-#REF!)/365,$G83,$H83,$D83))*$F83</f>
        <v>#NAME?</v>
      </c>
      <c r="AI83" s="54" t="e">
        <f>(BSPrice($B83*1.2,$J83,$K83,$C83,($I83-#REF!)/365,$G83,$H83,$D83)-BSPrice($B83,$J83,$K83,$C83,($I83-#REF!)/365,$G83,$H83,$D83))*$F83</f>
        <v>#NAME?</v>
      </c>
      <c r="AJ83" s="54" t="e">
        <f>(BSPrice($B83,$J83-0.1,$K83,$C83,($I83-#REF!)/365,$G83,$H83,$D83)-BSPrice($B83,$J83,$K83,$C83,($I83-#REF!)/365,$G83,$H83,$D83))*$F83</f>
        <v>#NAME?</v>
      </c>
      <c r="AK83" s="54" t="e">
        <f>(BSPrice($B83,$J83-0.05,$K83,$C83,($I83-#REF!)/365,$G83,$H83,$D83)-BSPrice($B83,$J83,$K83,$C83,($I83-#REF!)/365,$G83,$H83,$D83))*$F83</f>
        <v>#NAME?</v>
      </c>
      <c r="AL83" s="54" t="e">
        <f>(BSPrice($B83,$J83-0.02,$K83,$C83,($I83-#REF!)/365,$G83,$H83,$D83)-BSPrice($B83,$J83,$K83,$C83,($I83-#REF!)/365,$G83,$H83,$D83))*$F83</f>
        <v>#NAME?</v>
      </c>
      <c r="AM83" s="54" t="e">
        <f>(BSPrice($B83,$J83-0.01,$K83,$C83,($I83-#REF!)/365,$G83,$H83,$D83)-BSPrice($B83,$J83,$K83,$C83,($I83-#REF!)/365,$G83,$H83,$D83))*$F83</f>
        <v>#NAME?</v>
      </c>
      <c r="AN83" s="54" t="e">
        <f>(BSPrice($B83,$J83+0.01,$K83,$C83,($I83-#REF!)/365,$G83,$H83,$D83)-BSPrice($B83,$J83,$K83,$C83,($I83-#REF!)/365,$G83,$H83,$D83))*$F83</f>
        <v>#NAME?</v>
      </c>
      <c r="AO83" s="54" t="e">
        <f>(BSPrice($B83,$J83+0.02,$K83,$C83,($I83-#REF!)/365,$G83,$H83,$D83)-BSPrice($B83,$J83,$K83,$C83,($I83-#REF!)/365,$G83,$H83,$D83))*$F83</f>
        <v>#NAME?</v>
      </c>
      <c r="AP83" s="54" t="e">
        <f>(BSPrice($B83,$J83+0.05,$K83,$C83,($I83-#REF!)/365,$G83,$H83,$D83)-BSPrice($B83,$J83,$K83,$C83,($I83-#REF!)/365,$G83,$H83,$D83))*$F83</f>
        <v>#NAME?</v>
      </c>
      <c r="AQ83" s="54" t="e">
        <f>(BSPrice($B83,$J83+0.1,$K83,$C83,($I83-#REF!)/365,$G83,$H83,$D83)-BSPrice($B83,$J83,$K83,$C83,($I83-#REF!)/365,$G83,$H83,$D83))*$F83</f>
        <v>#NAME?</v>
      </c>
    </row>
    <row r="84" spans="1:43">
      <c r="A84" s="67" t="s">
        <v>64</v>
      </c>
      <c r="B84" s="44">
        <f>VLOOKUP(A84,PriceData!$K$4:$L$6,2,FALSE)</f>
        <v>10022</v>
      </c>
      <c r="C84" s="45">
        <f>VLOOKUP(A84,PriceData!$K$4:$M$6,3,FALSE)</f>
        <v>0.005</v>
      </c>
      <c r="D84" s="44" t="s">
        <v>56</v>
      </c>
      <c r="E84" s="44" t="s">
        <v>65</v>
      </c>
      <c r="F84" s="44">
        <v>-10</v>
      </c>
      <c r="G84">
        <v>8819</v>
      </c>
      <c r="H84" s="44" t="s">
        <v>57</v>
      </c>
      <c r="I84" s="68">
        <v>40438</v>
      </c>
      <c r="J84" s="45">
        <f>FindImpliedVol(A84,D84,G84,I84)</f>
        <v>0.422907634830482</v>
      </c>
      <c r="K84" s="69">
        <f>VLOOKUP(I84,PriceData!$A$5:$D$7,MATCH($E84,PriceData!$A$4:$D$4,0),FALSE)</f>
        <v>0.0075</v>
      </c>
      <c r="L84" s="52" t="e">
        <f>BSPrice($B84,$J84,$K84,$C84,($I84-#REF!)/365,$G84,$H84,$D84)</f>
        <v>#NAME?</v>
      </c>
      <c r="M84" s="52" t="e">
        <f t="shared" si="7"/>
        <v>#NAME?</v>
      </c>
      <c r="N84" s="44" t="s">
        <v>55</v>
      </c>
      <c r="P84" s="49" t="e">
        <f>BSDelta(B84,J84,K84,C84,(I84-#REF!)/365,G84,H84,D84)</f>
        <v>#NAME?</v>
      </c>
      <c r="Q84" s="49" t="e">
        <f>BSGamma(B84,J84,K84,C84,(I84-#REF!)/365,G84,D84)</f>
        <v>#NAME?</v>
      </c>
      <c r="R84" s="51" t="e">
        <f>BSVega(B84,J84,K84,C84,(I84-#REF!)/365,G84,D84)</f>
        <v>#NAME?</v>
      </c>
      <c r="S84" s="51" t="e">
        <f>BSVolga(B84,J84,K84,C84,(I84-#REF!)/365,G84,D84)</f>
        <v>#NAME?</v>
      </c>
      <c r="T84" s="51" t="e">
        <f>BSTheta(B84,J84,K84,C84,(I84-#REF!)/365,G84,H84,D84)</f>
        <v>#NAME?</v>
      </c>
      <c r="U84" s="52" t="e">
        <f>BSRho(B84,J84,K84,C84,(I84-#REF!)/365,G84,H84,D84)</f>
        <v>#NAME?</v>
      </c>
      <c r="V84" s="70" t="e">
        <f t="shared" si="11"/>
        <v>#NAME?</v>
      </c>
      <c r="W84" s="70" t="e">
        <f t="shared" si="12"/>
        <v>#NAME?</v>
      </c>
      <c r="X84" s="54" t="e">
        <f t="shared" si="8"/>
        <v>#NAME?</v>
      </c>
      <c r="Y84" s="54" t="e">
        <f t="shared" si="13"/>
        <v>#NAME?</v>
      </c>
      <c r="Z84" s="54" t="e">
        <f t="shared" si="9"/>
        <v>#NAME?</v>
      </c>
      <c r="AA84" s="54" t="e">
        <f t="shared" si="10"/>
        <v>#NAME?</v>
      </c>
      <c r="AB84" s="54" t="e">
        <f>(BSPrice($B84*0.8,$J84,$K84,$C84,($I84-#REF!)/365,$G84,$H84,$D84)-BSPrice($B84,$J84,$K84,$C84,($I84-#REF!)/365,$G84,$H84,$D84))*$F84</f>
        <v>#NAME?</v>
      </c>
      <c r="AC84" s="54" t="e">
        <f>(BSPrice($B84*0.9,$J84,$K84,$C84,($I84-#REF!)/365,$G84,$H84,$D84)-BSPrice($B84,$J84,$K84,$C84,($I84-#REF!)/365,$G84,$H84,$D84))*$F84</f>
        <v>#NAME?</v>
      </c>
      <c r="AD84" s="54" t="e">
        <f>(BSPrice($B84*0.95,$J84,$K84,$C84,($I84-#REF!)/365,$G84,$H84,$D84)-BSPrice($B84,$J84,$K84,$C84,($I84-#REF!)/365,$G84,$H84,$D84))*$F84</f>
        <v>#NAME?</v>
      </c>
      <c r="AE84" s="54" t="e">
        <f>(BSPrice($B84*0.98,$J84,$K84,$C84,($I84-#REF!)/365,$G84,$H84,$D84)-BSPrice($B84,$J84,$K84,$C84,($I84-#REF!)/365,$G84,$H84,$D84))*$F84</f>
        <v>#NAME?</v>
      </c>
      <c r="AF84" s="54" t="e">
        <f>(BSPrice($B84*1.02,$J84,$K84,$C84,($I84-#REF!)/365,$G84,$H84,$D84)-BSPrice($B84,$J84,$K84,$C84,($I84-#REF!)/365,$G84,$H84,$D84))*$F84</f>
        <v>#NAME?</v>
      </c>
      <c r="AG84" s="54" t="e">
        <f>(BSPrice($B84*1.05,$J84,$K84,$C84,($I84-#REF!)/365,$G84,$H84,$D84)-BSPrice($B84,$J84,$K84,$C84,($I84-#REF!)/365,$G84,$H84,$D84))*$F84</f>
        <v>#NAME?</v>
      </c>
      <c r="AH84" s="54" t="e">
        <f>(BSPrice($B84*1.1,$J84,$K84,$C84,($I84-#REF!)/365,$G84,$H84,$D84)-BSPrice($B84,$J84,$K84,$C84,($I84-#REF!)/365,$G84,$H84,$D84))*$F84</f>
        <v>#NAME?</v>
      </c>
      <c r="AI84" s="54" t="e">
        <f>(BSPrice($B84*1.2,$J84,$K84,$C84,($I84-#REF!)/365,$G84,$H84,$D84)-BSPrice($B84,$J84,$K84,$C84,($I84-#REF!)/365,$G84,$H84,$D84))*$F84</f>
        <v>#NAME?</v>
      </c>
      <c r="AJ84" s="54" t="e">
        <f>(BSPrice($B84,$J84-0.1,$K84,$C84,($I84-#REF!)/365,$G84,$H84,$D84)-BSPrice($B84,$J84,$K84,$C84,($I84-#REF!)/365,$G84,$H84,$D84))*$F84</f>
        <v>#NAME?</v>
      </c>
      <c r="AK84" s="54" t="e">
        <f>(BSPrice($B84,$J84-0.05,$K84,$C84,($I84-#REF!)/365,$G84,$H84,$D84)-BSPrice($B84,$J84,$K84,$C84,($I84-#REF!)/365,$G84,$H84,$D84))*$F84</f>
        <v>#NAME?</v>
      </c>
      <c r="AL84" s="54" t="e">
        <f>(BSPrice($B84,$J84-0.02,$K84,$C84,($I84-#REF!)/365,$G84,$H84,$D84)-BSPrice($B84,$J84,$K84,$C84,($I84-#REF!)/365,$G84,$H84,$D84))*$F84</f>
        <v>#NAME?</v>
      </c>
      <c r="AM84" s="54" t="e">
        <f>(BSPrice($B84,$J84-0.01,$K84,$C84,($I84-#REF!)/365,$G84,$H84,$D84)-BSPrice($B84,$J84,$K84,$C84,($I84-#REF!)/365,$G84,$H84,$D84))*$F84</f>
        <v>#NAME?</v>
      </c>
      <c r="AN84" s="54" t="e">
        <f>(BSPrice($B84,$J84+0.01,$K84,$C84,($I84-#REF!)/365,$G84,$H84,$D84)-BSPrice($B84,$J84,$K84,$C84,($I84-#REF!)/365,$G84,$H84,$D84))*$F84</f>
        <v>#NAME?</v>
      </c>
      <c r="AO84" s="54" t="e">
        <f>(BSPrice($B84,$J84+0.02,$K84,$C84,($I84-#REF!)/365,$G84,$H84,$D84)-BSPrice($B84,$J84,$K84,$C84,($I84-#REF!)/365,$G84,$H84,$D84))*$F84</f>
        <v>#NAME?</v>
      </c>
      <c r="AP84" s="54" t="e">
        <f>(BSPrice($B84,$J84+0.05,$K84,$C84,($I84-#REF!)/365,$G84,$H84,$D84)-BSPrice($B84,$J84,$K84,$C84,($I84-#REF!)/365,$G84,$H84,$D84))*$F84</f>
        <v>#NAME?</v>
      </c>
      <c r="AQ84" s="54" t="e">
        <f>(BSPrice($B84,$J84+0.1,$K84,$C84,($I84-#REF!)/365,$G84,$H84,$D84)-BSPrice($B84,$J84,$K84,$C84,($I84-#REF!)/365,$G84,$H84,$D84))*$F84</f>
        <v>#NAME?</v>
      </c>
    </row>
  </sheetData>
  <pageMargins left="0.75" right="0.75" top="1" bottom="1" header="0.5" footer="0.5"/>
  <pageSetup paperSize="1" orientation="portrait" horizontalDpi="600" verticalDpi="6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2:V35"/>
  <sheetViews>
    <sheetView showGridLines="0" zoomScaleSheetLayoutView="60" workbookViewId="0">
      <selection activeCell="G30" sqref="G30"/>
    </sheetView>
  </sheetViews>
  <sheetFormatPr defaultColWidth="8.72727272727273" defaultRowHeight="12.5"/>
  <cols>
    <col min="1" max="1" width="10"/>
    <col min="2" max="2" width="9.30909090909091"/>
    <col min="8" max="8" width="11.3818181818182" customWidth="1"/>
    <col min="11" max="11" width="11.3818181818182"/>
    <col min="14" max="14" width="12.3818181818182"/>
  </cols>
  <sheetData>
    <row r="2" ht="13.25"/>
    <row r="3" ht="13.75" spans="1:22">
      <c r="B3" s="1" t="s">
        <v>66</v>
      </c>
      <c r="C3" s="2"/>
      <c r="D3" s="3"/>
      <c r="F3" s="4"/>
      <c r="G3" s="1" t="s">
        <v>67</v>
      </c>
      <c r="H3" s="3"/>
      <c r="K3" s="5"/>
      <c r="L3" s="6" t="s">
        <v>68</v>
      </c>
      <c r="M3" s="7" t="s">
        <v>69</v>
      </c>
    </row>
    <row r="4" ht="13.75" spans="1:22">
      <c r="A4" s="8" t="s">
        <v>3</v>
      </c>
      <c r="B4" s="9" t="s">
        <v>54</v>
      </c>
      <c r="C4" s="9" t="s">
        <v>62</v>
      </c>
      <c r="D4" s="10" t="s">
        <v>65</v>
      </c>
      <c r="F4" s="4"/>
      <c r="G4" s="11" t="s">
        <v>70</v>
      </c>
      <c r="H4" s="12">
        <v>1.55</v>
      </c>
      <c r="K4" s="13" t="s">
        <v>52</v>
      </c>
      <c r="L4" s="14">
        <v>1100</v>
      </c>
      <c r="M4" s="15">
        <v>0.02</v>
      </c>
    </row>
    <row r="5" ht="13.75" spans="1:22">
      <c r="A5" s="16">
        <v>40256</v>
      </c>
      <c r="B5" s="17">
        <v>0.011</v>
      </c>
      <c r="C5" s="17">
        <v>0.022</v>
      </c>
      <c r="D5" s="18">
        <v>0.005</v>
      </c>
      <c r="F5" s="4"/>
      <c r="G5" s="19" t="s">
        <v>71</v>
      </c>
      <c r="H5" s="20">
        <f>1/110</f>
        <v>0.00909090909090909</v>
      </c>
      <c r="K5" s="13" t="s">
        <v>1</v>
      </c>
      <c r="L5" s="14">
        <v>2905</v>
      </c>
      <c r="M5" s="15">
        <v>0.022</v>
      </c>
    </row>
    <row r="6" ht="13.75" spans="1:22">
      <c r="A6" s="21">
        <v>40347</v>
      </c>
      <c r="B6" s="22">
        <v>0.015</v>
      </c>
      <c r="C6" s="22">
        <v>0.023</v>
      </c>
      <c r="D6" s="15">
        <v>0.005</v>
      </c>
      <c r="F6" s="4"/>
      <c r="K6" s="23" t="s">
        <v>64</v>
      </c>
      <c r="L6" s="24">
        <v>10022</v>
      </c>
      <c r="M6" s="25">
        <v>0.005</v>
      </c>
    </row>
    <row r="7" ht="13.25" spans="1:22">
      <c r="A7" s="26">
        <v>40438</v>
      </c>
      <c r="B7" s="27">
        <v>0.0175</v>
      </c>
      <c r="C7" s="27">
        <v>0.025</v>
      </c>
      <c r="D7" s="25">
        <v>0.0075</v>
      </c>
      <c r="F7" s="4"/>
    </row>
    <row r="12" ht="13.25"/>
    <row r="13" ht="13.75" spans="1:22">
      <c r="B13" s="1" t="s">
        <v>72</v>
      </c>
      <c r="C13" s="2"/>
      <c r="D13" s="2"/>
      <c r="E13" s="3"/>
    </row>
    <row r="14" ht="13.75" spans="1:22">
      <c r="A14" s="8" t="s">
        <v>3</v>
      </c>
      <c r="B14" s="28">
        <f>ROUND((0.7+COUNTA($A$14:A14)*0.03)*$L$4,0)</f>
        <v>803</v>
      </c>
      <c r="C14" s="29">
        <f>ROUND((0.7+COUNTA($A$14:B14)*0.03)*$L$4,0)</f>
        <v>836</v>
      </c>
      <c r="D14" s="29">
        <f>ROUND((0.7+COUNTA($A$14:C14)*0.03)*$L$4,0)</f>
        <v>869</v>
      </c>
      <c r="E14" s="29">
        <f>ROUND((0.7+COUNTA($A$14:D14)*0.03)*$L$4,0)</f>
        <v>902</v>
      </c>
      <c r="F14" s="29">
        <f>ROUND((0.7+COUNTA($A$14:E14)*0.03)*$L$4,0)</f>
        <v>935</v>
      </c>
      <c r="G14" s="29">
        <f>ROUND((0.7+COUNTA($A$14:F14)*0.03)*$L$4,0)</f>
        <v>968</v>
      </c>
      <c r="H14" s="29">
        <f>ROUND((0.7+COUNTA($A$14:G14)*0.03)*$L$4,0)</f>
        <v>1001</v>
      </c>
      <c r="I14" s="29">
        <f>ROUND((0.7+COUNTA($A$14:H14)*0.03)*$L$4,0)</f>
        <v>1034</v>
      </c>
      <c r="J14" s="29">
        <f>ROUND((0.7+COUNTA($A$14:I14)*0.03)*$L$4,0)</f>
        <v>1067</v>
      </c>
      <c r="K14" s="29">
        <f>ROUND((0.7+COUNTA($A$14:J14)*0.03)*$L$4,0)</f>
        <v>1100</v>
      </c>
      <c r="L14" s="29">
        <f>ROUND((0.7+COUNTA($A$14:K14)*0.03)*$L$4,0)</f>
        <v>1133</v>
      </c>
      <c r="M14" s="29">
        <f>ROUND((0.7+COUNTA($A$14:L14)*0.03)*$L$4,0)</f>
        <v>1166</v>
      </c>
      <c r="N14" s="29">
        <f>ROUND((0.7+COUNTA($A$14:M14)*0.03)*$L$4,0)</f>
        <v>1199</v>
      </c>
      <c r="O14" s="29">
        <f>ROUND((0.7+COUNTA($A$14:N14)*0.03)*$L$4,0)</f>
        <v>1232</v>
      </c>
      <c r="P14" s="29">
        <f>ROUND((0.7+COUNTA($A$14:O14)*0.03)*$L$4,0)</f>
        <v>1265</v>
      </c>
      <c r="Q14" s="29">
        <f>ROUND((0.7+COUNTA($A$14:P14)*0.03)*$L$4,0)</f>
        <v>1298</v>
      </c>
      <c r="R14" s="29">
        <f>ROUND((0.7+COUNTA($A$14:Q14)*0.03)*$L$4,0)</f>
        <v>1331</v>
      </c>
      <c r="S14" s="29">
        <f>ROUND((0.7+COUNTA($A$14:R14)*0.03)*$L$4,0)</f>
        <v>1364</v>
      </c>
      <c r="T14" s="29">
        <f>ROUND((0.7+COUNTA($A$14:S14)*0.03)*$L$4,0)</f>
        <v>1397</v>
      </c>
      <c r="U14" s="29">
        <f>ROUND((0.7+COUNTA($A$14:T14)*0.03)*$L$4,0)</f>
        <v>1430</v>
      </c>
      <c r="V14" s="30">
        <f>ROUND((0.7+COUNTA($A$14:U14)*0.03)*$L$4,0)</f>
        <v>1463</v>
      </c>
    </row>
    <row r="15" spans="1:22">
      <c r="A15" s="31">
        <v>40256</v>
      </c>
      <c r="B15" s="32" t="e">
        <f>ComputeSVIImpliedVol($L$4,$B5,$M$4,($A15-OptionsData!#REF!)/365,B$14)</f>
        <v>#NAME?</v>
      </c>
      <c r="C15" s="33" t="e">
        <f>ComputeSVIImpliedVol($L$4,$B5,$M$4,($A15-OptionsData!#REF!)/365,C$14)</f>
        <v>#NAME?</v>
      </c>
      <c r="D15" s="33" t="e">
        <f>ComputeSVIImpliedVol($L$4,$B5,$M$4,($A15-OptionsData!#REF!)/365,D$14)</f>
        <v>#NAME?</v>
      </c>
      <c r="E15" s="33" t="e">
        <f>ComputeSVIImpliedVol($L$4,$B5,$M$4,($A15-OptionsData!#REF!)/365,E$14)</f>
        <v>#NAME?</v>
      </c>
      <c r="F15" s="33" t="e">
        <f>ComputeSVIImpliedVol($L$4,$B5,$M$4,($A15-OptionsData!#REF!)/365,F$14)</f>
        <v>#NAME?</v>
      </c>
      <c r="G15" s="33" t="e">
        <f>ComputeSVIImpliedVol($L$4,$B5,$M$4,($A15-OptionsData!#REF!)/365,G$14)</f>
        <v>#NAME?</v>
      </c>
      <c r="H15" s="33" t="e">
        <f>ComputeSVIImpliedVol($L$4,$B5,$M$4,($A15-OptionsData!#REF!)/365,H$14)</f>
        <v>#NAME?</v>
      </c>
      <c r="I15" s="33" t="e">
        <f>ComputeSVIImpliedVol($L$4,$B5,$M$4,($A15-OptionsData!#REF!)/365,I$14)</f>
        <v>#NAME?</v>
      </c>
      <c r="J15" s="33" t="e">
        <f>ComputeSVIImpliedVol($L$4,$B5,$M$4,($A15-OptionsData!#REF!)/365,J$14)</f>
        <v>#NAME?</v>
      </c>
      <c r="K15" s="33" t="e">
        <f>ComputeSVIImpliedVol($L$4,$B5,$M$4,($A15-OptionsData!#REF!)/365,K$14)</f>
        <v>#NAME?</v>
      </c>
      <c r="L15" s="33" t="e">
        <f>ComputeSVIImpliedVol($L$4,$B5,$M$4,($A15-OptionsData!#REF!)/365,L$14)</f>
        <v>#NAME?</v>
      </c>
      <c r="M15" s="33" t="e">
        <f>ComputeSVIImpliedVol($L$4,$B5,$M$4,($A15-OptionsData!#REF!)/365,M$14)</f>
        <v>#NAME?</v>
      </c>
      <c r="N15" s="33" t="e">
        <f>ComputeSVIImpliedVol($L$4,$B5,$M$4,($A15-OptionsData!#REF!)/365,N$14)</f>
        <v>#NAME?</v>
      </c>
      <c r="O15" s="33" t="e">
        <f>ComputeSVIImpliedVol($L$4,$B5,$M$4,($A15-OptionsData!#REF!)/365,O$14)</f>
        <v>#NAME?</v>
      </c>
      <c r="P15" s="33" t="e">
        <f>ComputeSVIImpliedVol($L$4,$B5,$M$4,($A15-OptionsData!#REF!)/365,P$14)</f>
        <v>#NAME?</v>
      </c>
      <c r="Q15" s="33" t="e">
        <f>ComputeSVIImpliedVol($L$4,$B5,$M$4,($A15-OptionsData!#REF!)/365,Q$14)</f>
        <v>#NAME?</v>
      </c>
      <c r="R15" s="33" t="e">
        <f>ComputeSVIImpliedVol($L$4,$B5,$M$4,($A15-OptionsData!#REF!)/365,R$14)</f>
        <v>#NAME?</v>
      </c>
      <c r="S15" s="33" t="e">
        <f>ComputeSVIImpliedVol($L$4,$B5,$M$4,($A15-OptionsData!#REF!)/365,S$14)</f>
        <v>#NAME?</v>
      </c>
      <c r="T15" s="33" t="e">
        <f>ComputeSVIImpliedVol($L$4,$B5,$M$4,($A15-OptionsData!#REF!)/365,T$14)</f>
        <v>#NAME?</v>
      </c>
      <c r="U15" s="33" t="e">
        <f>ComputeSVIImpliedVol($L$4,$B5,$M$4,($A15-OptionsData!#REF!)/365,U$14)</f>
        <v>#NAME?</v>
      </c>
      <c r="V15" s="34" t="e">
        <f>ComputeSVIImpliedVol($L$4,$B5,$M$4,($A15-OptionsData!#REF!)/365,V$14)</f>
        <v>#NAME?</v>
      </c>
    </row>
    <row r="16" spans="1:22">
      <c r="A16" s="35">
        <v>40347</v>
      </c>
      <c r="B16" s="36" t="e">
        <f>ComputeSVIImpliedVol($L$4,$B6,$M$4,($A16-OptionsData!#REF!)/365,B$14)</f>
        <v>#NAME?</v>
      </c>
      <c r="C16" s="37" t="e">
        <f>ComputeSVIImpliedVol($L$4,$B6,$M$4,($A16-OptionsData!#REF!)/365,C$14)</f>
        <v>#NAME?</v>
      </c>
      <c r="D16" s="37" t="e">
        <f>ComputeSVIImpliedVol($L$4,$B6,$M$4,($A16-OptionsData!#REF!)/365,D$14)</f>
        <v>#NAME?</v>
      </c>
      <c r="E16" s="37" t="e">
        <f>ComputeSVIImpliedVol($L$4,$B6,$M$4,($A16-OptionsData!#REF!)/365,E$14)</f>
        <v>#NAME?</v>
      </c>
      <c r="F16" s="37" t="e">
        <f>ComputeSVIImpliedVol($L$4,$B6,$M$4,($A16-OptionsData!#REF!)/365,F$14)</f>
        <v>#NAME?</v>
      </c>
      <c r="G16" s="37" t="e">
        <f>ComputeSVIImpliedVol($L$4,$B6,$M$4,($A16-OptionsData!#REF!)/365,G$14)</f>
        <v>#NAME?</v>
      </c>
      <c r="H16" s="37" t="e">
        <f>ComputeSVIImpliedVol($L$4,$B6,$M$4,($A16-OptionsData!#REF!)/365,H$14)</f>
        <v>#NAME?</v>
      </c>
      <c r="I16" s="37" t="e">
        <f>ComputeSVIImpliedVol($L$4,$B6,$M$4,($A16-OptionsData!#REF!)/365,I$14)</f>
        <v>#NAME?</v>
      </c>
      <c r="J16" s="37" t="e">
        <f>ComputeSVIImpliedVol($L$4,$B6,$M$4,($A16-OptionsData!#REF!)/365,J$14)</f>
        <v>#NAME?</v>
      </c>
      <c r="K16" s="37" t="e">
        <f>ComputeSVIImpliedVol($L$4,$B6,$M$4,($A16-OptionsData!#REF!)/365,K$14)</f>
        <v>#NAME?</v>
      </c>
      <c r="L16" s="37" t="e">
        <f>ComputeSVIImpliedVol($L$4,$B6,$M$4,($A16-OptionsData!#REF!)/365,L$14)</f>
        <v>#NAME?</v>
      </c>
      <c r="M16" s="37" t="e">
        <f>ComputeSVIImpliedVol($L$4,$B6,$M$4,($A16-OptionsData!#REF!)/365,M$14)</f>
        <v>#NAME?</v>
      </c>
      <c r="N16" s="37" t="e">
        <f>ComputeSVIImpliedVol($L$4,$B6,$M$4,($A16-OptionsData!#REF!)/365,N$14)</f>
        <v>#NAME?</v>
      </c>
      <c r="O16" s="37" t="e">
        <f>ComputeSVIImpliedVol($L$4,$B6,$M$4,($A16-OptionsData!#REF!)/365,O$14)</f>
        <v>#NAME?</v>
      </c>
      <c r="P16" s="37" t="e">
        <f>ComputeSVIImpliedVol($L$4,$B6,$M$4,($A16-OptionsData!#REF!)/365,P$14)</f>
        <v>#NAME?</v>
      </c>
      <c r="Q16" s="37" t="e">
        <f>ComputeSVIImpliedVol($L$4,$B6,$M$4,($A16-OptionsData!#REF!)/365,Q$14)</f>
        <v>#NAME?</v>
      </c>
      <c r="R16" s="37" t="e">
        <f>ComputeSVIImpliedVol($L$4,$B6,$M$4,($A16-OptionsData!#REF!)/365,R$14)</f>
        <v>#NAME?</v>
      </c>
      <c r="S16" s="37" t="e">
        <f>ComputeSVIImpliedVol($L$4,$B6,$M$4,($A16-OptionsData!#REF!)/365,S$14)</f>
        <v>#NAME?</v>
      </c>
      <c r="T16" s="37" t="e">
        <f>ComputeSVIImpliedVol($L$4,$B6,$M$4,($A16-OptionsData!#REF!)/365,T$14)</f>
        <v>#NAME?</v>
      </c>
      <c r="U16" s="37" t="e">
        <f>ComputeSVIImpliedVol($L$4,$B6,$M$4,($A16-OptionsData!#REF!)/365,U$14)</f>
        <v>#NAME?</v>
      </c>
      <c r="V16" s="38" t="e">
        <f>ComputeSVIImpliedVol($L$4,$B6,$M$4,($A16-OptionsData!#REF!)/365,V$14)</f>
        <v>#NAME?</v>
      </c>
    </row>
    <row r="17" ht="13.25" spans="1:22">
      <c r="A17" s="39">
        <v>40438</v>
      </c>
      <c r="B17" s="40" t="e">
        <f>ComputeSVIImpliedVol($L$4,$B7,$M$4,($A17-OptionsData!#REF!)/365,B$14)</f>
        <v>#NAME?</v>
      </c>
      <c r="C17" s="41" t="e">
        <f>ComputeSVIImpliedVol($L$4,$B7,$M$4,($A17-OptionsData!#REF!)/365,C$14)</f>
        <v>#NAME?</v>
      </c>
      <c r="D17" s="41" t="e">
        <f>ComputeSVIImpliedVol($L$4,$B7,$M$4,($A17-OptionsData!#REF!)/365,D$14)</f>
        <v>#NAME?</v>
      </c>
      <c r="E17" s="41" t="e">
        <f>ComputeSVIImpliedVol($L$4,$B7,$M$4,($A17-OptionsData!#REF!)/365,E$14)</f>
        <v>#NAME?</v>
      </c>
      <c r="F17" s="41" t="e">
        <f>ComputeSVIImpliedVol($L$4,$B7,$M$4,($A17-OptionsData!#REF!)/365,F$14)</f>
        <v>#NAME?</v>
      </c>
      <c r="G17" s="41" t="e">
        <f>ComputeSVIImpliedVol($L$4,$B7,$M$4,($A17-OptionsData!#REF!)/365,G$14)</f>
        <v>#NAME?</v>
      </c>
      <c r="H17" s="41" t="e">
        <f>ComputeSVIImpliedVol($L$4,$B7,$M$4,($A17-OptionsData!#REF!)/365,H$14)</f>
        <v>#NAME?</v>
      </c>
      <c r="I17" s="41" t="e">
        <f>ComputeSVIImpliedVol($L$4,$B7,$M$4,($A17-OptionsData!#REF!)/365,I$14)</f>
        <v>#NAME?</v>
      </c>
      <c r="J17" s="41" t="e">
        <f>ComputeSVIImpliedVol($L$4,$B7,$M$4,($A17-OptionsData!#REF!)/365,J$14)</f>
        <v>#NAME?</v>
      </c>
      <c r="K17" s="41" t="e">
        <f>ComputeSVIImpliedVol($L$4,$B7,$M$4,($A17-OptionsData!#REF!)/365,K$14)</f>
        <v>#NAME?</v>
      </c>
      <c r="L17" s="41" t="e">
        <f>ComputeSVIImpliedVol($L$4,$B7,$M$4,($A17-OptionsData!#REF!)/365,L$14)</f>
        <v>#NAME?</v>
      </c>
      <c r="M17" s="41" t="e">
        <f>ComputeSVIImpliedVol($L$4,$B7,$M$4,($A17-OptionsData!#REF!)/365,M$14)</f>
        <v>#NAME?</v>
      </c>
      <c r="N17" s="41" t="e">
        <f>ComputeSVIImpliedVol($L$4,$B7,$M$4,($A17-OptionsData!#REF!)/365,N$14)</f>
        <v>#NAME?</v>
      </c>
      <c r="O17" s="41" t="e">
        <f>ComputeSVIImpliedVol($L$4,$B7,$M$4,($A17-OptionsData!#REF!)/365,O$14)</f>
        <v>#NAME?</v>
      </c>
      <c r="P17" s="41" t="e">
        <f>ComputeSVIImpliedVol($L$4,$B7,$M$4,($A17-OptionsData!#REF!)/365,P$14)</f>
        <v>#NAME?</v>
      </c>
      <c r="Q17" s="41" t="e">
        <f>ComputeSVIImpliedVol($L$4,$B7,$M$4,($A17-OptionsData!#REF!)/365,Q$14)</f>
        <v>#NAME?</v>
      </c>
      <c r="R17" s="41" t="e">
        <f>ComputeSVIImpliedVol($L$4,$B7,$M$4,($A17-OptionsData!#REF!)/365,R$14)</f>
        <v>#NAME?</v>
      </c>
      <c r="S17" s="41" t="e">
        <f>ComputeSVIImpliedVol($L$4,$B7,$M$4,($A17-OptionsData!#REF!)/365,S$14)</f>
        <v>#NAME?</v>
      </c>
      <c r="T17" s="41" t="e">
        <f>ComputeSVIImpliedVol($L$4,$B7,$M$4,($A17-OptionsData!#REF!)/365,T$14)</f>
        <v>#NAME?</v>
      </c>
      <c r="U17" s="41" t="e">
        <f>ComputeSVIImpliedVol($L$4,$B7,$M$4,($A17-OptionsData!#REF!)/365,U$14)</f>
        <v>#NAME?</v>
      </c>
      <c r="V17" s="42" t="e">
        <f>ComputeSVIImpliedVol($L$4,$B7,$M$4,($A17-OptionsData!#REF!)/365,V$14)</f>
        <v>#NAME?</v>
      </c>
    </row>
    <row r="21" ht="13.25"/>
    <row r="22" ht="13.75" spans="1:22">
      <c r="B22" s="1" t="s">
        <v>73</v>
      </c>
      <c r="C22" s="2"/>
      <c r="D22" s="2"/>
      <c r="E22" s="3"/>
    </row>
    <row r="23" ht="13.75" spans="1:22">
      <c r="A23" s="8" t="s">
        <v>3</v>
      </c>
      <c r="B23" s="28">
        <f>ROUND((0.7+COUNTA($A$23:A23)*0.03)*$L$5,0)</f>
        <v>2121</v>
      </c>
      <c r="C23" s="29">
        <f>ROUND((0.7+COUNTA($A$23:B23)*0.03)*$L$5,0)</f>
        <v>2208</v>
      </c>
      <c r="D23" s="29">
        <f>ROUND((0.7+COUNTA($A$23:C23)*0.03)*$L$5,0)</f>
        <v>2295</v>
      </c>
      <c r="E23" s="29">
        <f>ROUND((0.7+COUNTA($A$23:D23)*0.03)*$L$5,0)</f>
        <v>2382</v>
      </c>
      <c r="F23" s="29">
        <f>ROUND((0.7+COUNTA($A$23:E23)*0.03)*$L$5,0)</f>
        <v>2469</v>
      </c>
      <c r="G23" s="29">
        <f>ROUND((0.7+COUNTA($A$23:F23)*0.03)*$L$5,0)</f>
        <v>2556</v>
      </c>
      <c r="H23" s="29">
        <f>ROUND((0.7+COUNTA($A$23:G23)*0.03)*$L$5,0)</f>
        <v>2644</v>
      </c>
      <c r="I23" s="29">
        <f>ROUND((0.7+COUNTA($A$23:H23)*0.03)*$L$5,0)</f>
        <v>2731</v>
      </c>
      <c r="J23" s="29">
        <f>ROUND((0.7+COUNTA($A$23:I23)*0.03)*$L$5,0)</f>
        <v>2818</v>
      </c>
      <c r="K23" s="29">
        <f>ROUND((0.7+COUNTA($A$23:J23)*0.03)*$L$5,0)</f>
        <v>2905</v>
      </c>
      <c r="L23" s="29">
        <f>ROUND((0.7+COUNTA($A$23:K23)*0.03)*$L$5,0)</f>
        <v>2992</v>
      </c>
      <c r="M23" s="29">
        <f>ROUND((0.7+COUNTA($A$23:L23)*0.03)*$L$5,0)</f>
        <v>3079</v>
      </c>
      <c r="N23" s="29">
        <f>ROUND((0.7+COUNTA($A$23:M23)*0.03)*$L$5,0)</f>
        <v>3166</v>
      </c>
      <c r="O23" s="29">
        <f>ROUND((0.7+COUNTA($A$23:N23)*0.03)*$L$5,0)</f>
        <v>3254</v>
      </c>
      <c r="P23" s="29">
        <f>ROUND((0.7+COUNTA($A$23:O23)*0.03)*$L$5,0)</f>
        <v>3341</v>
      </c>
      <c r="Q23" s="29">
        <f>ROUND((0.7+COUNTA($A$23:P23)*0.03)*$L$5,0)</f>
        <v>3428</v>
      </c>
      <c r="R23" s="29">
        <f>ROUND((0.7+COUNTA($A$23:Q23)*0.03)*$L$5,0)</f>
        <v>3515</v>
      </c>
      <c r="S23" s="29">
        <f>ROUND((0.7+COUNTA($A$23:R23)*0.03)*$L$5,0)</f>
        <v>3602</v>
      </c>
      <c r="T23" s="29">
        <f>ROUND((0.7+COUNTA($A$23:S23)*0.03)*$L$5,0)</f>
        <v>3689</v>
      </c>
      <c r="U23" s="29">
        <f>ROUND((0.7+COUNTA($A$23:T23)*0.03)*$L$5,0)</f>
        <v>3777</v>
      </c>
      <c r="V23" s="30">
        <f>ROUND((0.7+COUNTA($A$23:U23)*0.03)*$L$5,0)</f>
        <v>3864</v>
      </c>
    </row>
    <row r="24" spans="1:22">
      <c r="A24" s="31">
        <v>40256</v>
      </c>
      <c r="B24" s="32" t="e">
        <f>ComputeSVIImpliedVol($L$5,$C5,$M$5,($A24-OptionsData!#REF!)/365,B$23)</f>
        <v>#NAME?</v>
      </c>
      <c r="C24" s="33" t="e">
        <f>ComputeSVIImpliedVol($L$5,$C5,$M$5,($A24-OptionsData!#REF!)/365,C$23)</f>
        <v>#NAME?</v>
      </c>
      <c r="D24" s="33" t="e">
        <f>ComputeSVIImpliedVol($L$5,$C5,$M$5,($A24-OptionsData!#REF!)/365,D$23)</f>
        <v>#NAME?</v>
      </c>
      <c r="E24" s="33" t="e">
        <f>ComputeSVIImpliedVol($L$5,$C5,$M$5,($A24-OptionsData!#REF!)/365,E$23)</f>
        <v>#NAME?</v>
      </c>
      <c r="F24" s="33" t="e">
        <f>ComputeSVIImpliedVol($L$5,$C5,$M$5,($A24-OptionsData!#REF!)/365,F$23)</f>
        <v>#NAME?</v>
      </c>
      <c r="G24" s="33" t="e">
        <f>ComputeSVIImpliedVol($L$5,$C5,$M$5,($A24-OptionsData!#REF!)/365,G$23)</f>
        <v>#NAME?</v>
      </c>
      <c r="H24" s="33" t="e">
        <f>ComputeSVIImpliedVol($L$5,$C5,$M$5,($A24-OptionsData!#REF!)/365,H$23)</f>
        <v>#NAME?</v>
      </c>
      <c r="I24" s="33" t="e">
        <f>ComputeSVIImpliedVol($L$5,$C5,$M$5,($A24-OptionsData!#REF!)/365,I$23)</f>
        <v>#NAME?</v>
      </c>
      <c r="J24" s="33" t="e">
        <f>ComputeSVIImpliedVol($L$5,$C5,$M$5,($A24-OptionsData!#REF!)/365,J$23)</f>
        <v>#NAME?</v>
      </c>
      <c r="K24" s="33" t="e">
        <f>ComputeSVIImpliedVol($L$5,$C5,$M$5,($A24-OptionsData!#REF!)/365,K$23)</f>
        <v>#NAME?</v>
      </c>
      <c r="L24" s="33" t="e">
        <f>ComputeSVIImpliedVol($L$5,$C5,$M$5,($A24-OptionsData!#REF!)/365,L$23)</f>
        <v>#NAME?</v>
      </c>
      <c r="M24" s="33" t="e">
        <f>ComputeSVIImpliedVol($L$5,$C5,$M$5,($A24-OptionsData!#REF!)/365,M$23)</f>
        <v>#NAME?</v>
      </c>
      <c r="N24" s="33" t="e">
        <f>ComputeSVIImpliedVol($L$5,$C5,$M$5,($A24-OptionsData!#REF!)/365,N$23)</f>
        <v>#NAME?</v>
      </c>
      <c r="O24" s="33" t="e">
        <f>ComputeSVIImpliedVol($L$5,$C5,$M$5,($A24-OptionsData!#REF!)/365,O$23)</f>
        <v>#NAME?</v>
      </c>
      <c r="P24" s="33" t="e">
        <f>ComputeSVIImpliedVol($L$5,$C5,$M$5,($A24-OptionsData!#REF!)/365,P$23)</f>
        <v>#NAME?</v>
      </c>
      <c r="Q24" s="33" t="e">
        <f>ComputeSVIImpliedVol($L$5,$C5,$M$5,($A24-OptionsData!#REF!)/365,Q$23)</f>
        <v>#NAME?</v>
      </c>
      <c r="R24" s="33" t="e">
        <f>ComputeSVIImpliedVol($L$5,$C5,$M$5,($A24-OptionsData!#REF!)/365,R$23)</f>
        <v>#NAME?</v>
      </c>
      <c r="S24" s="33" t="e">
        <f>ComputeSVIImpliedVol($L$5,$C5,$M$5,($A24-OptionsData!#REF!)/365,S$23)</f>
        <v>#NAME?</v>
      </c>
      <c r="T24" s="33" t="e">
        <f>ComputeSVIImpliedVol($L$5,$C5,$M$5,($A24-OptionsData!#REF!)/365,T$23)</f>
        <v>#NAME?</v>
      </c>
      <c r="U24" s="33" t="e">
        <f>ComputeSVIImpliedVol($L$5,$C5,$M$5,($A24-OptionsData!#REF!)/365,U$23)</f>
        <v>#NAME?</v>
      </c>
      <c r="V24" s="34" t="e">
        <f>ComputeSVIImpliedVol($L$5,$C5,$M$5,($A24-OptionsData!#REF!)/365,V$23)</f>
        <v>#NAME?</v>
      </c>
    </row>
    <row r="25" spans="1:22">
      <c r="A25" s="35">
        <v>40347</v>
      </c>
      <c r="B25" s="36" t="e">
        <f>ComputeSVIImpliedVol($L$5,$C6,$M$5,($A25-OptionsData!#REF!)/365,B$23)</f>
        <v>#NAME?</v>
      </c>
      <c r="C25" s="37" t="e">
        <f>ComputeSVIImpliedVol($L$5,$C6,$M$5,($A25-OptionsData!#REF!)/365,C$23)</f>
        <v>#NAME?</v>
      </c>
      <c r="D25" s="37" t="e">
        <f>ComputeSVIImpliedVol($L$5,$C6,$M$5,($A25-OptionsData!#REF!)/365,D$23)</f>
        <v>#NAME?</v>
      </c>
      <c r="E25" s="37" t="e">
        <f>ComputeSVIImpliedVol($L$5,$C6,$M$5,($A25-OptionsData!#REF!)/365,E$23)</f>
        <v>#NAME?</v>
      </c>
      <c r="F25" s="37" t="e">
        <f>ComputeSVIImpliedVol($L$5,$C6,$M$5,($A25-OptionsData!#REF!)/365,F$23)</f>
        <v>#NAME?</v>
      </c>
      <c r="G25" s="37" t="e">
        <f>ComputeSVIImpliedVol($L$5,$C6,$M$5,($A25-OptionsData!#REF!)/365,G$23)</f>
        <v>#NAME?</v>
      </c>
      <c r="H25" s="37" t="e">
        <f>ComputeSVIImpliedVol($L$5,$C6,$M$5,($A25-OptionsData!#REF!)/365,H$23)</f>
        <v>#NAME?</v>
      </c>
      <c r="I25" s="37" t="e">
        <f>ComputeSVIImpliedVol($L$5,$C6,$M$5,($A25-OptionsData!#REF!)/365,I$23)</f>
        <v>#NAME?</v>
      </c>
      <c r="J25" s="37" t="e">
        <f>ComputeSVIImpliedVol($L$5,$C6,$M$5,($A25-OptionsData!#REF!)/365,J$23)</f>
        <v>#NAME?</v>
      </c>
      <c r="K25" s="37" t="e">
        <f>ComputeSVIImpliedVol($L$5,$C6,$M$5,($A25-OptionsData!#REF!)/365,K$23)</f>
        <v>#NAME?</v>
      </c>
      <c r="L25" s="37" t="e">
        <f>ComputeSVIImpliedVol($L$5,$C6,$M$5,($A25-OptionsData!#REF!)/365,L$23)</f>
        <v>#NAME?</v>
      </c>
      <c r="M25" s="37" t="e">
        <f>ComputeSVIImpliedVol($L$5,$C6,$M$5,($A25-OptionsData!#REF!)/365,M$23)</f>
        <v>#NAME?</v>
      </c>
      <c r="N25" s="37" t="e">
        <f>ComputeSVIImpliedVol($L$5,$C6,$M$5,($A25-OptionsData!#REF!)/365,N$23)</f>
        <v>#NAME?</v>
      </c>
      <c r="O25" s="37" t="e">
        <f>ComputeSVIImpliedVol($L$5,$C6,$M$5,($A25-OptionsData!#REF!)/365,O$23)</f>
        <v>#NAME?</v>
      </c>
      <c r="P25" s="37" t="e">
        <f>ComputeSVIImpliedVol($L$5,$C6,$M$5,($A25-OptionsData!#REF!)/365,P$23)</f>
        <v>#NAME?</v>
      </c>
      <c r="Q25" s="37" t="e">
        <f>ComputeSVIImpliedVol($L$5,$C6,$M$5,($A25-OptionsData!#REF!)/365,Q$23)</f>
        <v>#NAME?</v>
      </c>
      <c r="R25" s="37" t="e">
        <f>ComputeSVIImpliedVol($L$5,$C6,$M$5,($A25-OptionsData!#REF!)/365,R$23)</f>
        <v>#NAME?</v>
      </c>
      <c r="S25" s="37" t="e">
        <f>ComputeSVIImpliedVol($L$5,$C6,$M$5,($A25-OptionsData!#REF!)/365,S$23)</f>
        <v>#NAME?</v>
      </c>
      <c r="T25" s="37" t="e">
        <f>ComputeSVIImpliedVol($L$5,$C6,$M$5,($A25-OptionsData!#REF!)/365,T$23)</f>
        <v>#NAME?</v>
      </c>
      <c r="U25" s="37" t="e">
        <f>ComputeSVIImpliedVol($L$5,$C6,$M$5,($A25-OptionsData!#REF!)/365,U$23)</f>
        <v>#NAME?</v>
      </c>
      <c r="V25" s="38" t="e">
        <f>ComputeSVIImpliedVol($L$5,$C6,$M$5,($A25-OptionsData!#REF!)/365,V$23)</f>
        <v>#NAME?</v>
      </c>
    </row>
    <row r="26" ht="13.25" spans="1:22">
      <c r="A26" s="39">
        <v>40438</v>
      </c>
      <c r="B26" s="40" t="e">
        <f>ComputeSVIImpliedVol($L$5,$C7,$M$5,($A26-OptionsData!#REF!)/365,B$23)</f>
        <v>#NAME?</v>
      </c>
      <c r="C26" s="41" t="e">
        <f>ComputeSVIImpliedVol($L$5,$C7,$M$5,($A26-OptionsData!#REF!)/365,C$23)</f>
        <v>#NAME?</v>
      </c>
      <c r="D26" s="41" t="e">
        <f>ComputeSVIImpliedVol($L$5,$C7,$M$5,($A26-OptionsData!#REF!)/365,D$23)</f>
        <v>#NAME?</v>
      </c>
      <c r="E26" s="41" t="e">
        <f>ComputeSVIImpliedVol($L$5,$C7,$M$5,($A26-OptionsData!#REF!)/365,E$23)</f>
        <v>#NAME?</v>
      </c>
      <c r="F26" s="41" t="e">
        <f>ComputeSVIImpliedVol($L$5,$C7,$M$5,($A26-OptionsData!#REF!)/365,F$23)</f>
        <v>#NAME?</v>
      </c>
      <c r="G26" s="41" t="e">
        <f>ComputeSVIImpliedVol($L$5,$C7,$M$5,($A26-OptionsData!#REF!)/365,G$23)</f>
        <v>#NAME?</v>
      </c>
      <c r="H26" s="41" t="e">
        <f>ComputeSVIImpliedVol($L$5,$C7,$M$5,($A26-OptionsData!#REF!)/365,H$23)</f>
        <v>#NAME?</v>
      </c>
      <c r="I26" s="41" t="e">
        <f>ComputeSVIImpliedVol($L$5,$C7,$M$5,($A26-OptionsData!#REF!)/365,I$23)</f>
        <v>#NAME?</v>
      </c>
      <c r="J26" s="41" t="e">
        <f>ComputeSVIImpliedVol($L$5,$C7,$M$5,($A26-OptionsData!#REF!)/365,J$23)</f>
        <v>#NAME?</v>
      </c>
      <c r="K26" s="41" t="e">
        <f>ComputeSVIImpliedVol($L$5,$C7,$M$5,($A26-OptionsData!#REF!)/365,K$23)</f>
        <v>#NAME?</v>
      </c>
      <c r="L26" s="41" t="e">
        <f>ComputeSVIImpliedVol($L$5,$C7,$M$5,($A26-OptionsData!#REF!)/365,L$23)</f>
        <v>#NAME?</v>
      </c>
      <c r="M26" s="41" t="e">
        <f>ComputeSVIImpliedVol($L$5,$C7,$M$5,($A26-OptionsData!#REF!)/365,M$23)</f>
        <v>#NAME?</v>
      </c>
      <c r="N26" s="41" t="e">
        <f>ComputeSVIImpliedVol($L$5,$C7,$M$5,($A26-OptionsData!#REF!)/365,N$23)</f>
        <v>#NAME?</v>
      </c>
      <c r="O26" s="41" t="e">
        <f>ComputeSVIImpliedVol($L$5,$C7,$M$5,($A26-OptionsData!#REF!)/365,O$23)</f>
        <v>#NAME?</v>
      </c>
      <c r="P26" s="41" t="e">
        <f>ComputeSVIImpliedVol($L$5,$C7,$M$5,($A26-OptionsData!#REF!)/365,P$23)</f>
        <v>#NAME?</v>
      </c>
      <c r="Q26" s="41" t="e">
        <f>ComputeSVIImpliedVol($L$5,$C7,$M$5,($A26-OptionsData!#REF!)/365,Q$23)</f>
        <v>#NAME?</v>
      </c>
      <c r="R26" s="41" t="e">
        <f>ComputeSVIImpliedVol($L$5,$C7,$M$5,($A26-OptionsData!#REF!)/365,R$23)</f>
        <v>#NAME?</v>
      </c>
      <c r="S26" s="41" t="e">
        <f>ComputeSVIImpliedVol($L$5,$C7,$M$5,($A26-OptionsData!#REF!)/365,S$23)</f>
        <v>#NAME?</v>
      </c>
      <c r="T26" s="41" t="e">
        <f>ComputeSVIImpliedVol($L$5,$C7,$M$5,($A26-OptionsData!#REF!)/365,T$23)</f>
        <v>#NAME?</v>
      </c>
      <c r="U26" s="41" t="e">
        <f>ComputeSVIImpliedVol($L$5,$C7,$M$5,($A26-OptionsData!#REF!)/365,U$23)</f>
        <v>#NAME?</v>
      </c>
      <c r="V26" s="42" t="e">
        <f>ComputeSVIImpliedVol($L$5,$C7,$M$5,($A26-OptionsData!#REF!)/365,V$23)</f>
        <v>#NAME?</v>
      </c>
    </row>
    <row r="30" ht="13.25"/>
    <row r="31" ht="13.75" spans="1:22">
      <c r="B31" s="1" t="s">
        <v>74</v>
      </c>
      <c r="C31" s="2"/>
      <c r="D31" s="2"/>
      <c r="E31" s="3"/>
    </row>
    <row r="32" ht="13.75" spans="1:22">
      <c r="A32" s="8" t="s">
        <v>3</v>
      </c>
      <c r="B32" s="28">
        <f>ROUND((0.7+COUNTA($A$32:A32)*0.03)*$L$6,0)</f>
        <v>7316</v>
      </c>
      <c r="C32" s="29">
        <f>ROUND((0.7+COUNTA($A$32:B32)*0.03)*$L$6,0)</f>
        <v>7617</v>
      </c>
      <c r="D32" s="29">
        <f>ROUND((0.7+COUNTA($A$32:C32)*0.03)*$L$6,0)</f>
        <v>7917</v>
      </c>
      <c r="E32" s="29">
        <f>ROUND((0.7+COUNTA($A$32:D32)*0.03)*$L$6,0)</f>
        <v>8218</v>
      </c>
      <c r="F32" s="29">
        <f>ROUND((0.7+COUNTA($A$32:E32)*0.03)*$L$6,0)</f>
        <v>8519</v>
      </c>
      <c r="G32" s="29">
        <f>ROUND((0.7+COUNTA($A$32:F32)*0.03)*$L$6,0)</f>
        <v>8819</v>
      </c>
      <c r="H32" s="29">
        <f>ROUND((0.7+COUNTA($A$32:G32)*0.03)*$L$6,0)</f>
        <v>9120</v>
      </c>
      <c r="I32" s="29">
        <f>ROUND((0.7+COUNTA($A$32:H32)*0.03)*$L$6,0)</f>
        <v>9421</v>
      </c>
      <c r="J32" s="29">
        <f>ROUND((0.7+COUNTA($A$32:I32)*0.03)*$L$6,0)</f>
        <v>9721</v>
      </c>
      <c r="K32" s="29">
        <f>ROUND((0.7+COUNTA($A$32:J32)*0.03)*$L$6,0)</f>
        <v>10022</v>
      </c>
      <c r="L32" s="29">
        <f>ROUND((0.7+COUNTA($A$32:K32)*0.03)*$L$6,0)</f>
        <v>10323</v>
      </c>
      <c r="M32" s="29">
        <f>ROUND((0.7+COUNTA($A$32:L32)*0.03)*$L$6,0)</f>
        <v>10623</v>
      </c>
      <c r="N32" s="29">
        <f>ROUND((0.7+COUNTA($A$32:M32)*0.03)*$L$6,0)</f>
        <v>10924</v>
      </c>
      <c r="O32" s="29">
        <f>ROUND((0.7+COUNTA($A$32:N32)*0.03)*$L$6,0)</f>
        <v>11225</v>
      </c>
      <c r="P32" s="29">
        <f>ROUND((0.7+COUNTA($A$32:O32)*0.03)*$L$6,0)</f>
        <v>11525</v>
      </c>
      <c r="Q32" s="29">
        <f>ROUND((0.7+COUNTA($A$32:P32)*0.03)*$L$6,0)</f>
        <v>11826</v>
      </c>
      <c r="R32" s="29">
        <f>ROUND((0.7+COUNTA($A$32:Q32)*0.03)*$L$6,0)</f>
        <v>12127</v>
      </c>
      <c r="S32" s="29">
        <f>ROUND((0.7+COUNTA($A$32:R32)*0.03)*$L$6,0)</f>
        <v>12427</v>
      </c>
      <c r="T32" s="29">
        <f>ROUND((0.7+COUNTA($A$32:S32)*0.03)*$L$6,0)</f>
        <v>12728</v>
      </c>
      <c r="U32" s="29">
        <f>ROUND((0.7+COUNTA($A$32:T32)*0.03)*$L$6,0)</f>
        <v>13029</v>
      </c>
      <c r="V32" s="30">
        <f>ROUND((0.7+COUNTA($A$32:U32)*0.03)*$L$6,0)</f>
        <v>13329</v>
      </c>
    </row>
    <row r="33" spans="1:22">
      <c r="A33" s="31">
        <v>40256</v>
      </c>
      <c r="B33" s="32" t="e">
        <f>ComputeSVIImpliedVol($L$6,$D5,$M$6,($A33-OptionsData!#REF!)/365,B$32)</f>
        <v>#NAME?</v>
      </c>
      <c r="C33" s="33" t="e">
        <f>ComputeSVIImpliedVol($L$6,$D5,$M$6,($A33-OptionsData!#REF!)/365,C$32)</f>
        <v>#NAME?</v>
      </c>
      <c r="D33" s="33" t="e">
        <f>ComputeSVIImpliedVol($L$6,$D5,$M$6,($A33-OptionsData!#REF!)/365,D$32)</f>
        <v>#NAME?</v>
      </c>
      <c r="E33" s="33" t="e">
        <f>ComputeSVIImpliedVol($L$6,$D5,$M$6,($A33-OptionsData!#REF!)/365,E$32)</f>
        <v>#NAME?</v>
      </c>
      <c r="F33" s="33" t="e">
        <f>ComputeSVIImpliedVol($L$6,$D5,$M$6,($A33-OptionsData!#REF!)/365,F$32)</f>
        <v>#NAME?</v>
      </c>
      <c r="G33" s="33" t="e">
        <f>ComputeSVIImpliedVol($L$6,$D5,$M$6,($A33-OptionsData!#REF!)/365,G$32)</f>
        <v>#NAME?</v>
      </c>
      <c r="H33" s="33" t="e">
        <f>ComputeSVIImpliedVol($L$6,$D5,$M$6,($A33-OptionsData!#REF!)/365,H$32)</f>
        <v>#NAME?</v>
      </c>
      <c r="I33" s="33" t="e">
        <f>ComputeSVIImpliedVol($L$6,$D5,$M$6,($A33-OptionsData!#REF!)/365,I$32)</f>
        <v>#NAME?</v>
      </c>
      <c r="J33" s="33" t="e">
        <f>ComputeSVIImpliedVol($L$6,$D5,$M$6,($A33-OptionsData!#REF!)/365,J$32)</f>
        <v>#NAME?</v>
      </c>
      <c r="K33" s="33" t="e">
        <f>ComputeSVIImpliedVol($L$6,$D5,$M$6,($A33-OptionsData!#REF!)/365,K$32)</f>
        <v>#NAME?</v>
      </c>
      <c r="L33" s="33" t="e">
        <f>ComputeSVIImpliedVol($L$6,$D5,$M$6,($A33-OptionsData!#REF!)/365,L$32)</f>
        <v>#NAME?</v>
      </c>
      <c r="M33" s="33" t="e">
        <f>ComputeSVIImpliedVol($L$6,$D5,$M$6,($A33-OptionsData!#REF!)/365,M$32)</f>
        <v>#NAME?</v>
      </c>
      <c r="N33" s="33" t="e">
        <f>ComputeSVIImpliedVol($L$6,$D5,$M$6,($A33-OptionsData!#REF!)/365,N$32)</f>
        <v>#NAME?</v>
      </c>
      <c r="O33" s="33" t="e">
        <f>ComputeSVIImpliedVol($L$6,$D5,$M$6,($A33-OptionsData!#REF!)/365,O$32)</f>
        <v>#NAME?</v>
      </c>
      <c r="P33" s="33" t="e">
        <f>ComputeSVIImpliedVol($L$6,$D5,$M$6,($A33-OptionsData!#REF!)/365,P$32)</f>
        <v>#NAME?</v>
      </c>
      <c r="Q33" s="33" t="e">
        <f>ComputeSVIImpliedVol($L$6,$D5,$M$6,($A33-OptionsData!#REF!)/365,Q$32)</f>
        <v>#NAME?</v>
      </c>
      <c r="R33" s="33" t="e">
        <f>ComputeSVIImpliedVol($L$6,$D5,$M$6,($A33-OptionsData!#REF!)/365,R$32)</f>
        <v>#NAME?</v>
      </c>
      <c r="S33" s="33" t="e">
        <f>ComputeSVIImpliedVol($L$6,$D5,$M$6,($A33-OptionsData!#REF!)/365,S$32)</f>
        <v>#NAME?</v>
      </c>
      <c r="T33" s="33" t="e">
        <f>ComputeSVIImpliedVol($L$6,$D5,$M$6,($A33-OptionsData!#REF!)/365,T$32)</f>
        <v>#NAME?</v>
      </c>
      <c r="U33" s="33" t="e">
        <f>ComputeSVIImpliedVol($L$6,$D5,$M$6,($A33-OptionsData!#REF!)/365,U$32)</f>
        <v>#NAME?</v>
      </c>
      <c r="V33" s="34" t="e">
        <f>ComputeSVIImpliedVol($L$6,$D5,$M$6,($A33-OptionsData!#REF!)/365,V$32)</f>
        <v>#NAME?</v>
      </c>
    </row>
    <row r="34" spans="1:22">
      <c r="A34" s="35">
        <v>40347</v>
      </c>
      <c r="B34" s="36" t="e">
        <f>ComputeSVIImpliedVol($L$6,$D6,$M$6,($A34-OptionsData!#REF!)/365,B$32)</f>
        <v>#NAME?</v>
      </c>
      <c r="C34" s="37" t="e">
        <f>ComputeSVIImpliedVol($L$6,$D6,$M$6,($A34-OptionsData!#REF!)/365,C$32)</f>
        <v>#NAME?</v>
      </c>
      <c r="D34" s="37" t="e">
        <f>ComputeSVIImpliedVol($L$6,$D6,$M$6,($A34-OptionsData!#REF!)/365,D$32)</f>
        <v>#NAME?</v>
      </c>
      <c r="E34" s="37" t="e">
        <f>ComputeSVIImpliedVol($L$6,$D6,$M$6,($A34-OptionsData!#REF!)/365,E$32)</f>
        <v>#NAME?</v>
      </c>
      <c r="F34" s="37" t="e">
        <f>ComputeSVIImpliedVol($L$6,$D6,$M$6,($A34-OptionsData!#REF!)/365,F$32)</f>
        <v>#NAME?</v>
      </c>
      <c r="G34" s="37" t="e">
        <f>ComputeSVIImpliedVol($L$6,$D6,$M$6,($A34-OptionsData!#REF!)/365,G$32)</f>
        <v>#NAME?</v>
      </c>
      <c r="H34" s="37" t="e">
        <f>ComputeSVIImpliedVol($L$6,$D6,$M$6,($A34-OptionsData!#REF!)/365,H$32)</f>
        <v>#NAME?</v>
      </c>
      <c r="I34" s="37" t="e">
        <f>ComputeSVIImpliedVol($L$6,$D6,$M$6,($A34-OptionsData!#REF!)/365,I$32)</f>
        <v>#NAME?</v>
      </c>
      <c r="J34" s="37" t="e">
        <f>ComputeSVIImpliedVol($L$6,$D6,$M$6,($A34-OptionsData!#REF!)/365,J$32)</f>
        <v>#NAME?</v>
      </c>
      <c r="K34" s="37" t="e">
        <f>ComputeSVIImpliedVol($L$6,$D6,$M$6,($A34-OptionsData!#REF!)/365,K$32)</f>
        <v>#NAME?</v>
      </c>
      <c r="L34" s="37" t="e">
        <f>ComputeSVIImpliedVol($L$6,$D6,$M$6,($A34-OptionsData!#REF!)/365,L$32)</f>
        <v>#NAME?</v>
      </c>
      <c r="M34" s="37" t="e">
        <f>ComputeSVIImpliedVol($L$6,$D6,$M$6,($A34-OptionsData!#REF!)/365,M$32)</f>
        <v>#NAME?</v>
      </c>
      <c r="N34" s="37" t="e">
        <f>ComputeSVIImpliedVol($L$6,$D6,$M$6,($A34-OptionsData!#REF!)/365,N$32)</f>
        <v>#NAME?</v>
      </c>
      <c r="O34" s="37" t="e">
        <f>ComputeSVIImpliedVol($L$6,$D6,$M$6,($A34-OptionsData!#REF!)/365,O$32)</f>
        <v>#NAME?</v>
      </c>
      <c r="P34" s="37" t="e">
        <f>ComputeSVIImpliedVol($L$6,$D6,$M$6,($A34-OptionsData!#REF!)/365,P$32)</f>
        <v>#NAME?</v>
      </c>
      <c r="Q34" s="37" t="e">
        <f>ComputeSVIImpliedVol($L$6,$D6,$M$6,($A34-OptionsData!#REF!)/365,Q$32)</f>
        <v>#NAME?</v>
      </c>
      <c r="R34" s="37" t="e">
        <f>ComputeSVIImpliedVol($L$6,$D6,$M$6,($A34-OptionsData!#REF!)/365,R$32)</f>
        <v>#NAME?</v>
      </c>
      <c r="S34" s="37" t="e">
        <f>ComputeSVIImpliedVol($L$6,$D6,$M$6,($A34-OptionsData!#REF!)/365,S$32)</f>
        <v>#NAME?</v>
      </c>
      <c r="T34" s="37" t="e">
        <f>ComputeSVIImpliedVol($L$6,$D6,$M$6,($A34-OptionsData!#REF!)/365,T$32)</f>
        <v>#NAME?</v>
      </c>
      <c r="U34" s="37" t="e">
        <f>ComputeSVIImpliedVol($L$6,$D6,$M$6,($A34-OptionsData!#REF!)/365,U$32)</f>
        <v>#NAME?</v>
      </c>
      <c r="V34" s="38" t="e">
        <f>ComputeSVIImpliedVol($L$6,$D6,$M$6,($A34-OptionsData!#REF!)/365,V$32)</f>
        <v>#NAME?</v>
      </c>
    </row>
    <row r="35" ht="13.25" spans="1:22">
      <c r="A35" s="39">
        <v>40438</v>
      </c>
      <c r="B35" s="40" t="e">
        <f>ComputeSVIImpliedVol($L$6,$D7,$M$6,($A35-OptionsData!#REF!)/365,B$32)</f>
        <v>#NAME?</v>
      </c>
      <c r="C35" s="41" t="e">
        <f>ComputeSVIImpliedVol($L$6,$D7,$M$6,($A35-OptionsData!#REF!)/365,C$32)</f>
        <v>#NAME?</v>
      </c>
      <c r="D35" s="41" t="e">
        <f>ComputeSVIImpliedVol($L$6,$D7,$M$6,($A35-OptionsData!#REF!)/365,D$32)</f>
        <v>#NAME?</v>
      </c>
      <c r="E35" s="41" t="e">
        <f>ComputeSVIImpliedVol($L$6,$D7,$M$6,($A35-OptionsData!#REF!)/365,E$32)</f>
        <v>#NAME?</v>
      </c>
      <c r="F35" s="41" t="e">
        <f>ComputeSVIImpliedVol($L$6,$D7,$M$6,($A35-OptionsData!#REF!)/365,F$32)</f>
        <v>#NAME?</v>
      </c>
      <c r="G35" s="41" t="e">
        <f>ComputeSVIImpliedVol($L$6,$D7,$M$6,($A35-OptionsData!#REF!)/365,G$32)</f>
        <v>#NAME?</v>
      </c>
      <c r="H35" s="41" t="e">
        <f>ComputeSVIImpliedVol($L$6,$D7,$M$6,($A35-OptionsData!#REF!)/365,H$32)</f>
        <v>#NAME?</v>
      </c>
      <c r="I35" s="41" t="e">
        <f>ComputeSVIImpliedVol($L$6,$D7,$M$6,($A35-OptionsData!#REF!)/365,I$32)</f>
        <v>#NAME?</v>
      </c>
      <c r="J35" s="41" t="e">
        <f>ComputeSVIImpliedVol($L$6,$D7,$M$6,($A35-OptionsData!#REF!)/365,J$32)</f>
        <v>#NAME?</v>
      </c>
      <c r="K35" s="41" t="e">
        <f>ComputeSVIImpliedVol($L$6,$D7,$M$6,($A35-OptionsData!#REF!)/365,K$32)</f>
        <v>#NAME?</v>
      </c>
      <c r="L35" s="41" t="e">
        <f>ComputeSVIImpliedVol($L$6,$D7,$M$6,($A35-OptionsData!#REF!)/365,L$32)</f>
        <v>#NAME?</v>
      </c>
      <c r="M35" s="41" t="e">
        <f>ComputeSVIImpliedVol($L$6,$D7,$M$6,($A35-OptionsData!#REF!)/365,M$32)</f>
        <v>#NAME?</v>
      </c>
      <c r="N35" s="41" t="e">
        <f>ComputeSVIImpliedVol($L$6,$D7,$M$6,($A35-OptionsData!#REF!)/365,N$32)</f>
        <v>#NAME?</v>
      </c>
      <c r="O35" s="41" t="e">
        <f>ComputeSVIImpliedVol($L$6,$D7,$M$6,($A35-OptionsData!#REF!)/365,O$32)</f>
        <v>#NAME?</v>
      </c>
      <c r="P35" s="41" t="e">
        <f>ComputeSVIImpliedVol($L$6,$D7,$M$6,($A35-OptionsData!#REF!)/365,P$32)</f>
        <v>#NAME?</v>
      </c>
      <c r="Q35" s="41" t="e">
        <f>ComputeSVIImpliedVol($L$6,$D7,$M$6,($A35-OptionsData!#REF!)/365,Q$32)</f>
        <v>#NAME?</v>
      </c>
      <c r="R35" s="41" t="e">
        <f>ComputeSVIImpliedVol($L$6,$D7,$M$6,($A35-OptionsData!#REF!)/365,R$32)</f>
        <v>#NAME?</v>
      </c>
      <c r="S35" s="41" t="e">
        <f>ComputeSVIImpliedVol($L$6,$D7,$M$6,($A35-OptionsData!#REF!)/365,S$32)</f>
        <v>#NAME?</v>
      </c>
      <c r="T35" s="41" t="e">
        <f>ComputeSVIImpliedVol($L$6,$D7,$M$6,($A35-OptionsData!#REF!)/365,T$32)</f>
        <v>#NAME?</v>
      </c>
      <c r="U35" s="41" t="e">
        <f>ComputeSVIImpliedVol($L$6,$D7,$M$6,($A35-OptionsData!#REF!)/365,U$32)</f>
        <v>#NAME?</v>
      </c>
      <c r="V35" s="42" t="e">
        <f>ComputeSVIImpliedVol($L$6,$D7,$M$6,($A35-OptionsData!#REF!)/365,V$32)</f>
        <v>#NAME?</v>
      </c>
    </row>
  </sheetData>
  <mergeCells count="5">
    <mergeCell ref="B3:D3"/>
    <mergeCell ref="G3:H3"/>
    <mergeCell ref="B13:E13"/>
    <mergeCell ref="B22:E22"/>
    <mergeCell ref="B31:E31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CQS Management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PivotTablesVolShift</vt:lpstr>
      <vt:lpstr>PivotTablesUnderlyingShift</vt:lpstr>
      <vt:lpstr>OptionsData</vt:lpstr>
      <vt:lpstr>PriceData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mhaugh</dc:creator>
  <cp:lastModifiedBy>SallyY</cp:lastModifiedBy>
  <dcterms:created xsi:type="dcterms:W3CDTF">2008-03-20T09:52:21Z</dcterms:created>
  <dcterms:modified xsi:type="dcterms:W3CDTF">2025-09-25T16:31:36Z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17061F9AC1C142B8818B45808A158642_13</vt:lpwstr>
  </property>
  <property fmtid="{D5CDD505-2E9C-101B-9397-08002B2CF9AE}" pid="3" name="KSOProductBuildVer">
    <vt:lpwstr>2052-12.1.0.22089</vt:lpwstr>
  </property>
</Properties>
</file>