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culloc\AppData\Local\Microsoft\Windows\INetCache\Content.Outlook\R6VIXAHR\"/>
    </mc:Choice>
  </mc:AlternateContent>
  <xr:revisionPtr revIDLastSave="0" documentId="13_ncr:1_{693B60FD-0966-4036-BEFC-88AE81991A57}" xr6:coauthVersionLast="47" xr6:coauthVersionMax="47" xr10:uidLastSave="{00000000-0000-0000-0000-000000000000}"/>
  <bookViews>
    <workbookView xWindow="-28170" yWindow="795" windowWidth="28140" windowHeight="13395" xr2:uid="{00000000-000D-0000-FFFF-FFFF00000000}"/>
  </bookViews>
  <sheets>
    <sheet name="Time and Area Standardization" sheetId="14" r:id="rId1"/>
    <sheet name="Age Structure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80" i="14" l="1"/>
  <c r="CU195" i="14"/>
  <c r="CT195" i="14"/>
  <c r="CM195" i="14"/>
  <c r="CL195" i="14"/>
  <c r="CK195" i="14"/>
  <c r="CG195" i="14"/>
  <c r="AG195" i="14"/>
  <c r="AF195" i="14" s="1"/>
  <c r="AC195" i="14"/>
  <c r="B195" i="14"/>
  <c r="CU194" i="14"/>
  <c r="CT194" i="14"/>
  <c r="CM194" i="14"/>
  <c r="CL194" i="14"/>
  <c r="CO194" i="14" s="1"/>
  <c r="CK194" i="14"/>
  <c r="CG194" i="14"/>
  <c r="AG194" i="14"/>
  <c r="AK194" i="14" s="1"/>
  <c r="AC194" i="14"/>
  <c r="B194" i="14"/>
  <c r="CU193" i="14"/>
  <c r="CT193" i="14"/>
  <c r="CM193" i="14"/>
  <c r="CL193" i="14"/>
  <c r="CK193" i="14"/>
  <c r="CN193" i="14" s="1"/>
  <c r="CG193" i="14"/>
  <c r="AG193" i="14"/>
  <c r="AK193" i="14" s="1"/>
  <c r="AC193" i="14"/>
  <c r="B193" i="14"/>
  <c r="CU192" i="14"/>
  <c r="CT192" i="14"/>
  <c r="CM192" i="14"/>
  <c r="CL192" i="14"/>
  <c r="CK192" i="14"/>
  <c r="CG192" i="14"/>
  <c r="AG192" i="14"/>
  <c r="AK192" i="14" s="1"/>
  <c r="AC192" i="14"/>
  <c r="B192" i="14"/>
  <c r="CU191" i="14"/>
  <c r="CT191" i="14"/>
  <c r="CM191" i="14"/>
  <c r="CL191" i="14"/>
  <c r="CK191" i="14"/>
  <c r="CN191" i="14" s="1"/>
  <c r="CG191" i="14"/>
  <c r="AG191" i="14"/>
  <c r="AK191" i="14" s="1"/>
  <c r="AF191" i="14"/>
  <c r="AC191" i="14"/>
  <c r="B191" i="14"/>
  <c r="CN194" i="14" l="1"/>
  <c r="CN192" i="14"/>
  <c r="AF194" i="14"/>
  <c r="CO193" i="14"/>
  <c r="AF192" i="14"/>
  <c r="CO191" i="14"/>
  <c r="AF193" i="14"/>
  <c r="AI194" i="14" s="1"/>
  <c r="CN195" i="14"/>
  <c r="AK195" i="14"/>
  <c r="AP195" i="14" s="1"/>
  <c r="CO192" i="14"/>
  <c r="CO195" i="14"/>
  <c r="AI195" i="14"/>
  <c r="AS192" i="14"/>
  <c r="AS191" i="14"/>
  <c r="AI192" i="14"/>
  <c r="AA195" i="14"/>
  <c r="AI193" i="14"/>
  <c r="AA193" i="14"/>
  <c r="AA194" i="14"/>
  <c r="AM195" i="14" l="1"/>
  <c r="AJ195" i="14" s="1"/>
  <c r="AL195" i="14" s="1"/>
  <c r="AE195" i="14"/>
  <c r="AB195" i="14" s="1"/>
  <c r="AD195" i="14" s="1"/>
  <c r="V199" i="14" l="1"/>
  <c r="V196" i="14"/>
  <c r="AC187" i="14"/>
  <c r="AC188" i="14"/>
  <c r="AC189" i="14"/>
  <c r="AC190" i="14"/>
  <c r="AC186" i="14"/>
  <c r="B187" i="14"/>
  <c r="AG187" i="14"/>
  <c r="CG187" i="14"/>
  <c r="CK187" i="14"/>
  <c r="CN187" i="14" s="1"/>
  <c r="CL187" i="14"/>
  <c r="CM187" i="14"/>
  <c r="CT187" i="14"/>
  <c r="CU187" i="14"/>
  <c r="CU190" i="14"/>
  <c r="CT190" i="14"/>
  <c r="CM190" i="14"/>
  <c r="CL190" i="14"/>
  <c r="CO190" i="14" s="1"/>
  <c r="CK190" i="14"/>
  <c r="CG190" i="14"/>
  <c r="AG190" i="14"/>
  <c r="B190" i="14"/>
  <c r="CU189" i="14"/>
  <c r="CT189" i="14"/>
  <c r="CM189" i="14"/>
  <c r="CL189" i="14"/>
  <c r="CK189" i="14"/>
  <c r="CN189" i="14" s="1"/>
  <c r="CG189" i="14"/>
  <c r="AG189" i="14"/>
  <c r="AK189" i="14" s="1"/>
  <c r="B189" i="14"/>
  <c r="CU188" i="14"/>
  <c r="CT188" i="14"/>
  <c r="CM188" i="14"/>
  <c r="CL188" i="14"/>
  <c r="CO188" i="14" s="1"/>
  <c r="CK188" i="14"/>
  <c r="CG188" i="14"/>
  <c r="AG188" i="14"/>
  <c r="B188" i="14"/>
  <c r="CU186" i="14"/>
  <c r="CT186" i="14"/>
  <c r="CM186" i="14"/>
  <c r="CL186" i="14"/>
  <c r="CK186" i="14"/>
  <c r="CG186" i="14"/>
  <c r="AG186" i="14"/>
  <c r="AK186" i="14" s="1"/>
  <c r="AF186" i="14"/>
  <c r="B186" i="14"/>
  <c r="CO187" i="14" l="1"/>
  <c r="CO186" i="14"/>
  <c r="AA189" i="14"/>
  <c r="AA190" i="14"/>
  <c r="AF190" i="14"/>
  <c r="AK190" i="14"/>
  <c r="AP190" i="14" s="1"/>
  <c r="AK187" i="14"/>
  <c r="AS187" i="14" s="1"/>
  <c r="AA188" i="14"/>
  <c r="AF188" i="14"/>
  <c r="AK188" i="14"/>
  <c r="CO189" i="14"/>
  <c r="AS186" i="14"/>
  <c r="AF187" i="14"/>
  <c r="AI187" i="14" s="1"/>
  <c r="CN188" i="14"/>
  <c r="AF189" i="14"/>
  <c r="AI189" i="14" s="1"/>
  <c r="CN190" i="14"/>
  <c r="CN186" i="14"/>
  <c r="AI188" i="14" l="1"/>
  <c r="AI190" i="14"/>
  <c r="AM190" i="14"/>
  <c r="AJ190" i="14" s="1"/>
  <c r="AL190" i="14" s="1"/>
  <c r="AE190" i="14"/>
  <c r="AB190" i="14" s="1"/>
  <c r="AD190" i="14" s="1"/>
  <c r="CU185" i="14"/>
  <c r="CT185" i="14"/>
  <c r="CM185" i="14"/>
  <c r="CL185" i="14"/>
  <c r="CK185" i="14"/>
  <c r="CG185" i="14"/>
  <c r="AG185" i="14"/>
  <c r="AK185" i="14" s="1"/>
  <c r="AC185" i="14"/>
  <c r="CU184" i="14"/>
  <c r="CT184" i="14"/>
  <c r="CM184" i="14"/>
  <c r="CL184" i="14"/>
  <c r="CK184" i="14"/>
  <c r="CG184" i="14"/>
  <c r="AG184" i="14"/>
  <c r="AK184" i="14" s="1"/>
  <c r="AC184" i="14"/>
  <c r="CU183" i="14"/>
  <c r="CT183" i="14"/>
  <c r="CM183" i="14"/>
  <c r="CL183" i="14"/>
  <c r="CK183" i="14"/>
  <c r="CG183" i="14"/>
  <c r="AG183" i="14"/>
  <c r="AK183" i="14" s="1"/>
  <c r="AC183" i="14"/>
  <c r="CU182" i="14"/>
  <c r="CT182" i="14"/>
  <c r="CM182" i="14"/>
  <c r="CL182" i="14"/>
  <c r="CK182" i="14"/>
  <c r="CG182" i="14"/>
  <c r="AG182" i="14"/>
  <c r="AK182" i="14" s="1"/>
  <c r="AC182" i="14"/>
  <c r="B185" i="14"/>
  <c r="B184" i="14"/>
  <c r="B183" i="14"/>
  <c r="B182" i="14"/>
  <c r="AF184" i="14" l="1"/>
  <c r="AI185" i="14" s="1"/>
  <c r="AP185" i="14"/>
  <c r="AA183" i="14"/>
  <c r="AF183" i="14"/>
  <c r="AI183" i="14" s="1"/>
  <c r="AA184" i="14"/>
  <c r="AF182" i="14"/>
  <c r="AF185" i="14"/>
  <c r="AA185" i="14"/>
  <c r="CN184" i="14"/>
  <c r="CN182" i="14"/>
  <c r="CN183" i="14"/>
  <c r="CN185" i="14"/>
  <c r="CO185" i="14"/>
  <c r="CO183" i="14"/>
  <c r="CO182" i="14"/>
  <c r="CO184" i="14"/>
  <c r="AG178" i="14"/>
  <c r="AK178" i="14" s="1"/>
  <c r="AG179" i="14"/>
  <c r="AG180" i="14"/>
  <c r="AG181" i="14"/>
  <c r="AC179" i="14"/>
  <c r="AC180" i="14"/>
  <c r="AC181" i="14"/>
  <c r="AC178" i="14"/>
  <c r="AI184" i="14" l="1"/>
  <c r="AM185" i="14"/>
  <c r="AJ185" i="14" s="1"/>
  <c r="AL185" i="14" s="1"/>
  <c r="AE185" i="14"/>
  <c r="AB185" i="14" s="1"/>
  <c r="AD185" i="14" s="1"/>
  <c r="AK181" i="14"/>
  <c r="AF181" i="14"/>
  <c r="AK180" i="14"/>
  <c r="AF180" i="14"/>
  <c r="AK179" i="14"/>
  <c r="AF179" i="14"/>
  <c r="AF178" i="14"/>
  <c r="B180" i="14"/>
  <c r="B178" i="14"/>
  <c r="B179" i="14"/>
  <c r="B181" i="14"/>
  <c r="AI181" i="14" l="1"/>
  <c r="AI179" i="14"/>
  <c r="AA180" i="14"/>
  <c r="AA179" i="14"/>
  <c r="AI180" i="14"/>
  <c r="AA181" i="14"/>
  <c r="AM181" i="14" l="1"/>
  <c r="AJ181" i="14" s="1"/>
  <c r="AL181" i="14" s="1"/>
  <c r="AE181" i="14"/>
  <c r="AB181" i="14" s="1"/>
  <c r="AD181" i="14" s="1"/>
  <c r="AP181" i="14"/>
  <c r="AG176" i="14"/>
  <c r="AF176" i="14" s="1"/>
  <c r="CG176" i="14"/>
  <c r="CK176" i="14"/>
  <c r="CL176" i="14"/>
  <c r="CM176" i="14"/>
  <c r="CT176" i="14"/>
  <c r="CU176" i="14"/>
  <c r="AG177" i="14"/>
  <c r="AF177" i="14" s="1"/>
  <c r="AG175" i="14"/>
  <c r="AF175" i="14" s="1"/>
  <c r="AG174" i="14"/>
  <c r="AK174" i="14" s="1"/>
  <c r="AG169" i="14"/>
  <c r="AK169" i="14" s="1"/>
  <c r="AG170" i="14"/>
  <c r="AK170" i="14" s="1"/>
  <c r="AG171" i="14"/>
  <c r="AF171" i="14" s="1"/>
  <c r="AG172" i="14"/>
  <c r="AK172" i="14" s="1"/>
  <c r="AC173" i="14"/>
  <c r="AC172" i="14" s="1"/>
  <c r="AG173" i="14"/>
  <c r="AF173" i="14" s="1"/>
  <c r="AS178" i="14" l="1"/>
  <c r="AS182" i="14"/>
  <c r="AF174" i="14"/>
  <c r="AK177" i="14"/>
  <c r="AK171" i="14"/>
  <c r="CO176" i="14"/>
  <c r="AK176" i="14"/>
  <c r="AP177" i="14" s="1"/>
  <c r="CN176" i="14"/>
  <c r="AK175" i="14"/>
  <c r="BB173" i="14"/>
  <c r="AF170" i="14"/>
  <c r="AK173" i="14"/>
  <c r="BG172" i="14"/>
  <c r="AC171" i="14"/>
  <c r="BI172" i="14"/>
  <c r="BB172" i="14"/>
  <c r="BE172" i="14"/>
  <c r="AF169" i="14"/>
  <c r="AF172" i="14"/>
  <c r="AP173" i="14" l="1"/>
  <c r="AS173" i="14"/>
  <c r="BB171" i="14"/>
  <c r="BE171" i="14"/>
  <c r="BG171" i="14"/>
  <c r="AC170" i="14"/>
  <c r="BI171" i="14"/>
  <c r="AC169" i="14" l="1"/>
  <c r="BI170" i="14"/>
  <c r="BB170" i="14"/>
  <c r="BE170" i="14"/>
  <c r="BG170" i="14"/>
  <c r="B174" i="14" l="1"/>
  <c r="B175" i="14"/>
  <c r="B177" i="14"/>
  <c r="AI177" i="14" s="1"/>
  <c r="AA177" i="14" l="1"/>
  <c r="AA176" i="14"/>
  <c r="AI175" i="14"/>
  <c r="AM177" i="14" s="1"/>
  <c r="AA175" i="14"/>
  <c r="AI176" i="14"/>
  <c r="B173" i="14"/>
  <c r="B172" i="14"/>
  <c r="B171" i="14"/>
  <c r="AI173" i="14" l="1"/>
  <c r="AJ177" i="14"/>
  <c r="AL177" i="14" s="1"/>
  <c r="AE177" i="14"/>
  <c r="AB177" i="14" s="1"/>
  <c r="AD177" i="14" s="1"/>
  <c r="BA171" i="14"/>
  <c r="AA172" i="14"/>
  <c r="BA172" i="14"/>
  <c r="AI172" i="14"/>
  <c r="AA173" i="14"/>
  <c r="AP99" i="14"/>
  <c r="AP107" i="14"/>
  <c r="AP113" i="14"/>
  <c r="AP146" i="14"/>
  <c r="AP153" i="14"/>
  <c r="AP158" i="14"/>
  <c r="AP163" i="14"/>
  <c r="AP168" i="14"/>
  <c r="AP124" i="14"/>
  <c r="AP136" i="14"/>
  <c r="AP140" i="14"/>
  <c r="AP91" i="14"/>
  <c r="B170" i="14" l="1"/>
  <c r="B169" i="14"/>
  <c r="AA170" i="14" l="1"/>
  <c r="BA170" i="14"/>
  <c r="AI170" i="14"/>
  <c r="AI171" i="14"/>
  <c r="AA171" i="14"/>
  <c r="AG16" i="14"/>
  <c r="AF16" i="14" s="1"/>
  <c r="AG17" i="14"/>
  <c r="AF17" i="14" s="1"/>
  <c r="AG18" i="14"/>
  <c r="AM18" i="14" s="1"/>
  <c r="AG19" i="14"/>
  <c r="AM19" i="14" s="1"/>
  <c r="AG20" i="14"/>
  <c r="AG21" i="14"/>
  <c r="AG22" i="14"/>
  <c r="AG23" i="14"/>
  <c r="AM23" i="14" s="1"/>
  <c r="AG24" i="14"/>
  <c r="AF24" i="14" s="1"/>
  <c r="AG25" i="14"/>
  <c r="AG26" i="14"/>
  <c r="AG27" i="14"/>
  <c r="AM27" i="14" s="1"/>
  <c r="AG28" i="14"/>
  <c r="AG29" i="14"/>
  <c r="AG30" i="14"/>
  <c r="AG31" i="14"/>
  <c r="AG32" i="14"/>
  <c r="AF32" i="14" s="1"/>
  <c r="AG33" i="14"/>
  <c r="AG34" i="14"/>
  <c r="AG35" i="14"/>
  <c r="AG36" i="14"/>
  <c r="AF36" i="14" s="1"/>
  <c r="AG37" i="14"/>
  <c r="AI37" i="14" s="1"/>
  <c r="AG38" i="14"/>
  <c r="AG39" i="14"/>
  <c r="AG40" i="14"/>
  <c r="AG41" i="14"/>
  <c r="AF41" i="14" s="1"/>
  <c r="AG42" i="14"/>
  <c r="AG43" i="14"/>
  <c r="AG44" i="14"/>
  <c r="AG45" i="14"/>
  <c r="AM45" i="14" s="1"/>
  <c r="AG46" i="14"/>
  <c r="AG47" i="14"/>
  <c r="AG48" i="14"/>
  <c r="AG49" i="14"/>
  <c r="AG50" i="14"/>
  <c r="AF50" i="14" s="1"/>
  <c r="AG51" i="14"/>
  <c r="AG52" i="14"/>
  <c r="AG53" i="14"/>
  <c r="AG54" i="14"/>
  <c r="AG55" i="14"/>
  <c r="AG56" i="14"/>
  <c r="AG57" i="14"/>
  <c r="AG58" i="14"/>
  <c r="AF58" i="14" s="1"/>
  <c r="AG59" i="14"/>
  <c r="AG60" i="14"/>
  <c r="AG61" i="14"/>
  <c r="AG62" i="14"/>
  <c r="AG63" i="14"/>
  <c r="AG64" i="14"/>
  <c r="AG65" i="14"/>
  <c r="AG66" i="14"/>
  <c r="AF66" i="14" s="1"/>
  <c r="AG67" i="14"/>
  <c r="AG68" i="14"/>
  <c r="AG69" i="14"/>
  <c r="AG70" i="14"/>
  <c r="AF70" i="14" s="1"/>
  <c r="AG71" i="14"/>
  <c r="AG72" i="14"/>
  <c r="AG73" i="14"/>
  <c r="AG74" i="14"/>
  <c r="AF74" i="14" s="1"/>
  <c r="AG75" i="14"/>
  <c r="AG76" i="14"/>
  <c r="AG77" i="14"/>
  <c r="AG78" i="14"/>
  <c r="AF78" i="14" s="1"/>
  <c r="AG79" i="14"/>
  <c r="AG80" i="14"/>
  <c r="AG81" i="14"/>
  <c r="AG82" i="14"/>
  <c r="AG9" i="14"/>
  <c r="AG10" i="14"/>
  <c r="AG11" i="14"/>
  <c r="AF11" i="14" s="1"/>
  <c r="AG12" i="14"/>
  <c r="AG13" i="14"/>
  <c r="AG14" i="14"/>
  <c r="AG15" i="14"/>
  <c r="AF7" i="14"/>
  <c r="B82" i="14"/>
  <c r="B77" i="14"/>
  <c r="B73" i="14"/>
  <c r="B68" i="14"/>
  <c r="B64" i="14"/>
  <c r="B60" i="14"/>
  <c r="B56" i="14"/>
  <c r="B48" i="14"/>
  <c r="B44" i="14"/>
  <c r="B39" i="14"/>
  <c r="B35" i="14"/>
  <c r="B30" i="14"/>
  <c r="B26" i="14"/>
  <c r="E22" i="14"/>
  <c r="B22" i="14"/>
  <c r="B18" i="14"/>
  <c r="B14" i="14"/>
  <c r="B10" i="14"/>
  <c r="AM173" i="14" l="1"/>
  <c r="AE173" i="14"/>
  <c r="AB173" i="14" s="1"/>
  <c r="AD173" i="14" s="1"/>
  <c r="AF79" i="14"/>
  <c r="AI79" i="14"/>
  <c r="AM79" i="14"/>
  <c r="AM31" i="14"/>
  <c r="AM11" i="14"/>
  <c r="AI66" i="14"/>
  <c r="AI50" i="14"/>
  <c r="AM34" i="14"/>
  <c r="AI58" i="14"/>
  <c r="AM26" i="14"/>
  <c r="AM42" i="14"/>
  <c r="AM39" i="14"/>
  <c r="AI32" i="14"/>
  <c r="AI28" i="14"/>
  <c r="AI24" i="14"/>
  <c r="AI20" i="14"/>
  <c r="AM9" i="14"/>
  <c r="AM30" i="14"/>
  <c r="AM22" i="14"/>
  <c r="AM35" i="14"/>
  <c r="AM48" i="14"/>
  <c r="AM44" i="14"/>
  <c r="AM81" i="14"/>
  <c r="AM77" i="14"/>
  <c r="AM73" i="14"/>
  <c r="AM69" i="14"/>
  <c r="AM65" i="14"/>
  <c r="AM61" i="14"/>
  <c r="AM57" i="14"/>
  <c r="AM53" i="14"/>
  <c r="AM49" i="14"/>
  <c r="AI12" i="14"/>
  <c r="AI75" i="14"/>
  <c r="AM12" i="14"/>
  <c r="AM43" i="14"/>
  <c r="AM72" i="14"/>
  <c r="AM68" i="14"/>
  <c r="AM64" i="14"/>
  <c r="AM60" i="14"/>
  <c r="AM56" i="14"/>
  <c r="AM52" i="14"/>
  <c r="AF75" i="14"/>
  <c r="AF27" i="14"/>
  <c r="AF19" i="14"/>
  <c r="AI16" i="14"/>
  <c r="AI70" i="14"/>
  <c r="AI62" i="14"/>
  <c r="AI54" i="14"/>
  <c r="AI46" i="14"/>
  <c r="AM28" i="14"/>
  <c r="AM24" i="14"/>
  <c r="AM20" i="14"/>
  <c r="AM16" i="14"/>
  <c r="AM37" i="14"/>
  <c r="AM46" i="14"/>
  <c r="AM75" i="14"/>
  <c r="AF69" i="14"/>
  <c r="AF61" i="14"/>
  <c r="AF53" i="14"/>
  <c r="AF45" i="14"/>
  <c r="AM14" i="14"/>
  <c r="AM10" i="14"/>
  <c r="AM15" i="14"/>
  <c r="AM32" i="14"/>
  <c r="AM40" i="14"/>
  <c r="AM36" i="14"/>
  <c r="AM82" i="14"/>
  <c r="AM78" i="14"/>
  <c r="AM74" i="14"/>
  <c r="AM70" i="14"/>
  <c r="AM66" i="14"/>
  <c r="AM62" i="14"/>
  <c r="AM58" i="14"/>
  <c r="AM54" i="14"/>
  <c r="AM50" i="14"/>
  <c r="F65" i="14"/>
  <c r="AF65" i="14" s="1"/>
  <c r="F62" i="14"/>
  <c r="AF62" i="14" s="1"/>
  <c r="F57" i="14"/>
  <c r="AF57" i="14" s="1"/>
  <c r="F54" i="14"/>
  <c r="AF54" i="14" s="1"/>
  <c r="F49" i="14"/>
  <c r="AF49" i="14" s="1"/>
  <c r="F46" i="14"/>
  <c r="AF46" i="14" s="1"/>
  <c r="F40" i="14"/>
  <c r="AF40" i="14" s="1"/>
  <c r="F37" i="14"/>
  <c r="AF37" i="14" s="1"/>
  <c r="F31" i="14"/>
  <c r="AF31" i="14" s="1"/>
  <c r="F28" i="14"/>
  <c r="AF28" i="14" s="1"/>
  <c r="F23" i="14"/>
  <c r="AF23" i="14" s="1"/>
  <c r="F20" i="14"/>
  <c r="AF20" i="14" s="1"/>
  <c r="F15" i="14"/>
  <c r="AF15" i="14" s="1"/>
  <c r="F12" i="14"/>
  <c r="AF12" i="14" s="1"/>
  <c r="F6" i="14"/>
  <c r="B52" i="14"/>
  <c r="AG168" i="14"/>
  <c r="AK168" i="14" s="1"/>
  <c r="AS168" i="14" s="1"/>
  <c r="AG167" i="14"/>
  <c r="AK167" i="14" s="1"/>
  <c r="AG166" i="14"/>
  <c r="AK166" i="14" s="1"/>
  <c r="AG165" i="14"/>
  <c r="AK165" i="14" s="1"/>
  <c r="AG164" i="14"/>
  <c r="AK164" i="14" s="1"/>
  <c r="AG163" i="14"/>
  <c r="AK163" i="14" s="1"/>
  <c r="AS163" i="14" s="1"/>
  <c r="AG162" i="14"/>
  <c r="AK162" i="14" s="1"/>
  <c r="AG161" i="14"/>
  <c r="AK161" i="14" s="1"/>
  <c r="AG160" i="14"/>
  <c r="AK160" i="14" s="1"/>
  <c r="AG159" i="14"/>
  <c r="AK159" i="14" s="1"/>
  <c r="AG158" i="14"/>
  <c r="AK158" i="14" s="1"/>
  <c r="AS158" i="14" s="1"/>
  <c r="AG157" i="14"/>
  <c r="AK157" i="14" s="1"/>
  <c r="AG156" i="14"/>
  <c r="AK156" i="14" s="1"/>
  <c r="AG155" i="14"/>
  <c r="AK155" i="14" s="1"/>
  <c r="AG154" i="14"/>
  <c r="AK154" i="14" s="1"/>
  <c r="AG153" i="14"/>
  <c r="AK153" i="14" s="1"/>
  <c r="AS153" i="14" s="1"/>
  <c r="AG152" i="14"/>
  <c r="AK152" i="14" s="1"/>
  <c r="AG151" i="14"/>
  <c r="AK151" i="14" s="1"/>
  <c r="AG150" i="14"/>
  <c r="AK150" i="14" s="1"/>
  <c r="AG149" i="14"/>
  <c r="AK149" i="14" s="1"/>
  <c r="AG148" i="14"/>
  <c r="AK148" i="14" s="1"/>
  <c r="AG147" i="14"/>
  <c r="AK147" i="14" s="1"/>
  <c r="AG146" i="14"/>
  <c r="AK146" i="14" s="1"/>
  <c r="AS146" i="14" s="1"/>
  <c r="AG145" i="14"/>
  <c r="AK145" i="14" s="1"/>
  <c r="AG144" i="14"/>
  <c r="AK144" i="14" s="1"/>
  <c r="AG143" i="14"/>
  <c r="AK143" i="14" s="1"/>
  <c r="AG142" i="14"/>
  <c r="AK142" i="14" s="1"/>
  <c r="AG141" i="14"/>
  <c r="AK141" i="14" s="1"/>
  <c r="AG140" i="14"/>
  <c r="AK140" i="14" s="1"/>
  <c r="AS140" i="14" s="1"/>
  <c r="AG139" i="14"/>
  <c r="AK139" i="14" s="1"/>
  <c r="AG138" i="14"/>
  <c r="AK138" i="14" s="1"/>
  <c r="AG137" i="14"/>
  <c r="AK137" i="14" s="1"/>
  <c r="AG136" i="14"/>
  <c r="AG135" i="14"/>
  <c r="AG134" i="14"/>
  <c r="AG133" i="14"/>
  <c r="AG132" i="14"/>
  <c r="AK132" i="14" s="1"/>
  <c r="AG131" i="14"/>
  <c r="AK131" i="14" s="1"/>
  <c r="AG130" i="14"/>
  <c r="AK130" i="14" s="1"/>
  <c r="AG129" i="14"/>
  <c r="AK129" i="14" s="1"/>
  <c r="AG128" i="14"/>
  <c r="AK128" i="14" s="1"/>
  <c r="AP128" i="14" s="1"/>
  <c r="AG127" i="14"/>
  <c r="AK127" i="14" s="1"/>
  <c r="AG126" i="14"/>
  <c r="AK126" i="14" s="1"/>
  <c r="AG125" i="14"/>
  <c r="AK125" i="14" s="1"/>
  <c r="AG124" i="14"/>
  <c r="AK124" i="14" s="1"/>
  <c r="AS124" i="14" s="1"/>
  <c r="AG123" i="14"/>
  <c r="AK123" i="14" s="1"/>
  <c r="AG122" i="14"/>
  <c r="AK122" i="14" s="1"/>
  <c r="AG121" i="14"/>
  <c r="AK121" i="14" s="1"/>
  <c r="AG120" i="14"/>
  <c r="AK120" i="14" s="1"/>
  <c r="AG119" i="14"/>
  <c r="AK119" i="14" s="1"/>
  <c r="AG118" i="14"/>
  <c r="AK118" i="14" s="1"/>
  <c r="AG117" i="14"/>
  <c r="AK117" i="14" s="1"/>
  <c r="AG116" i="14"/>
  <c r="AK116" i="14" s="1"/>
  <c r="AG115" i="14"/>
  <c r="AK115" i="14" s="1"/>
  <c r="AG114" i="14"/>
  <c r="AK114" i="14" s="1"/>
  <c r="AG113" i="14"/>
  <c r="AK113" i="14" s="1"/>
  <c r="AS113" i="14" s="1"/>
  <c r="AG112" i="14"/>
  <c r="AK112" i="14" s="1"/>
  <c r="AG111" i="14"/>
  <c r="AK111" i="14" s="1"/>
  <c r="AG110" i="14"/>
  <c r="AK110" i="14" s="1"/>
  <c r="AG109" i="14"/>
  <c r="AK109" i="14" s="1"/>
  <c r="AG108" i="14"/>
  <c r="AK108" i="14" s="1"/>
  <c r="AG107" i="14"/>
  <c r="AK107" i="14" s="1"/>
  <c r="AS107" i="14" s="1"/>
  <c r="AG106" i="14"/>
  <c r="AK106" i="14" s="1"/>
  <c r="AG105" i="14"/>
  <c r="AK105" i="14" s="1"/>
  <c r="AG104" i="14"/>
  <c r="AK104" i="14" s="1"/>
  <c r="AG103" i="14"/>
  <c r="AK103" i="14" s="1"/>
  <c r="AG102" i="14"/>
  <c r="AK102" i="14" s="1"/>
  <c r="AG101" i="14"/>
  <c r="AK101" i="14" s="1"/>
  <c r="AG100" i="14"/>
  <c r="AK100" i="14" s="1"/>
  <c r="AG99" i="14"/>
  <c r="AK99" i="14" s="1"/>
  <c r="AS99" i="14" s="1"/>
  <c r="AG98" i="14"/>
  <c r="AK98" i="14" s="1"/>
  <c r="AG97" i="14"/>
  <c r="AK97" i="14" s="1"/>
  <c r="AG96" i="14"/>
  <c r="AK96" i="14" s="1"/>
  <c r="AG95" i="14"/>
  <c r="AK95" i="14" s="1"/>
  <c r="AG94" i="14"/>
  <c r="AK94" i="14" s="1"/>
  <c r="AG93" i="14"/>
  <c r="AK93" i="14" s="1"/>
  <c r="AG92" i="14"/>
  <c r="AK92" i="14" s="1"/>
  <c r="AG91" i="14"/>
  <c r="AK91" i="14" s="1"/>
  <c r="AS91" i="14" s="1"/>
  <c r="AG90" i="14"/>
  <c r="AK90" i="14" s="1"/>
  <c r="AG89" i="14"/>
  <c r="AG88" i="14"/>
  <c r="AK88" i="14" s="1"/>
  <c r="AG87" i="14"/>
  <c r="AK87" i="14" s="1"/>
  <c r="AG86" i="14"/>
  <c r="AK86" i="14" s="1"/>
  <c r="AG85" i="14"/>
  <c r="AK85" i="14" s="1"/>
  <c r="AG84" i="14"/>
  <c r="AK84" i="14" s="1"/>
  <c r="AS84" i="14" s="1"/>
  <c r="AG83" i="14"/>
  <c r="AG8" i="14"/>
  <c r="AG7" i="14"/>
  <c r="AG6" i="14"/>
  <c r="AG5" i="14"/>
  <c r="E39" i="15"/>
  <c r="F39" i="15"/>
  <c r="D39" i="15"/>
  <c r="F35" i="15"/>
  <c r="E35" i="15"/>
  <c r="D35" i="15"/>
  <c r="G37" i="15"/>
  <c r="F37" i="15"/>
  <c r="E37" i="15"/>
  <c r="D37" i="15"/>
  <c r="S49" i="15"/>
  <c r="T48" i="15"/>
  <c r="S48" i="15"/>
  <c r="R48" i="15"/>
  <c r="Q48" i="15"/>
  <c r="M48" i="15"/>
  <c r="L48" i="15"/>
  <c r="T47" i="15"/>
  <c r="R47" i="15"/>
  <c r="Q47" i="15"/>
  <c r="M47" i="15"/>
  <c r="L47" i="15"/>
  <c r="T41" i="15"/>
  <c r="R41" i="15"/>
  <c r="Q41" i="15"/>
  <c r="M41" i="15"/>
  <c r="L41" i="15"/>
  <c r="U40" i="15"/>
  <c r="N40" i="15"/>
  <c r="U39" i="15"/>
  <c r="N39" i="15"/>
  <c r="T33" i="15"/>
  <c r="R33" i="15"/>
  <c r="Q33" i="15"/>
  <c r="M33" i="15"/>
  <c r="L33" i="15"/>
  <c r="U32" i="15"/>
  <c r="N32" i="15"/>
  <c r="U31" i="15"/>
  <c r="N31" i="15"/>
  <c r="T25" i="15"/>
  <c r="R25" i="15"/>
  <c r="Q25" i="15"/>
  <c r="M25" i="15"/>
  <c r="L25" i="15"/>
  <c r="U24" i="15"/>
  <c r="N24" i="15"/>
  <c r="U23" i="15"/>
  <c r="N23" i="15"/>
  <c r="T17" i="15"/>
  <c r="R17" i="15"/>
  <c r="Q17" i="15"/>
  <c r="M17" i="15"/>
  <c r="L17" i="15"/>
  <c r="U16" i="15"/>
  <c r="N16" i="15"/>
  <c r="U15" i="15"/>
  <c r="N15" i="15"/>
  <c r="T9" i="15"/>
  <c r="R9" i="15"/>
  <c r="Q9" i="15"/>
  <c r="M9" i="15"/>
  <c r="L9" i="15"/>
  <c r="U8" i="15"/>
  <c r="N8" i="15"/>
  <c r="U7" i="15"/>
  <c r="N7" i="15"/>
  <c r="AJ173" i="14" l="1"/>
  <c r="AL173" i="14" s="1"/>
  <c r="N47" i="15"/>
  <c r="U41" i="15"/>
  <c r="T42" i="15" s="1"/>
  <c r="N9" i="15"/>
  <c r="M10" i="15" s="1"/>
  <c r="N25" i="15"/>
  <c r="L26" i="15" s="1"/>
  <c r="R49" i="15"/>
  <c r="U48" i="15"/>
  <c r="U25" i="15"/>
  <c r="T26" i="15" s="1"/>
  <c r="U47" i="15"/>
  <c r="L49" i="15"/>
  <c r="N48" i="15"/>
  <c r="N41" i="15"/>
  <c r="L42" i="15" s="1"/>
  <c r="AP132" i="14"/>
  <c r="AS132" i="14"/>
  <c r="AK89" i="14"/>
  <c r="AF89" i="14"/>
  <c r="AP119" i="14"/>
  <c r="AS119" i="14"/>
  <c r="AS128" i="14"/>
  <c r="T52" i="14"/>
  <c r="U52" i="14" s="1"/>
  <c r="AF6" i="14"/>
  <c r="AM6" i="14"/>
  <c r="AI6" i="14"/>
  <c r="AM7" i="14"/>
  <c r="AI7" i="14"/>
  <c r="AM83" i="14"/>
  <c r="N17" i="15"/>
  <c r="M18" i="15" s="1"/>
  <c r="N33" i="15"/>
  <c r="M34" i="15" s="1"/>
  <c r="U33" i="15"/>
  <c r="Q34" i="15" s="1"/>
  <c r="Q49" i="15"/>
  <c r="M49" i="15"/>
  <c r="U17" i="15"/>
  <c r="T49" i="15"/>
  <c r="U9" i="15"/>
  <c r="T10" i="15" s="1"/>
  <c r="L10" i="15" l="1"/>
  <c r="Q42" i="15"/>
  <c r="M26" i="15"/>
  <c r="R26" i="15"/>
  <c r="R42" i="15"/>
  <c r="Q26" i="15"/>
  <c r="R10" i="15"/>
  <c r="Q10" i="15"/>
  <c r="L34" i="15"/>
  <c r="M42" i="15"/>
  <c r="L18" i="15"/>
  <c r="T34" i="15"/>
  <c r="N49" i="15"/>
  <c r="L50" i="15" s="1"/>
  <c r="U49" i="15"/>
  <c r="T50" i="15" s="1"/>
  <c r="S18" i="15"/>
  <c r="R18" i="15"/>
  <c r="Q18" i="15"/>
  <c r="T18" i="15"/>
  <c r="R34" i="15"/>
  <c r="AF85" i="14"/>
  <c r="AK134" i="14"/>
  <c r="AK135" i="14"/>
  <c r="AK136" i="14"/>
  <c r="AS136" i="14" s="1"/>
  <c r="AK133" i="14"/>
  <c r="AF83" i="14"/>
  <c r="AF84" i="14"/>
  <c r="AF86" i="14"/>
  <c r="AF87" i="14"/>
  <c r="AF88" i="14"/>
  <c r="AF90" i="14"/>
  <c r="AF91" i="14"/>
  <c r="AF92" i="14"/>
  <c r="AF93" i="14"/>
  <c r="AF94" i="14"/>
  <c r="AF95" i="14"/>
  <c r="AF96" i="14"/>
  <c r="AF97" i="14"/>
  <c r="AF98" i="14"/>
  <c r="AF99" i="14"/>
  <c r="AF100" i="14"/>
  <c r="AF101" i="14"/>
  <c r="AF102" i="14"/>
  <c r="AF103" i="14"/>
  <c r="AF104" i="14"/>
  <c r="AF105" i="14"/>
  <c r="AF106" i="14"/>
  <c r="AF107" i="14"/>
  <c r="AF108" i="14"/>
  <c r="AF109" i="14"/>
  <c r="AF110" i="14"/>
  <c r="AF111" i="14"/>
  <c r="AF112" i="14"/>
  <c r="AF113" i="14"/>
  <c r="AF114" i="14"/>
  <c r="AF115" i="14"/>
  <c r="AF116" i="14"/>
  <c r="AF117" i="14"/>
  <c r="AF118" i="14"/>
  <c r="AF119" i="14"/>
  <c r="AF120" i="14"/>
  <c r="AF121" i="14"/>
  <c r="AF122" i="14"/>
  <c r="AF123" i="14"/>
  <c r="AF124" i="14"/>
  <c r="AF125" i="14"/>
  <c r="AF126" i="14"/>
  <c r="AF127" i="14"/>
  <c r="AF128" i="14"/>
  <c r="AF129" i="14"/>
  <c r="AF130" i="14"/>
  <c r="AF131" i="14"/>
  <c r="AF132" i="14"/>
  <c r="AF133" i="14"/>
  <c r="AF134" i="14"/>
  <c r="AF135" i="14"/>
  <c r="AF136" i="14"/>
  <c r="AF137" i="14"/>
  <c r="AF138" i="14"/>
  <c r="AF139" i="14"/>
  <c r="AF140" i="14"/>
  <c r="AF141" i="14"/>
  <c r="AF142" i="14"/>
  <c r="AF143" i="14"/>
  <c r="AF144" i="14"/>
  <c r="AF145" i="14"/>
  <c r="AF146" i="14"/>
  <c r="AF147" i="14"/>
  <c r="AF148" i="14"/>
  <c r="AF149" i="14"/>
  <c r="AF150" i="14"/>
  <c r="AF151" i="14"/>
  <c r="AF152" i="14"/>
  <c r="AF153" i="14"/>
  <c r="AF154" i="14"/>
  <c r="AF155" i="14"/>
  <c r="AF156" i="14"/>
  <c r="AF157" i="14"/>
  <c r="AF158" i="14"/>
  <c r="AF159" i="14"/>
  <c r="AF160" i="14"/>
  <c r="AF161" i="14"/>
  <c r="AF162" i="14"/>
  <c r="AF163" i="14"/>
  <c r="AF164" i="14"/>
  <c r="AF165" i="14"/>
  <c r="AF166" i="14"/>
  <c r="AF167" i="14"/>
  <c r="AF168" i="14"/>
  <c r="B81" i="14"/>
  <c r="B72" i="14"/>
  <c r="B66" i="14"/>
  <c r="B67" i="14"/>
  <c r="B69" i="14"/>
  <c r="B53" i="14"/>
  <c r="B51" i="14"/>
  <c r="B50" i="14"/>
  <c r="E33" i="14"/>
  <c r="B42" i="14"/>
  <c r="B37" i="14"/>
  <c r="B38" i="14"/>
  <c r="B40" i="14"/>
  <c r="B32" i="14"/>
  <c r="B33" i="14"/>
  <c r="B34" i="14"/>
  <c r="B36" i="14"/>
  <c r="E21" i="14"/>
  <c r="B20" i="14"/>
  <c r="B21" i="14"/>
  <c r="B23" i="14"/>
  <c r="R13" i="14"/>
  <c r="F13" i="14" s="1"/>
  <c r="AF13" i="14" s="1"/>
  <c r="B28" i="14"/>
  <c r="B29" i="14"/>
  <c r="B31" i="14"/>
  <c r="I13" i="14"/>
  <c r="B12" i="14"/>
  <c r="B13" i="14"/>
  <c r="B15" i="14"/>
  <c r="B9" i="14"/>
  <c r="B4" i="14"/>
  <c r="B5" i="14"/>
  <c r="Y5" i="14" s="1"/>
  <c r="B6" i="14"/>
  <c r="B7" i="14"/>
  <c r="B8" i="14"/>
  <c r="B11" i="14"/>
  <c r="B16" i="14"/>
  <c r="B17" i="14"/>
  <c r="B19" i="14"/>
  <c r="B24" i="14"/>
  <c r="B25" i="14"/>
  <c r="B27" i="14"/>
  <c r="B41" i="14"/>
  <c r="B43" i="14"/>
  <c r="B45" i="14"/>
  <c r="B46" i="14"/>
  <c r="B47" i="14"/>
  <c r="B49" i="14"/>
  <c r="B54" i="14"/>
  <c r="B55" i="14"/>
  <c r="B57" i="14"/>
  <c r="B63" i="14"/>
  <c r="B58" i="14"/>
  <c r="B59" i="14"/>
  <c r="B61" i="14"/>
  <c r="B62" i="14"/>
  <c r="B65" i="14"/>
  <c r="B70" i="14"/>
  <c r="B71" i="14"/>
  <c r="W23" i="15" l="1"/>
  <c r="W7" i="15"/>
  <c r="V10" i="15"/>
  <c r="V42" i="15"/>
  <c r="V26" i="15"/>
  <c r="Q50" i="15"/>
  <c r="V18" i="15"/>
  <c r="W15" i="15"/>
  <c r="W31" i="15"/>
  <c r="W39" i="15"/>
  <c r="T25" i="14"/>
  <c r="U25" i="14" s="1"/>
  <c r="F25" i="14" s="1"/>
  <c r="AF25" i="14" s="1"/>
  <c r="T38" i="14"/>
  <c r="U38" i="14" s="1"/>
  <c r="T72" i="14"/>
  <c r="U72" i="14" s="1"/>
  <c r="F72" i="14" s="1"/>
  <c r="AF72" i="14" s="1"/>
  <c r="M50" i="15"/>
  <c r="V34" i="15"/>
  <c r="R50" i="15"/>
  <c r="S50" i="15"/>
  <c r="AA41" i="14"/>
  <c r="T42" i="14"/>
  <c r="U42" i="14" s="1"/>
  <c r="F42" i="14" s="1"/>
  <c r="AF42" i="14" s="1"/>
  <c r="T33" i="14"/>
  <c r="U33" i="14" s="1"/>
  <c r="F33" i="14" s="1"/>
  <c r="AF33" i="14" s="1"/>
  <c r="T34" i="14"/>
  <c r="U34" i="14" s="1"/>
  <c r="B74" i="14"/>
  <c r="B75" i="14"/>
  <c r="B76" i="14"/>
  <c r="B78" i="14"/>
  <c r="B83" i="14"/>
  <c r="B85" i="14"/>
  <c r="B79" i="14"/>
  <c r="B80" i="14"/>
  <c r="B84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AI168" i="14" s="1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04" i="14"/>
  <c r="B105" i="14"/>
  <c r="B106" i="14"/>
  <c r="B107" i="14"/>
  <c r="B108" i="14"/>
  <c r="B109" i="14"/>
  <c r="B94" i="14"/>
  <c r="B95" i="14"/>
  <c r="B96" i="14"/>
  <c r="B97" i="14"/>
  <c r="B98" i="14"/>
  <c r="B99" i="14"/>
  <c r="B100" i="14"/>
  <c r="B101" i="14"/>
  <c r="B102" i="14"/>
  <c r="B103" i="14"/>
  <c r="B88" i="14"/>
  <c r="B89" i="14"/>
  <c r="B90" i="14"/>
  <c r="B91" i="14"/>
  <c r="B92" i="14"/>
  <c r="B93" i="14"/>
  <c r="B86" i="14"/>
  <c r="B87" i="14"/>
  <c r="CT101" i="14"/>
  <c r="CT102" i="14"/>
  <c r="CU102" i="14"/>
  <c r="CT103" i="14"/>
  <c r="CU103" i="14"/>
  <c r="CT104" i="14"/>
  <c r="CU104" i="14"/>
  <c r="CT105" i="14"/>
  <c r="CU105" i="14"/>
  <c r="CT106" i="14"/>
  <c r="CU106" i="14"/>
  <c r="CT107" i="14"/>
  <c r="CU107" i="14"/>
  <c r="CT108" i="14"/>
  <c r="CU108" i="14"/>
  <c r="CT109" i="14"/>
  <c r="CU109" i="14"/>
  <c r="CT110" i="14"/>
  <c r="CU110" i="14"/>
  <c r="CT111" i="14"/>
  <c r="CU111" i="14"/>
  <c r="CT112" i="14"/>
  <c r="CU112" i="14"/>
  <c r="CT113" i="14"/>
  <c r="CU113" i="14"/>
  <c r="CT114" i="14"/>
  <c r="CU114" i="14"/>
  <c r="CT115" i="14"/>
  <c r="CU115" i="14"/>
  <c r="CT116" i="14"/>
  <c r="CU116" i="14"/>
  <c r="CT117" i="14"/>
  <c r="CU117" i="14"/>
  <c r="CT118" i="14"/>
  <c r="CU118" i="14"/>
  <c r="CT119" i="14"/>
  <c r="CU119" i="14"/>
  <c r="CT120" i="14"/>
  <c r="CU120" i="14"/>
  <c r="CT121" i="14"/>
  <c r="CU121" i="14"/>
  <c r="CT122" i="14"/>
  <c r="CU122" i="14"/>
  <c r="CT123" i="14"/>
  <c r="CU123" i="14"/>
  <c r="CT124" i="14"/>
  <c r="CU124" i="14"/>
  <c r="CT125" i="14"/>
  <c r="CU125" i="14"/>
  <c r="CT126" i="14"/>
  <c r="CU126" i="14"/>
  <c r="CT127" i="14"/>
  <c r="CU127" i="14"/>
  <c r="CT128" i="14"/>
  <c r="CU128" i="14"/>
  <c r="CT129" i="14"/>
  <c r="CU129" i="14"/>
  <c r="CT130" i="14"/>
  <c r="CU130" i="14"/>
  <c r="CT131" i="14"/>
  <c r="CU131" i="14"/>
  <c r="CT132" i="14"/>
  <c r="CU132" i="14"/>
  <c r="CT133" i="14"/>
  <c r="CU133" i="14"/>
  <c r="CT134" i="14"/>
  <c r="CU134" i="14"/>
  <c r="CT135" i="14"/>
  <c r="CU135" i="14"/>
  <c r="CT136" i="14"/>
  <c r="CU136" i="14"/>
  <c r="CT137" i="14"/>
  <c r="CU137" i="14"/>
  <c r="CT138" i="14"/>
  <c r="CU138" i="14"/>
  <c r="CT139" i="14"/>
  <c r="CU139" i="14"/>
  <c r="CT140" i="14"/>
  <c r="Q21" i="14" s="1"/>
  <c r="R21" i="14" s="1"/>
  <c r="F21" i="14" s="1"/>
  <c r="AF21" i="14" s="1"/>
  <c r="CU140" i="14"/>
  <c r="CT141" i="14"/>
  <c r="CU141" i="14"/>
  <c r="CT142" i="14"/>
  <c r="CU142" i="14"/>
  <c r="CT143" i="14"/>
  <c r="CU143" i="14"/>
  <c r="CT144" i="14"/>
  <c r="CU144" i="14"/>
  <c r="CT145" i="14"/>
  <c r="CU145" i="14"/>
  <c r="CT146" i="14"/>
  <c r="CU146" i="14"/>
  <c r="CT147" i="14"/>
  <c r="CU147" i="14"/>
  <c r="CT148" i="14"/>
  <c r="CU148" i="14"/>
  <c r="CT149" i="14"/>
  <c r="CU149" i="14"/>
  <c r="CT150" i="14"/>
  <c r="CU150" i="14"/>
  <c r="CT151" i="14"/>
  <c r="CU151" i="14"/>
  <c r="CT152" i="14"/>
  <c r="CU152" i="14"/>
  <c r="CT153" i="14"/>
  <c r="CU153" i="14"/>
  <c r="CT154" i="14"/>
  <c r="CU154" i="14"/>
  <c r="CT155" i="14"/>
  <c r="CU155" i="14"/>
  <c r="CT156" i="14"/>
  <c r="Q29" i="14" s="1"/>
  <c r="R29" i="14" s="1"/>
  <c r="F29" i="14" s="1"/>
  <c r="AF29" i="14" s="1"/>
  <c r="CU156" i="14"/>
  <c r="CT157" i="14"/>
  <c r="Q51" i="14" s="1"/>
  <c r="R51" i="14" s="1"/>
  <c r="F51" i="14" s="1"/>
  <c r="CU157" i="14"/>
  <c r="CT158" i="14"/>
  <c r="CU158" i="14"/>
  <c r="CT159" i="14"/>
  <c r="CU159" i="14"/>
  <c r="CT160" i="14"/>
  <c r="CU160" i="14"/>
  <c r="CT161" i="14"/>
  <c r="Q59" i="14" s="1"/>
  <c r="R59" i="14" s="1"/>
  <c r="F59" i="14" s="1"/>
  <c r="AF59" i="14" s="1"/>
  <c r="CU161" i="14"/>
  <c r="CT162" i="14"/>
  <c r="CU162" i="14"/>
  <c r="CT163" i="14"/>
  <c r="CU163" i="14"/>
  <c r="CT164" i="14"/>
  <c r="Q67" i="14" s="1"/>
  <c r="R67" i="14" s="1"/>
  <c r="F67" i="14" s="1"/>
  <c r="AF67" i="14" s="1"/>
  <c r="CU164" i="14"/>
  <c r="CT165" i="14"/>
  <c r="CU165" i="14"/>
  <c r="CT166" i="14"/>
  <c r="CU166" i="14"/>
  <c r="CT167" i="14"/>
  <c r="CU167" i="14"/>
  <c r="CT168" i="14"/>
  <c r="Q71" i="14" s="1"/>
  <c r="R71" i="14" s="1"/>
  <c r="CU168" i="14"/>
  <c r="CT169" i="14"/>
  <c r="CU169" i="14"/>
  <c r="CT170" i="14"/>
  <c r="CU170" i="14"/>
  <c r="CT171" i="14"/>
  <c r="CU171" i="14"/>
  <c r="CT172" i="14"/>
  <c r="CU172" i="14"/>
  <c r="CT173" i="14"/>
  <c r="CU173" i="14"/>
  <c r="CT174" i="14"/>
  <c r="CU174" i="14"/>
  <c r="CT175" i="14"/>
  <c r="CU175" i="14"/>
  <c r="CT177" i="14"/>
  <c r="CU177" i="14"/>
  <c r="CT178" i="14"/>
  <c r="CU178" i="14"/>
  <c r="CT179" i="14"/>
  <c r="CU179" i="14"/>
  <c r="CT180" i="14"/>
  <c r="CU180" i="14"/>
  <c r="CT181" i="14"/>
  <c r="CU181" i="14"/>
  <c r="Q8" i="14"/>
  <c r="R8" i="14" s="1"/>
  <c r="Q43" i="14"/>
  <c r="R43" i="14" s="1"/>
  <c r="F43" i="14" s="1"/>
  <c r="AF43" i="14" s="1"/>
  <c r="Q55" i="14"/>
  <c r="R55" i="14" s="1"/>
  <c r="F55" i="14" s="1"/>
  <c r="AF55" i="14" s="1"/>
  <c r="CT196" i="14"/>
  <c r="CU196" i="14"/>
  <c r="CT197" i="14"/>
  <c r="CU197" i="14"/>
  <c r="CT198" i="14"/>
  <c r="CU198" i="14"/>
  <c r="CT199" i="14"/>
  <c r="CU199" i="14"/>
  <c r="CT200" i="14"/>
  <c r="CU200" i="14"/>
  <c r="CT201" i="14"/>
  <c r="Q81" i="14" s="1"/>
  <c r="R81" i="14" s="1"/>
  <c r="F81" i="14" s="1"/>
  <c r="AF81" i="14" s="1"/>
  <c r="CU201" i="14"/>
  <c r="CT202" i="14"/>
  <c r="CU202" i="14"/>
  <c r="CT203" i="14"/>
  <c r="CU203" i="14"/>
  <c r="CT204" i="14"/>
  <c r="CU204" i="14"/>
  <c r="CT205" i="14"/>
  <c r="CU205" i="14"/>
  <c r="CT206" i="14"/>
  <c r="CU206" i="14"/>
  <c r="CT207" i="14"/>
  <c r="CU207" i="14"/>
  <c r="CT208" i="14"/>
  <c r="CU208" i="14"/>
  <c r="W9" i="14" s="1"/>
  <c r="X9" i="14" s="1"/>
  <c r="CT209" i="14"/>
  <c r="CU209" i="14"/>
  <c r="CT210" i="14"/>
  <c r="CU210" i="14"/>
  <c r="CT211" i="14"/>
  <c r="CU211" i="14"/>
  <c r="CT212" i="14"/>
  <c r="CU212" i="14"/>
  <c r="CT213" i="14"/>
  <c r="CU213" i="14"/>
  <c r="CT214" i="14"/>
  <c r="CU214" i="14"/>
  <c r="CT215" i="14"/>
  <c r="CU215" i="14"/>
  <c r="CT216" i="14"/>
  <c r="CU216" i="14"/>
  <c r="CT217" i="14"/>
  <c r="CU217" i="14"/>
  <c r="W5" i="14" s="1"/>
  <c r="X5" i="14" s="1"/>
  <c r="CT218" i="14"/>
  <c r="CU218" i="14"/>
  <c r="CT219" i="14"/>
  <c r="CU219" i="14"/>
  <c r="CT220" i="14"/>
  <c r="CU220" i="14"/>
  <c r="CT221" i="14"/>
  <c r="CU221" i="14"/>
  <c r="CT222" i="14"/>
  <c r="CU222" i="14"/>
  <c r="CT223" i="14"/>
  <c r="CU223" i="14"/>
  <c r="CT224" i="14"/>
  <c r="CU224" i="14"/>
  <c r="CT225" i="14"/>
  <c r="CU225" i="14"/>
  <c r="CT226" i="14"/>
  <c r="CU226" i="14"/>
  <c r="CT227" i="14"/>
  <c r="CU227" i="14"/>
  <c r="CT228" i="14"/>
  <c r="CU228" i="14"/>
  <c r="CT229" i="14"/>
  <c r="CU229" i="14"/>
  <c r="CT230" i="14"/>
  <c r="CU230" i="14"/>
  <c r="CT231" i="14"/>
  <c r="CU231" i="14"/>
  <c r="CT232" i="14"/>
  <c r="CU232" i="14"/>
  <c r="CT233" i="14"/>
  <c r="CU233" i="14"/>
  <c r="CT234" i="14"/>
  <c r="CU234" i="14"/>
  <c r="CT235" i="14"/>
  <c r="CU235" i="14"/>
  <c r="CT236" i="14"/>
  <c r="CU236" i="14"/>
  <c r="CT237" i="14"/>
  <c r="CU237" i="14"/>
  <c r="CT238" i="14"/>
  <c r="CU238" i="14"/>
  <c r="CT239" i="14"/>
  <c r="CU239" i="14"/>
  <c r="CT240" i="14"/>
  <c r="CU240" i="14"/>
  <c r="CT241" i="14"/>
  <c r="CU241" i="14"/>
  <c r="CT242" i="14"/>
  <c r="CU242" i="14"/>
  <c r="CT243" i="14"/>
  <c r="CU243" i="14"/>
  <c r="CT244" i="14"/>
  <c r="CU244" i="14"/>
  <c r="CT245" i="14"/>
  <c r="CU245" i="14"/>
  <c r="CT246" i="14"/>
  <c r="CU246" i="14"/>
  <c r="CT247" i="14"/>
  <c r="CU247" i="14"/>
  <c r="CT248" i="14"/>
  <c r="CU248" i="14"/>
  <c r="CT249" i="14"/>
  <c r="CU249" i="14"/>
  <c r="CT250" i="14"/>
  <c r="CU250" i="14"/>
  <c r="CT251" i="14"/>
  <c r="CU251" i="14"/>
  <c r="CT252" i="14"/>
  <c r="CU252" i="14"/>
  <c r="CT253" i="14"/>
  <c r="CU253" i="14"/>
  <c r="CT254" i="14"/>
  <c r="CU254" i="14"/>
  <c r="CT255" i="14"/>
  <c r="CU255" i="14"/>
  <c r="CT256" i="14"/>
  <c r="CU256" i="14"/>
  <c r="CU101" i="14"/>
  <c r="CK113" i="14"/>
  <c r="CK114" i="14"/>
  <c r="CK115" i="14"/>
  <c r="CK116" i="14"/>
  <c r="CK117" i="14"/>
  <c r="CK118" i="14"/>
  <c r="CK119" i="14"/>
  <c r="CK120" i="14"/>
  <c r="CK121" i="14"/>
  <c r="CK122" i="14"/>
  <c r="CK123" i="14"/>
  <c r="CK124" i="14"/>
  <c r="CK125" i="14"/>
  <c r="CK126" i="14"/>
  <c r="CK127" i="14"/>
  <c r="CK128" i="14"/>
  <c r="CK129" i="14"/>
  <c r="CK130" i="14"/>
  <c r="CK131" i="14"/>
  <c r="CK132" i="14"/>
  <c r="CK133" i="14"/>
  <c r="CK134" i="14"/>
  <c r="CK135" i="14"/>
  <c r="CK136" i="14"/>
  <c r="CK137" i="14"/>
  <c r="CK138" i="14"/>
  <c r="CK139" i="14"/>
  <c r="CK140" i="14"/>
  <c r="CK141" i="14"/>
  <c r="CK142" i="14"/>
  <c r="CK143" i="14"/>
  <c r="CK144" i="14"/>
  <c r="CK145" i="14"/>
  <c r="CK146" i="14"/>
  <c r="CK147" i="14"/>
  <c r="CK148" i="14"/>
  <c r="CK149" i="14"/>
  <c r="CK150" i="14"/>
  <c r="CK151" i="14"/>
  <c r="CK152" i="14"/>
  <c r="CK153" i="14"/>
  <c r="CK154" i="14"/>
  <c r="CK155" i="14"/>
  <c r="CK156" i="14"/>
  <c r="CK157" i="14"/>
  <c r="CK158" i="14"/>
  <c r="CK159" i="14"/>
  <c r="CK160" i="14"/>
  <c r="CK161" i="14"/>
  <c r="CK162" i="14"/>
  <c r="CK163" i="14"/>
  <c r="CK164" i="14"/>
  <c r="CK165" i="14"/>
  <c r="CK166" i="14"/>
  <c r="CK167" i="14"/>
  <c r="CK168" i="14"/>
  <c r="CK169" i="14"/>
  <c r="CK170" i="14"/>
  <c r="CK171" i="14"/>
  <c r="CK172" i="14"/>
  <c r="CK173" i="14"/>
  <c r="CK174" i="14"/>
  <c r="CK175" i="14"/>
  <c r="CK177" i="14"/>
  <c r="CK178" i="14"/>
  <c r="CK179" i="14"/>
  <c r="CK180" i="14"/>
  <c r="CK181" i="14"/>
  <c r="CK196" i="14"/>
  <c r="CK197" i="14"/>
  <c r="CK198" i="14"/>
  <c r="CK199" i="14"/>
  <c r="CK200" i="14"/>
  <c r="CK201" i="14"/>
  <c r="CK202" i="14"/>
  <c r="CK203" i="14"/>
  <c r="CK204" i="14"/>
  <c r="CK205" i="14"/>
  <c r="CK206" i="14"/>
  <c r="CK207" i="14"/>
  <c r="CK208" i="14"/>
  <c r="CK209" i="14"/>
  <c r="CK210" i="14"/>
  <c r="CK211" i="14"/>
  <c r="CK212" i="14"/>
  <c r="CK213" i="14"/>
  <c r="CK214" i="14"/>
  <c r="CK215" i="14"/>
  <c r="CK216" i="14"/>
  <c r="CK217" i="14"/>
  <c r="CK218" i="14"/>
  <c r="CK219" i="14"/>
  <c r="CK220" i="14"/>
  <c r="CK221" i="14"/>
  <c r="CK222" i="14"/>
  <c r="CK223" i="14"/>
  <c r="CK224" i="14"/>
  <c r="CK225" i="14"/>
  <c r="CK226" i="14"/>
  <c r="CK227" i="14"/>
  <c r="CK228" i="14"/>
  <c r="CK229" i="14"/>
  <c r="CK230" i="14"/>
  <c r="CK231" i="14"/>
  <c r="CK232" i="14"/>
  <c r="CK233" i="14"/>
  <c r="CK234" i="14"/>
  <c r="CK235" i="14"/>
  <c r="CK236" i="14"/>
  <c r="CK237" i="14"/>
  <c r="CK238" i="14"/>
  <c r="CK239" i="14"/>
  <c r="CK240" i="14"/>
  <c r="CK241" i="14"/>
  <c r="CK242" i="14"/>
  <c r="CK243" i="14"/>
  <c r="CK244" i="14"/>
  <c r="CK245" i="14"/>
  <c r="CK246" i="14"/>
  <c r="CK247" i="14"/>
  <c r="CK248" i="14"/>
  <c r="CK249" i="14"/>
  <c r="CK250" i="14"/>
  <c r="CK251" i="14"/>
  <c r="CK252" i="14"/>
  <c r="CK253" i="14"/>
  <c r="CK254" i="14"/>
  <c r="CK255" i="14"/>
  <c r="CK256" i="14"/>
  <c r="CK102" i="14"/>
  <c r="CK103" i="14"/>
  <c r="CK104" i="14"/>
  <c r="CK105" i="14"/>
  <c r="CK106" i="14"/>
  <c r="CK107" i="14"/>
  <c r="CK108" i="14"/>
  <c r="CK109" i="14"/>
  <c r="CK110" i="14"/>
  <c r="CK111" i="14"/>
  <c r="CK112" i="14"/>
  <c r="CK101" i="14"/>
  <c r="BI86" i="14"/>
  <c r="BI102" i="14"/>
  <c r="CL135" i="14"/>
  <c r="CL136" i="14"/>
  <c r="CL137" i="14"/>
  <c r="CL138" i="14"/>
  <c r="CL139" i="14"/>
  <c r="CL140" i="14"/>
  <c r="K33" i="14" s="1"/>
  <c r="L33" i="14" s="1"/>
  <c r="CL141" i="14"/>
  <c r="CL142" i="14"/>
  <c r="CL143" i="14"/>
  <c r="CL144" i="14"/>
  <c r="CL145" i="14"/>
  <c r="CL146" i="14"/>
  <c r="CL147" i="14"/>
  <c r="CL148" i="14"/>
  <c r="CL149" i="14"/>
  <c r="CL150" i="14"/>
  <c r="CL151" i="14"/>
  <c r="K38" i="14" s="1"/>
  <c r="L38" i="14" s="1"/>
  <c r="CL152" i="14"/>
  <c r="CL153" i="14"/>
  <c r="CL154" i="14"/>
  <c r="CL155" i="14"/>
  <c r="CL156" i="14"/>
  <c r="CL157" i="14"/>
  <c r="CL158" i="14"/>
  <c r="CL159" i="14"/>
  <c r="CL160" i="14"/>
  <c r="CL161" i="14"/>
  <c r="K34" i="14" s="1"/>
  <c r="L34" i="14" s="1"/>
  <c r="CL162" i="14"/>
  <c r="CL163" i="14"/>
  <c r="CL164" i="14"/>
  <c r="CL165" i="14"/>
  <c r="CL166" i="14"/>
  <c r="CL167" i="14"/>
  <c r="CL168" i="14"/>
  <c r="CL169" i="14"/>
  <c r="CL170" i="14"/>
  <c r="CL171" i="14"/>
  <c r="CL172" i="14"/>
  <c r="CL173" i="14"/>
  <c r="CL174" i="14"/>
  <c r="CL175" i="14"/>
  <c r="CL177" i="14"/>
  <c r="CL178" i="14"/>
  <c r="CL179" i="14"/>
  <c r="CL180" i="14"/>
  <c r="CL181" i="14"/>
  <c r="CL196" i="14"/>
  <c r="CL197" i="14"/>
  <c r="CL198" i="14"/>
  <c r="CL199" i="14"/>
  <c r="CL200" i="14"/>
  <c r="CL201" i="14"/>
  <c r="CL202" i="14"/>
  <c r="CL203" i="14"/>
  <c r="K72" i="14" s="1"/>
  <c r="L72" i="14" s="1"/>
  <c r="CL204" i="14"/>
  <c r="CL205" i="14"/>
  <c r="CL206" i="14"/>
  <c r="CL207" i="14"/>
  <c r="CL208" i="14"/>
  <c r="CL209" i="14"/>
  <c r="CL210" i="14"/>
  <c r="CL211" i="14"/>
  <c r="CL212" i="14"/>
  <c r="CL213" i="14"/>
  <c r="CL214" i="14"/>
  <c r="CL215" i="14"/>
  <c r="K52" i="14" s="1"/>
  <c r="L52" i="14" s="1"/>
  <c r="CL216" i="14"/>
  <c r="CL217" i="14"/>
  <c r="CL218" i="14"/>
  <c r="CL219" i="14"/>
  <c r="CL220" i="14"/>
  <c r="CL221" i="14"/>
  <c r="CL222" i="14"/>
  <c r="CL223" i="14"/>
  <c r="CL224" i="14"/>
  <c r="CL225" i="14"/>
  <c r="CL226" i="14"/>
  <c r="CL227" i="14"/>
  <c r="CL228" i="14"/>
  <c r="CL229" i="14"/>
  <c r="CL230" i="14"/>
  <c r="CL231" i="14"/>
  <c r="CL232" i="14"/>
  <c r="CL233" i="14"/>
  <c r="CL234" i="14"/>
  <c r="CL235" i="14"/>
  <c r="CL236" i="14"/>
  <c r="CL237" i="14"/>
  <c r="CL238" i="14"/>
  <c r="CL239" i="14"/>
  <c r="CL240" i="14"/>
  <c r="CL241" i="14"/>
  <c r="CL242" i="14"/>
  <c r="CL243" i="14"/>
  <c r="CL244" i="14"/>
  <c r="CL245" i="14"/>
  <c r="CL246" i="14"/>
  <c r="CL247" i="14"/>
  <c r="CL248" i="14"/>
  <c r="CL249" i="14"/>
  <c r="CL250" i="14"/>
  <c r="CL251" i="14"/>
  <c r="CL252" i="14"/>
  <c r="CL253" i="14"/>
  <c r="CL254" i="14"/>
  <c r="CL255" i="14"/>
  <c r="CL256" i="14"/>
  <c r="CL113" i="14"/>
  <c r="CL114" i="14"/>
  <c r="CL115" i="14"/>
  <c r="CL116" i="14"/>
  <c r="CL117" i="14"/>
  <c r="CL118" i="14"/>
  <c r="CL119" i="14"/>
  <c r="CL120" i="14"/>
  <c r="CL121" i="14"/>
  <c r="CL122" i="14"/>
  <c r="CL123" i="14"/>
  <c r="CL124" i="14"/>
  <c r="CL125" i="14"/>
  <c r="CL126" i="14"/>
  <c r="CL127" i="14"/>
  <c r="CL128" i="14"/>
  <c r="CL129" i="14"/>
  <c r="K42" i="14" s="1"/>
  <c r="L42" i="14" s="1"/>
  <c r="CL130" i="14"/>
  <c r="CL131" i="14"/>
  <c r="CL132" i="14"/>
  <c r="CL133" i="14"/>
  <c r="CL134" i="14"/>
  <c r="CL102" i="14"/>
  <c r="CL103" i="14"/>
  <c r="CL104" i="14"/>
  <c r="CL105" i="14"/>
  <c r="CL106" i="14"/>
  <c r="CL107" i="14"/>
  <c r="CL108" i="14"/>
  <c r="CL109" i="14"/>
  <c r="CL110" i="14"/>
  <c r="CL111" i="14"/>
  <c r="CL112" i="14"/>
  <c r="CL101" i="14"/>
  <c r="CM104" i="14"/>
  <c r="CM102" i="14"/>
  <c r="CM103" i="14"/>
  <c r="CM105" i="14"/>
  <c r="CM106" i="14"/>
  <c r="CM107" i="14"/>
  <c r="CM108" i="14"/>
  <c r="CM109" i="14"/>
  <c r="CM110" i="14"/>
  <c r="CM111" i="14"/>
  <c r="CM112" i="14"/>
  <c r="CM113" i="14"/>
  <c r="CM114" i="14"/>
  <c r="CM115" i="14"/>
  <c r="CM116" i="14"/>
  <c r="CM117" i="14"/>
  <c r="CM118" i="14"/>
  <c r="CM119" i="14"/>
  <c r="CM120" i="14"/>
  <c r="CM121" i="14"/>
  <c r="CM122" i="14"/>
  <c r="CM123" i="14"/>
  <c r="CM124" i="14"/>
  <c r="CM125" i="14"/>
  <c r="CM126" i="14"/>
  <c r="CM127" i="14"/>
  <c r="CM128" i="14"/>
  <c r="CM129" i="14"/>
  <c r="CM130" i="14"/>
  <c r="CM131" i="14"/>
  <c r="CM132" i="14"/>
  <c r="CM133" i="14"/>
  <c r="CM134" i="14"/>
  <c r="CM135" i="14"/>
  <c r="CM136" i="14"/>
  <c r="CM137" i="14"/>
  <c r="CM138" i="14"/>
  <c r="CM139" i="14"/>
  <c r="CM140" i="14"/>
  <c r="CM141" i="14"/>
  <c r="CM142" i="14"/>
  <c r="CM143" i="14"/>
  <c r="CM144" i="14"/>
  <c r="CM145" i="14"/>
  <c r="CM146" i="14"/>
  <c r="CM147" i="14"/>
  <c r="CM148" i="14"/>
  <c r="CM149" i="14"/>
  <c r="CM150" i="14"/>
  <c r="CM151" i="14"/>
  <c r="CM152" i="14"/>
  <c r="CM153" i="14"/>
  <c r="CM154" i="14"/>
  <c r="CM155" i="14"/>
  <c r="CM156" i="14"/>
  <c r="CM157" i="14"/>
  <c r="CM158" i="14"/>
  <c r="CM159" i="14"/>
  <c r="CM160" i="14"/>
  <c r="CM161" i="14"/>
  <c r="CM162" i="14"/>
  <c r="CM163" i="14"/>
  <c r="CM164" i="14"/>
  <c r="CM165" i="14"/>
  <c r="CM166" i="14"/>
  <c r="CM167" i="14"/>
  <c r="CM168" i="14"/>
  <c r="CM169" i="14"/>
  <c r="CM170" i="14"/>
  <c r="CM171" i="14"/>
  <c r="CM172" i="14"/>
  <c r="CM173" i="14"/>
  <c r="CM174" i="14"/>
  <c r="CM175" i="14"/>
  <c r="CM177" i="14"/>
  <c r="CM178" i="14"/>
  <c r="CM179" i="14"/>
  <c r="CM180" i="14"/>
  <c r="CM181" i="14"/>
  <c r="CM196" i="14"/>
  <c r="CM197" i="14"/>
  <c r="CM198" i="14"/>
  <c r="CM199" i="14"/>
  <c r="CM200" i="14"/>
  <c r="CM201" i="14"/>
  <c r="CM202" i="14"/>
  <c r="CM203" i="14"/>
  <c r="CM204" i="14"/>
  <c r="CM205" i="14"/>
  <c r="CM206" i="14"/>
  <c r="CM207" i="14"/>
  <c r="CM208" i="14"/>
  <c r="CM209" i="14"/>
  <c r="CM210" i="14"/>
  <c r="CM211" i="14"/>
  <c r="CM212" i="14"/>
  <c r="CM213" i="14"/>
  <c r="CM214" i="14"/>
  <c r="CM215" i="14"/>
  <c r="CM216" i="14"/>
  <c r="CM217" i="14"/>
  <c r="CM218" i="14"/>
  <c r="CM219" i="14"/>
  <c r="CM220" i="14"/>
  <c r="CM221" i="14"/>
  <c r="CM222" i="14"/>
  <c r="CM223" i="14"/>
  <c r="CM224" i="14"/>
  <c r="CM225" i="14"/>
  <c r="CM226" i="14"/>
  <c r="CM227" i="14"/>
  <c r="CM228" i="14"/>
  <c r="CM229" i="14"/>
  <c r="CM230" i="14"/>
  <c r="CM231" i="14"/>
  <c r="CM232" i="14"/>
  <c r="CM233" i="14"/>
  <c r="CM234" i="14"/>
  <c r="CM235" i="14"/>
  <c r="CM236" i="14"/>
  <c r="CM237" i="14"/>
  <c r="CM238" i="14"/>
  <c r="CM239" i="14"/>
  <c r="CM240" i="14"/>
  <c r="CM241" i="14"/>
  <c r="CM242" i="14"/>
  <c r="CM243" i="14"/>
  <c r="CM244" i="14"/>
  <c r="CM245" i="14"/>
  <c r="CM246" i="14"/>
  <c r="CM247" i="14"/>
  <c r="CM248" i="14"/>
  <c r="CM249" i="14"/>
  <c r="CM250" i="14"/>
  <c r="CM251" i="14"/>
  <c r="CM252" i="14"/>
  <c r="CM253" i="14"/>
  <c r="CM254" i="14"/>
  <c r="CM255" i="14"/>
  <c r="CM256" i="14"/>
  <c r="CM101" i="14"/>
  <c r="BI145" i="14"/>
  <c r="BG145" i="14"/>
  <c r="BE145" i="14"/>
  <c r="AI163" i="14" l="1"/>
  <c r="F34" i="14"/>
  <c r="AF34" i="14" s="1"/>
  <c r="AI157" i="14"/>
  <c r="AI156" i="14"/>
  <c r="F38" i="14"/>
  <c r="AF38" i="14" s="1"/>
  <c r="CN127" i="14"/>
  <c r="CN255" i="14"/>
  <c r="CN239" i="14"/>
  <c r="CN223" i="14"/>
  <c r="CN207" i="14"/>
  <c r="AI86" i="14"/>
  <c r="AA144" i="14"/>
  <c r="W47" i="15"/>
  <c r="CN171" i="14"/>
  <c r="CN159" i="14"/>
  <c r="CN155" i="14"/>
  <c r="CN139" i="14"/>
  <c r="AA145" i="14"/>
  <c r="AA91" i="14"/>
  <c r="AA99" i="14"/>
  <c r="AA107" i="14"/>
  <c r="AA43" i="14"/>
  <c r="AI43" i="14" s="1"/>
  <c r="AA42" i="14"/>
  <c r="AI42" i="14" s="1"/>
  <c r="AA33" i="14"/>
  <c r="AC51" i="14"/>
  <c r="AK51" i="14" s="1"/>
  <c r="AP51" i="14" s="1"/>
  <c r="AF51" i="14"/>
  <c r="AA55" i="14"/>
  <c r="AI41" i="14"/>
  <c r="Q63" i="14"/>
  <c r="R63" i="14" s="1"/>
  <c r="F63" i="14" s="1"/>
  <c r="AF63" i="14" s="1"/>
  <c r="F8" i="14"/>
  <c r="AI93" i="14"/>
  <c r="AI89" i="14"/>
  <c r="AI101" i="14"/>
  <c r="AI97" i="14"/>
  <c r="AI105" i="14"/>
  <c r="AI121" i="14"/>
  <c r="AI117" i="14"/>
  <c r="AI113" i="14"/>
  <c r="AI151" i="14"/>
  <c r="AI143" i="14"/>
  <c r="AI166" i="14"/>
  <c r="AI162" i="14"/>
  <c r="AI158" i="14"/>
  <c r="F9" i="14"/>
  <c r="AI87" i="14"/>
  <c r="AI103" i="14"/>
  <c r="AI99" i="14"/>
  <c r="AI95" i="14"/>
  <c r="AI107" i="14"/>
  <c r="AI123" i="14"/>
  <c r="AI119" i="14"/>
  <c r="AI115" i="14"/>
  <c r="AI111" i="14"/>
  <c r="AI139" i="14"/>
  <c r="AI135" i="14"/>
  <c r="AI131" i="14"/>
  <c r="AI127" i="14"/>
  <c r="AI153" i="14"/>
  <c r="AI149" i="14"/>
  <c r="AI145" i="14"/>
  <c r="AI160" i="14"/>
  <c r="AI90" i="14"/>
  <c r="AI102" i="14"/>
  <c r="AI98" i="14"/>
  <c r="AI94" i="14"/>
  <c r="AI106" i="14"/>
  <c r="AI118" i="14"/>
  <c r="AI138" i="14"/>
  <c r="AI134" i="14"/>
  <c r="AI130" i="14"/>
  <c r="AI126" i="14"/>
  <c r="AI152" i="14"/>
  <c r="AI148" i="14"/>
  <c r="AI144" i="14"/>
  <c r="AI167" i="14"/>
  <c r="AI155" i="14"/>
  <c r="AI88" i="14"/>
  <c r="AI96" i="14"/>
  <c r="AI104" i="14"/>
  <c r="AI116" i="14"/>
  <c r="AI112" i="14"/>
  <c r="AI140" i="14"/>
  <c r="AI136" i="14"/>
  <c r="AI132" i="14"/>
  <c r="AI128" i="14"/>
  <c r="AI124" i="14"/>
  <c r="AI150" i="14"/>
  <c r="AI146" i="14"/>
  <c r="AI142" i="14"/>
  <c r="AI165" i="14"/>
  <c r="AI161" i="14"/>
  <c r="AI110" i="14"/>
  <c r="AI85" i="14"/>
  <c r="AI91" i="14"/>
  <c r="V50" i="15"/>
  <c r="AU80" i="14"/>
  <c r="Q47" i="14"/>
  <c r="R47" i="14" s="1"/>
  <c r="F47" i="14" s="1"/>
  <c r="AF47" i="14" s="1"/>
  <c r="K25" i="14"/>
  <c r="L25" i="14" s="1"/>
  <c r="K76" i="14"/>
  <c r="L76" i="14" s="1"/>
  <c r="T76" i="14"/>
  <c r="U76" i="14" s="1"/>
  <c r="F76" i="14" s="1"/>
  <c r="AF76" i="14" s="1"/>
  <c r="AA90" i="14"/>
  <c r="AA85" i="14"/>
  <c r="Z5" i="14"/>
  <c r="F5" i="14" s="1"/>
  <c r="AF5" i="14" s="1"/>
  <c r="AU76" i="14"/>
  <c r="CN111" i="14"/>
  <c r="CN107" i="14"/>
  <c r="CN103" i="14"/>
  <c r="Q80" i="14"/>
  <c r="R80" i="14" s="1"/>
  <c r="F80" i="14" s="1"/>
  <c r="CO110" i="14"/>
  <c r="CN247" i="14"/>
  <c r="CN243" i="14"/>
  <c r="CN231" i="14"/>
  <c r="CN227" i="14"/>
  <c r="CN215" i="14"/>
  <c r="CN211" i="14"/>
  <c r="CN199" i="14"/>
  <c r="CN178" i="14"/>
  <c r="CN175" i="14"/>
  <c r="CN163" i="14"/>
  <c r="CN147" i="14"/>
  <c r="CN143" i="14"/>
  <c r="CN131" i="14"/>
  <c r="CN115" i="14"/>
  <c r="CO134" i="14"/>
  <c r="CO130" i="14"/>
  <c r="CO126" i="14"/>
  <c r="CO122" i="14"/>
  <c r="CO118" i="14"/>
  <c r="CO114" i="14"/>
  <c r="CO106" i="14"/>
  <c r="CN251" i="14"/>
  <c r="CN235" i="14"/>
  <c r="CN219" i="14"/>
  <c r="CN203" i="14"/>
  <c r="CN167" i="14"/>
  <c r="CN151" i="14"/>
  <c r="CN135" i="14"/>
  <c r="CN119" i="14"/>
  <c r="CO254" i="14"/>
  <c r="CO250" i="14"/>
  <c r="CO246" i="14"/>
  <c r="CO242" i="14"/>
  <c r="CO238" i="14"/>
  <c r="CO234" i="14"/>
  <c r="CO230" i="14"/>
  <c r="CO226" i="14"/>
  <c r="CO222" i="14"/>
  <c r="CO218" i="14"/>
  <c r="CO214" i="14"/>
  <c r="CO210" i="14"/>
  <c r="CO206" i="14"/>
  <c r="CO202" i="14"/>
  <c r="CO198" i="14"/>
  <c r="CO181" i="14"/>
  <c r="CO177" i="14"/>
  <c r="CO174" i="14"/>
  <c r="CO170" i="14"/>
  <c r="CO166" i="14"/>
  <c r="CO162" i="14"/>
  <c r="CO158" i="14"/>
  <c r="CO154" i="14"/>
  <c r="CO150" i="14"/>
  <c r="CO146" i="14"/>
  <c r="CO142" i="14"/>
  <c r="CO138" i="14"/>
  <c r="CO104" i="14"/>
  <c r="CN110" i="14"/>
  <c r="CN102" i="14"/>
  <c r="CN106" i="14"/>
  <c r="CO102" i="14"/>
  <c r="CO107" i="14"/>
  <c r="CO131" i="14"/>
  <c r="CO127" i="14"/>
  <c r="CO123" i="14"/>
  <c r="CO119" i="14"/>
  <c r="CO115" i="14"/>
  <c r="CO135" i="14"/>
  <c r="CO105" i="14"/>
  <c r="CO111" i="14"/>
  <c r="CN256" i="14"/>
  <c r="CN252" i="14"/>
  <c r="CN248" i="14"/>
  <c r="CN244" i="14"/>
  <c r="CN240" i="14"/>
  <c r="CN236" i="14"/>
  <c r="CN232" i="14"/>
  <c r="CN228" i="14"/>
  <c r="CN224" i="14"/>
  <c r="CN220" i="14"/>
  <c r="CN216" i="14"/>
  <c r="CN212" i="14"/>
  <c r="CN208" i="14"/>
  <c r="CN204" i="14"/>
  <c r="CN200" i="14"/>
  <c r="CN196" i="14"/>
  <c r="H55" i="14"/>
  <c r="I55" i="14" s="1"/>
  <c r="H8" i="14"/>
  <c r="I8" i="14" s="1"/>
  <c r="CN179" i="14"/>
  <c r="CN172" i="14"/>
  <c r="CN168" i="14"/>
  <c r="H71" i="14" s="1"/>
  <c r="I71" i="14" s="1"/>
  <c r="CN164" i="14"/>
  <c r="CN160" i="14"/>
  <c r="CN156" i="14"/>
  <c r="H29" i="14" s="1"/>
  <c r="I29" i="14" s="1"/>
  <c r="CN152" i="14"/>
  <c r="CN148" i="14"/>
  <c r="CN144" i="14"/>
  <c r="CN140" i="14"/>
  <c r="H21" i="14" s="1"/>
  <c r="I21" i="14" s="1"/>
  <c r="CN136" i="14"/>
  <c r="CN132" i="14"/>
  <c r="CN128" i="14"/>
  <c r="CN124" i="14"/>
  <c r="CN120" i="14"/>
  <c r="CN116" i="14"/>
  <c r="CN123" i="14"/>
  <c r="CO112" i="14"/>
  <c r="CO133" i="14"/>
  <c r="CO125" i="14"/>
  <c r="CO113" i="14"/>
  <c r="CO249" i="14"/>
  <c r="CO237" i="14"/>
  <c r="CO225" i="14"/>
  <c r="CO213" i="14"/>
  <c r="CO201" i="14"/>
  <c r="CO180" i="14"/>
  <c r="CO169" i="14"/>
  <c r="CO161" i="14"/>
  <c r="CO149" i="14"/>
  <c r="CO137" i="14"/>
  <c r="CN245" i="14"/>
  <c r="CO103" i="14"/>
  <c r="CO128" i="14"/>
  <c r="CO124" i="14"/>
  <c r="CO120" i="14"/>
  <c r="CO256" i="14"/>
  <c r="CO252" i="14"/>
  <c r="CO244" i="14"/>
  <c r="CO240" i="14"/>
  <c r="CO232" i="14"/>
  <c r="CO228" i="14"/>
  <c r="CO220" i="14"/>
  <c r="CO216" i="14"/>
  <c r="CO208" i="14"/>
  <c r="N9" i="14" s="1"/>
  <c r="O9" i="14" s="1"/>
  <c r="CO204" i="14"/>
  <c r="CO196" i="14"/>
  <c r="CO179" i="14"/>
  <c r="CO168" i="14"/>
  <c r="CO164" i="14"/>
  <c r="CO160" i="14"/>
  <c r="CO156" i="14"/>
  <c r="CO152" i="14"/>
  <c r="CO148" i="14"/>
  <c r="CO144" i="14"/>
  <c r="CO140" i="14"/>
  <c r="CO136" i="14"/>
  <c r="CN109" i="14"/>
  <c r="CN105" i="14"/>
  <c r="CO255" i="14"/>
  <c r="CO251" i="14"/>
  <c r="CO247" i="14"/>
  <c r="CO243" i="14"/>
  <c r="CO239" i="14"/>
  <c r="CO235" i="14"/>
  <c r="CO231" i="14"/>
  <c r="CO227" i="14"/>
  <c r="CO223" i="14"/>
  <c r="CO219" i="14"/>
  <c r="CO215" i="14"/>
  <c r="CO211" i="14"/>
  <c r="CO207" i="14"/>
  <c r="CO203" i="14"/>
  <c r="CO199" i="14"/>
  <c r="CO178" i="14"/>
  <c r="CO175" i="14"/>
  <c r="CO171" i="14"/>
  <c r="CO167" i="14"/>
  <c r="CO163" i="14"/>
  <c r="CO159" i="14"/>
  <c r="CO155" i="14"/>
  <c r="CO151" i="14"/>
  <c r="CO147" i="14"/>
  <c r="CO143" i="14"/>
  <c r="CO139" i="14"/>
  <c r="CN112" i="14"/>
  <c r="CN108" i="14"/>
  <c r="CN104" i="14"/>
  <c r="CO109" i="14"/>
  <c r="CN254" i="14"/>
  <c r="CN250" i="14"/>
  <c r="CN246" i="14"/>
  <c r="CN242" i="14"/>
  <c r="CN238" i="14"/>
  <c r="CN234" i="14"/>
  <c r="CN230" i="14"/>
  <c r="CN226" i="14"/>
  <c r="CN222" i="14"/>
  <c r="CN218" i="14"/>
  <c r="CN214" i="14"/>
  <c r="CN210" i="14"/>
  <c r="CN206" i="14"/>
  <c r="CN202" i="14"/>
  <c r="CN198" i="14"/>
  <c r="H43" i="14"/>
  <c r="I43" i="14" s="1"/>
  <c r="CN181" i="14"/>
  <c r="CN177" i="14"/>
  <c r="CN174" i="14"/>
  <c r="CN170" i="14"/>
  <c r="CN166" i="14"/>
  <c r="CN162" i="14"/>
  <c r="CN158" i="14"/>
  <c r="CN154" i="14"/>
  <c r="CN150" i="14"/>
  <c r="CN146" i="14"/>
  <c r="CN142" i="14"/>
  <c r="CN138" i="14"/>
  <c r="CN134" i="14"/>
  <c r="CN130" i="14"/>
  <c r="CN126" i="14"/>
  <c r="CN122" i="14"/>
  <c r="CN118" i="14"/>
  <c r="CN114" i="14"/>
  <c r="CO121" i="14"/>
  <c r="CO253" i="14"/>
  <c r="CO241" i="14"/>
  <c r="CO229" i="14"/>
  <c r="CO217" i="14"/>
  <c r="CO205" i="14"/>
  <c r="CO165" i="14"/>
  <c r="CO157" i="14"/>
  <c r="CO153" i="14"/>
  <c r="CO141" i="14"/>
  <c r="CN249" i="14"/>
  <c r="CN241" i="14"/>
  <c r="CN237" i="14"/>
  <c r="CN233" i="14"/>
  <c r="CN229" i="14"/>
  <c r="CN225" i="14"/>
  <c r="CN221" i="14"/>
  <c r="CN217" i="14"/>
  <c r="CN213" i="14"/>
  <c r="CN209" i="14"/>
  <c r="CN205" i="14"/>
  <c r="CN201" i="14"/>
  <c r="H81" i="14" s="1"/>
  <c r="I81" i="14" s="1"/>
  <c r="CN197" i="14"/>
  <c r="CN180" i="14"/>
  <c r="CN173" i="14"/>
  <c r="CN169" i="14"/>
  <c r="CN165" i="14"/>
  <c r="CN161" i="14"/>
  <c r="H59" i="14" s="1"/>
  <c r="I59" i="14" s="1"/>
  <c r="CN157" i="14"/>
  <c r="H51" i="14" s="1"/>
  <c r="I51" i="14" s="1"/>
  <c r="CN153" i="14"/>
  <c r="CN149" i="14"/>
  <c r="CN145" i="14"/>
  <c r="CN141" i="14"/>
  <c r="CN137" i="14"/>
  <c r="CN133" i="14"/>
  <c r="CN129" i="14"/>
  <c r="CN125" i="14"/>
  <c r="CN121" i="14"/>
  <c r="CN117" i="14"/>
  <c r="CN113" i="14"/>
  <c r="CO101" i="14"/>
  <c r="CO108" i="14"/>
  <c r="CO129" i="14"/>
  <c r="CO117" i="14"/>
  <c r="CO245" i="14"/>
  <c r="CO233" i="14"/>
  <c r="CO221" i="14"/>
  <c r="CO209" i="14"/>
  <c r="CO197" i="14"/>
  <c r="CO173" i="14"/>
  <c r="CO145" i="14"/>
  <c r="CN253" i="14"/>
  <c r="CO132" i="14"/>
  <c r="CO116" i="14"/>
  <c r="CO248" i="14"/>
  <c r="CO236" i="14"/>
  <c r="CO224" i="14"/>
  <c r="CO212" i="14"/>
  <c r="CO200" i="14"/>
  <c r="CO172" i="14"/>
  <c r="CN101" i="14"/>
  <c r="BI123" i="14"/>
  <c r="BG123" i="14"/>
  <c r="BE123" i="14"/>
  <c r="BI122" i="14"/>
  <c r="BG122" i="14"/>
  <c r="BE122" i="14"/>
  <c r="BI121" i="14"/>
  <c r="BG121" i="14"/>
  <c r="BE121" i="14"/>
  <c r="BI118" i="14"/>
  <c r="BG118" i="14"/>
  <c r="BE118" i="14"/>
  <c r="BI117" i="14"/>
  <c r="BG117" i="14"/>
  <c r="BE117" i="14"/>
  <c r="BI116" i="14"/>
  <c r="BG116" i="14"/>
  <c r="BE116" i="14"/>
  <c r="BI115" i="14"/>
  <c r="BG115" i="14"/>
  <c r="BE115" i="14"/>
  <c r="BI112" i="14"/>
  <c r="BG112" i="14"/>
  <c r="BE112" i="14"/>
  <c r="BI111" i="14"/>
  <c r="BG111" i="14"/>
  <c r="BE111" i="14"/>
  <c r="BI110" i="14"/>
  <c r="BG110" i="14"/>
  <c r="BE110" i="14"/>
  <c r="BI109" i="14"/>
  <c r="BG109" i="14"/>
  <c r="BE109" i="14"/>
  <c r="BI105" i="14"/>
  <c r="BG105" i="14"/>
  <c r="BE105" i="14"/>
  <c r="BI106" i="14"/>
  <c r="BG106" i="14"/>
  <c r="BE106" i="14"/>
  <c r="BI104" i="14"/>
  <c r="BG104" i="14"/>
  <c r="BE104" i="14"/>
  <c r="BI103" i="14"/>
  <c r="BG103" i="14"/>
  <c r="BE103" i="14"/>
  <c r="BE102" i="14"/>
  <c r="BG102" i="14"/>
  <c r="BI101" i="14"/>
  <c r="BG101" i="14"/>
  <c r="BE101" i="14"/>
  <c r="BJ98" i="14"/>
  <c r="BI98" i="14"/>
  <c r="BG98" i="14"/>
  <c r="BE98" i="14"/>
  <c r="BI97" i="14"/>
  <c r="BG97" i="14"/>
  <c r="BE97" i="14"/>
  <c r="BJ97" i="14"/>
  <c r="BJ96" i="14"/>
  <c r="BI96" i="14"/>
  <c r="BG96" i="14"/>
  <c r="BE96" i="14"/>
  <c r="BG88" i="14"/>
  <c r="BE95" i="14"/>
  <c r="BJ95" i="14"/>
  <c r="BI95" i="14"/>
  <c r="BG95" i="14"/>
  <c r="BI94" i="14"/>
  <c r="BG94" i="14"/>
  <c r="BE94" i="14"/>
  <c r="BI88" i="14"/>
  <c r="BE88" i="14"/>
  <c r="BI89" i="14"/>
  <c r="BG89" i="14"/>
  <c r="BE89" i="14"/>
  <c r="BI90" i="14"/>
  <c r="BG90" i="14"/>
  <c r="BE90" i="14"/>
  <c r="BJ88" i="14"/>
  <c r="BJ86" i="14"/>
  <c r="BI87" i="14"/>
  <c r="BG87" i="14"/>
  <c r="BE87" i="14"/>
  <c r="BG86" i="14"/>
  <c r="BE86" i="14"/>
  <c r="BJ85" i="14"/>
  <c r="BI85" i="14"/>
  <c r="BG85" i="14"/>
  <c r="BE85" i="14"/>
  <c r="AA34" i="14" l="1"/>
  <c r="AI34" i="14" s="1"/>
  <c r="AA38" i="14"/>
  <c r="AI38" i="14" s="1"/>
  <c r="AS51" i="14"/>
  <c r="AF8" i="14"/>
  <c r="AA8" i="14"/>
  <c r="AI33" i="14"/>
  <c r="AC80" i="14"/>
  <c r="AP80" i="14" s="1"/>
  <c r="AF80" i="14"/>
  <c r="AF9" i="14"/>
  <c r="AA9" i="14"/>
  <c r="AI9" i="14" s="1"/>
  <c r="AI55" i="14"/>
  <c r="AA5" i="14"/>
  <c r="AC5" i="14"/>
  <c r="AK5" i="14" s="1"/>
  <c r="AP5" i="14" s="1"/>
  <c r="AM140" i="14"/>
  <c r="AJ140" i="14" s="1"/>
  <c r="AL140" i="14" s="1"/>
  <c r="AM163" i="14"/>
  <c r="AJ163" i="14" s="1"/>
  <c r="AL163" i="14" s="1"/>
  <c r="AM113" i="14"/>
  <c r="AJ113" i="14" s="1"/>
  <c r="AL113" i="14" s="1"/>
  <c r="AM146" i="14"/>
  <c r="AJ146" i="14" s="1"/>
  <c r="AL146" i="14" s="1"/>
  <c r="AM132" i="14"/>
  <c r="AJ132" i="14" s="1"/>
  <c r="AL132" i="14" s="1"/>
  <c r="AM168" i="14"/>
  <c r="AJ168" i="14" s="1"/>
  <c r="AL168" i="14" s="1"/>
  <c r="AM124" i="14"/>
  <c r="AJ124" i="14" s="1"/>
  <c r="AL124" i="14" s="1"/>
  <c r="AM128" i="14"/>
  <c r="AJ128" i="14" s="1"/>
  <c r="AL128" i="14" s="1"/>
  <c r="AM158" i="14"/>
  <c r="AJ158" i="14" s="1"/>
  <c r="AL158" i="14" s="1"/>
  <c r="AM107" i="14"/>
  <c r="AJ107" i="14" s="1"/>
  <c r="AL107" i="14" s="1"/>
  <c r="AM153" i="14"/>
  <c r="AM136" i="14"/>
  <c r="AJ136" i="14" s="1"/>
  <c r="AL136" i="14" s="1"/>
  <c r="AM99" i="14"/>
  <c r="AJ99" i="14" s="1"/>
  <c r="AL99" i="14" s="1"/>
  <c r="AM119" i="14"/>
  <c r="AJ119" i="14" s="1"/>
  <c r="AL119" i="14" s="1"/>
  <c r="AM91" i="14"/>
  <c r="AJ91" i="14" s="1"/>
  <c r="AL91" i="14" s="1"/>
  <c r="H63" i="14"/>
  <c r="I63" i="14" s="1"/>
  <c r="N5" i="14"/>
  <c r="O5" i="14" s="1"/>
  <c r="H80" i="14"/>
  <c r="I80" i="14" s="1"/>
  <c r="H47" i="14"/>
  <c r="I47" i="14" s="1"/>
  <c r="CG146" i="14"/>
  <c r="CG147" i="14"/>
  <c r="CG148" i="14"/>
  <c r="CG149" i="14"/>
  <c r="CG150" i="14"/>
  <c r="CG151" i="14"/>
  <c r="CG152" i="14"/>
  <c r="CG153" i="14"/>
  <c r="CG154" i="14"/>
  <c r="CG155" i="14"/>
  <c r="CG156" i="14"/>
  <c r="CG157" i="14"/>
  <c r="Y51" i="14" s="1"/>
  <c r="Z51" i="14" s="1"/>
  <c r="CG158" i="14"/>
  <c r="CG159" i="14"/>
  <c r="CG160" i="14"/>
  <c r="CG161" i="14"/>
  <c r="CG162" i="14"/>
  <c r="CG163" i="14"/>
  <c r="CG164" i="14"/>
  <c r="Y67" i="14" s="1"/>
  <c r="Z67" i="14" s="1"/>
  <c r="F68" i="14" s="1"/>
  <c r="CG165" i="14"/>
  <c r="CG166" i="14"/>
  <c r="CG167" i="14"/>
  <c r="CG168" i="14"/>
  <c r="Y71" i="14" s="1"/>
  <c r="CG169" i="14"/>
  <c r="CG170" i="14"/>
  <c r="CG171" i="14"/>
  <c r="CG172" i="14"/>
  <c r="CG173" i="14"/>
  <c r="CG174" i="14"/>
  <c r="CG175" i="14"/>
  <c r="CG177" i="14"/>
  <c r="CG178" i="14"/>
  <c r="CG179" i="14"/>
  <c r="CG180" i="14"/>
  <c r="CG181" i="14"/>
  <c r="Y8" i="14"/>
  <c r="Z8" i="14" s="1"/>
  <c r="Y43" i="14"/>
  <c r="Z43" i="14" s="1"/>
  <c r="F44" i="14" s="1"/>
  <c r="Y25" i="14"/>
  <c r="Y55" i="14"/>
  <c r="Z55" i="14" s="1"/>
  <c r="F56" i="14" s="1"/>
  <c r="CG196" i="14"/>
  <c r="CG197" i="14"/>
  <c r="CG198" i="14"/>
  <c r="Y13" i="14" s="1"/>
  <c r="Z13" i="14" s="1"/>
  <c r="F14" i="14" s="1"/>
  <c r="AF14" i="14" s="1"/>
  <c r="CG199" i="14"/>
  <c r="CG200" i="14"/>
  <c r="CG201" i="14"/>
  <c r="Y81" i="14" s="1"/>
  <c r="Z81" i="14" s="1"/>
  <c r="F82" i="14" s="1"/>
  <c r="CG202" i="14"/>
  <c r="CG203" i="14"/>
  <c r="Y72" i="14" s="1"/>
  <c r="Z72" i="14" s="1"/>
  <c r="F73" i="14" s="1"/>
  <c r="CG204" i="14"/>
  <c r="CG205" i="14"/>
  <c r="CG206" i="14"/>
  <c r="Y17" i="14" s="1"/>
  <c r="Z17" i="14" s="1"/>
  <c r="F18" i="14" s="1"/>
  <c r="CG207" i="14"/>
  <c r="CG208" i="14"/>
  <c r="Y9" i="14" s="1"/>
  <c r="CG209" i="14"/>
  <c r="CG210" i="14"/>
  <c r="CG211" i="14"/>
  <c r="CG212" i="14"/>
  <c r="CG213" i="14"/>
  <c r="CG214" i="14"/>
  <c r="CG215" i="14"/>
  <c r="Y52" i="14" s="1"/>
  <c r="Z52" i="14" s="1"/>
  <c r="F52" i="14" s="1"/>
  <c r="CG216" i="14"/>
  <c r="CG105" i="14"/>
  <c r="CG106" i="14"/>
  <c r="CG107" i="14"/>
  <c r="CG108" i="14"/>
  <c r="CG109" i="14"/>
  <c r="CG110" i="14"/>
  <c r="CG111" i="14"/>
  <c r="CG112" i="14"/>
  <c r="CG113" i="14"/>
  <c r="CG114" i="14"/>
  <c r="CG115" i="14"/>
  <c r="CG116" i="14"/>
  <c r="CG117" i="14"/>
  <c r="CG118" i="14"/>
  <c r="CG119" i="14"/>
  <c r="CG120" i="14"/>
  <c r="CG121" i="14"/>
  <c r="CG122" i="14"/>
  <c r="CG123" i="14"/>
  <c r="CG124" i="14"/>
  <c r="CG125" i="14"/>
  <c r="CG126" i="14"/>
  <c r="CG127" i="14"/>
  <c r="CG128" i="14"/>
  <c r="CG129" i="14"/>
  <c r="Y42" i="14" s="1"/>
  <c r="Z42" i="14" s="1"/>
  <c r="CG130" i="14"/>
  <c r="CG131" i="14"/>
  <c r="CG132" i="14"/>
  <c r="CG133" i="14"/>
  <c r="CG134" i="14"/>
  <c r="CG135" i="14"/>
  <c r="CG136" i="14"/>
  <c r="CG137" i="14"/>
  <c r="CG138" i="14"/>
  <c r="CG139" i="14"/>
  <c r="CG140" i="14"/>
  <c r="CG141" i="14"/>
  <c r="CG142" i="14"/>
  <c r="CG143" i="14"/>
  <c r="CG144" i="14"/>
  <c r="CG102" i="14"/>
  <c r="CG103" i="14"/>
  <c r="CG104" i="14"/>
  <c r="CG101" i="14"/>
  <c r="BA165" i="14"/>
  <c r="BA118" i="14"/>
  <c r="BA122" i="14"/>
  <c r="BA123" i="14"/>
  <c r="BA126" i="14"/>
  <c r="BA127" i="14"/>
  <c r="BA130" i="14"/>
  <c r="BA131" i="14"/>
  <c r="BA134" i="14"/>
  <c r="BA135" i="14"/>
  <c r="BA138" i="14"/>
  <c r="BA139" i="14"/>
  <c r="BA142" i="14"/>
  <c r="BA143" i="14"/>
  <c r="BA144" i="14"/>
  <c r="BA148" i="14"/>
  <c r="BA149" i="14"/>
  <c r="BA150" i="14"/>
  <c r="BA151" i="14"/>
  <c r="BA152" i="14"/>
  <c r="BA155" i="14"/>
  <c r="BA156" i="14"/>
  <c r="BA157" i="14"/>
  <c r="BA160" i="14"/>
  <c r="BA161" i="14"/>
  <c r="BA162" i="14"/>
  <c r="BA166" i="14"/>
  <c r="BA167" i="14"/>
  <c r="BA115" i="14"/>
  <c r="BA116" i="14"/>
  <c r="BA117" i="14"/>
  <c r="BA102" i="14"/>
  <c r="BA103" i="14"/>
  <c r="BA104" i="14"/>
  <c r="BA105" i="14"/>
  <c r="BA106" i="14"/>
  <c r="BA109" i="14"/>
  <c r="BA110" i="14"/>
  <c r="BA111" i="14"/>
  <c r="BA112" i="14"/>
  <c r="BA86" i="14"/>
  <c r="BA87" i="14"/>
  <c r="BA88" i="14"/>
  <c r="BA89" i="14"/>
  <c r="BA90" i="14"/>
  <c r="BA93" i="14"/>
  <c r="BA94" i="14"/>
  <c r="BA95" i="14"/>
  <c r="BA96" i="14"/>
  <c r="BA97" i="14"/>
  <c r="BA98" i="14"/>
  <c r="BA101" i="14"/>
  <c r="BA85" i="14"/>
  <c r="AV76" i="14"/>
  <c r="AV80" i="14"/>
  <c r="AT80" i="14" s="1"/>
  <c r="AY80" i="14" s="1"/>
  <c r="AC168" i="14"/>
  <c r="BB168" i="14" s="1"/>
  <c r="AA168" i="14"/>
  <c r="AU167" i="14"/>
  <c r="AA167" i="14"/>
  <c r="AU166" i="14"/>
  <c r="AA166" i="14"/>
  <c r="AU165" i="14"/>
  <c r="AA165" i="14"/>
  <c r="AC163" i="14"/>
  <c r="AC162" i="14" s="1"/>
  <c r="AA163" i="14"/>
  <c r="AU162" i="14"/>
  <c r="AV162" i="14" s="1"/>
  <c r="AT162" i="14" s="1"/>
  <c r="AA162" i="14"/>
  <c r="AU161" i="14"/>
  <c r="AA161" i="14"/>
  <c r="AU160" i="14"/>
  <c r="AA160" i="14"/>
  <c r="AC158" i="14"/>
  <c r="AC157" i="14" s="1"/>
  <c r="AA158" i="14"/>
  <c r="AU157" i="14"/>
  <c r="AA157" i="14"/>
  <c r="AU156" i="14"/>
  <c r="AA156" i="14"/>
  <c r="AU155" i="14"/>
  <c r="AA155" i="14"/>
  <c r="AW153" i="14"/>
  <c r="AC153" i="14"/>
  <c r="AU152" i="14"/>
  <c r="AV152" i="14" s="1"/>
  <c r="AT152" i="14" s="1"/>
  <c r="AA152" i="14"/>
  <c r="AU151" i="14"/>
  <c r="AA151" i="14"/>
  <c r="AU150" i="14"/>
  <c r="AA150" i="14"/>
  <c r="AU149" i="14"/>
  <c r="AA149" i="14"/>
  <c r="AU148" i="14"/>
  <c r="AA148" i="14"/>
  <c r="AC146" i="14"/>
  <c r="AC144" i="14" s="1"/>
  <c r="AU144" i="14"/>
  <c r="AU143" i="14"/>
  <c r="AA143" i="14"/>
  <c r="AU142" i="14"/>
  <c r="AA142" i="14"/>
  <c r="AC140" i="14"/>
  <c r="AC139" i="14" s="1"/>
  <c r="AA140" i="14"/>
  <c r="AU139" i="14"/>
  <c r="AV139" i="14" s="1"/>
  <c r="AT139" i="14" s="1"/>
  <c r="AA139" i="14"/>
  <c r="AU138" i="14"/>
  <c r="AA138" i="14"/>
  <c r="AC136" i="14"/>
  <c r="AC135" i="14" s="1"/>
  <c r="AA136" i="14"/>
  <c r="AU135" i="14"/>
  <c r="AA135" i="14"/>
  <c r="AU134" i="14"/>
  <c r="AA134" i="14"/>
  <c r="AC132" i="14"/>
  <c r="AC131" i="14" s="1"/>
  <c r="AA132" i="14"/>
  <c r="AU131" i="14"/>
  <c r="AA131" i="14"/>
  <c r="AU130" i="14"/>
  <c r="AA130" i="14"/>
  <c r="AC128" i="14"/>
  <c r="AC127" i="14" s="1"/>
  <c r="AA128" i="14"/>
  <c r="AU127" i="14"/>
  <c r="AA127" i="14"/>
  <c r="AU126" i="14"/>
  <c r="AA126" i="14"/>
  <c r="AC124" i="14"/>
  <c r="AC123" i="14" s="1"/>
  <c r="AA124" i="14"/>
  <c r="AU123" i="14"/>
  <c r="AA123" i="14"/>
  <c r="AU122" i="14"/>
  <c r="BA121" i="14"/>
  <c r="AC119" i="14"/>
  <c r="AC118" i="14" s="1"/>
  <c r="AA119" i="14"/>
  <c r="AU118" i="14"/>
  <c r="AA118" i="14"/>
  <c r="AU117" i="14"/>
  <c r="AA117" i="14"/>
  <c r="AU116" i="14"/>
  <c r="AA116" i="14"/>
  <c r="AU115" i="14"/>
  <c r="AA115" i="14"/>
  <c r="AV114" i="14"/>
  <c r="AT114" i="14" s="1"/>
  <c r="AV113" i="14"/>
  <c r="AT113" i="14" s="1"/>
  <c r="AC113" i="14"/>
  <c r="AC112" i="14" s="1"/>
  <c r="AA113" i="14"/>
  <c r="AU112" i="14"/>
  <c r="AA112" i="14"/>
  <c r="AU111" i="14"/>
  <c r="AA111" i="14"/>
  <c r="AU110" i="14"/>
  <c r="AA110" i="14"/>
  <c r="AU109" i="14"/>
  <c r="AV109" i="14" s="1"/>
  <c r="AT109" i="14" s="1"/>
  <c r="AY109" i="14" s="1"/>
  <c r="AA109" i="14"/>
  <c r="AC107" i="14"/>
  <c r="AC106" i="14" s="1"/>
  <c r="AU106" i="14"/>
  <c r="AV106" i="14" s="1"/>
  <c r="AT106" i="14" s="1"/>
  <c r="AA106" i="14"/>
  <c r="AU105" i="14"/>
  <c r="AA105" i="14"/>
  <c r="AU104" i="14"/>
  <c r="AA104" i="14"/>
  <c r="AU103" i="14"/>
  <c r="AA103" i="14"/>
  <c r="AU102" i="14"/>
  <c r="AA102" i="14"/>
  <c r="AU101" i="14"/>
  <c r="AV101" i="14" s="1"/>
  <c r="AT101" i="14" s="1"/>
  <c r="AY101" i="14" s="1"/>
  <c r="AA101" i="14"/>
  <c r="AC99" i="14"/>
  <c r="AC98" i="14" s="1"/>
  <c r="AU98" i="14"/>
  <c r="AV98" i="14" s="1"/>
  <c r="AT98" i="14" s="1"/>
  <c r="AA98" i="14"/>
  <c r="AU97" i="14"/>
  <c r="AA97" i="14"/>
  <c r="AU96" i="14"/>
  <c r="AA96" i="14"/>
  <c r="AU95" i="14"/>
  <c r="AA95" i="14"/>
  <c r="AU94" i="14"/>
  <c r="AA94" i="14"/>
  <c r="AU93" i="14"/>
  <c r="AV93" i="14" s="1"/>
  <c r="AT93" i="14" s="1"/>
  <c r="AY93" i="14" s="1"/>
  <c r="AA93" i="14"/>
  <c r="AC91" i="14"/>
  <c r="AC90" i="14" s="1"/>
  <c r="AU90" i="14"/>
  <c r="AU89" i="14"/>
  <c r="AA89" i="14"/>
  <c r="AU88" i="14"/>
  <c r="AA88" i="14"/>
  <c r="AU87" i="14"/>
  <c r="AA87" i="14"/>
  <c r="AU86" i="14"/>
  <c r="AV86" i="14" s="1"/>
  <c r="AT86" i="14" s="1"/>
  <c r="AA86" i="14"/>
  <c r="AB91" i="14" s="1"/>
  <c r="AU85" i="14"/>
  <c r="AV85" i="14" s="1"/>
  <c r="Y38" i="14" l="1"/>
  <c r="Z38" i="14" s="1"/>
  <c r="F39" i="14" s="1"/>
  <c r="AV156" i="14"/>
  <c r="AT156" i="14" s="1"/>
  <c r="AV112" i="14"/>
  <c r="AT112" i="14" s="1"/>
  <c r="AY113" i="14" s="1"/>
  <c r="AV155" i="14"/>
  <c r="AT155" i="14" s="1"/>
  <c r="AY155" i="14" s="1"/>
  <c r="AV94" i="14"/>
  <c r="AT94" i="14" s="1"/>
  <c r="AY94" i="14" s="1"/>
  <c r="AJ153" i="14"/>
  <c r="AL153" i="14" s="1"/>
  <c r="Y76" i="14"/>
  <c r="Z76" i="14" s="1"/>
  <c r="F77" i="14" s="1"/>
  <c r="AC76" i="14" s="1"/>
  <c r="AK76" i="14" s="1"/>
  <c r="AP76" i="14" s="1"/>
  <c r="AS80" i="14"/>
  <c r="AS5" i="14"/>
  <c r="AE113" i="14"/>
  <c r="AE119" i="14"/>
  <c r="AE146" i="14"/>
  <c r="AC41" i="14"/>
  <c r="AK41" i="14" s="1"/>
  <c r="AP41" i="14" s="1"/>
  <c r="AF44" i="14"/>
  <c r="AA44" i="14"/>
  <c r="AA45" i="14"/>
  <c r="AI45" i="14" s="1"/>
  <c r="AV123" i="14"/>
  <c r="AT123" i="14" s="1"/>
  <c r="AY124" i="14" s="1"/>
  <c r="AE158" i="14"/>
  <c r="AF82" i="14"/>
  <c r="AA82" i="14"/>
  <c r="AI82" i="14" s="1"/>
  <c r="AA83" i="14"/>
  <c r="AI83" i="14" s="1"/>
  <c r="AI8" i="14"/>
  <c r="AC13" i="14"/>
  <c r="AK13" i="14" s="1"/>
  <c r="AP13" i="14" s="1"/>
  <c r="AA15" i="14"/>
  <c r="AI15" i="14" s="1"/>
  <c r="AA14" i="14"/>
  <c r="AI14" i="14" s="1"/>
  <c r="AE99" i="14"/>
  <c r="AV104" i="14"/>
  <c r="AT104" i="14" s="1"/>
  <c r="AE153" i="14"/>
  <c r="AE163" i="14"/>
  <c r="AC55" i="14"/>
  <c r="AK55" i="14" s="1"/>
  <c r="AP55" i="14" s="1"/>
  <c r="AF56" i="14"/>
  <c r="AA57" i="14"/>
  <c r="AI57" i="14" s="1"/>
  <c r="AA56" i="14"/>
  <c r="AC67" i="14"/>
  <c r="AK67" i="14" s="1"/>
  <c r="AP67" i="14" s="1"/>
  <c r="AF68" i="14"/>
  <c r="AA69" i="14"/>
  <c r="AI69" i="14" s="1"/>
  <c r="AA68" i="14"/>
  <c r="AI68" i="14" s="1"/>
  <c r="AE5" i="14"/>
  <c r="AI5" i="14"/>
  <c r="AC17" i="14"/>
  <c r="AK17" i="14" s="1"/>
  <c r="AP17" i="14" s="1"/>
  <c r="AF18" i="14"/>
  <c r="AA18" i="14"/>
  <c r="AI18" i="14" s="1"/>
  <c r="AA19" i="14"/>
  <c r="AI19" i="14" s="1"/>
  <c r="AE107" i="14"/>
  <c r="AE136" i="14"/>
  <c r="AE168" i="14"/>
  <c r="AB168" i="14" s="1"/>
  <c r="AF52" i="14"/>
  <c r="AA52" i="14"/>
  <c r="AI52" i="14" s="1"/>
  <c r="AA53" i="14"/>
  <c r="AI53" i="14" s="1"/>
  <c r="AC71" i="14"/>
  <c r="AK71" i="14" s="1"/>
  <c r="AP71" i="14" s="1"/>
  <c r="AF73" i="14"/>
  <c r="AA73" i="14"/>
  <c r="AI73" i="14" s="1"/>
  <c r="AA74" i="14"/>
  <c r="AI74" i="14" s="1"/>
  <c r="AV89" i="14"/>
  <c r="AT89" i="14" s="1"/>
  <c r="AV95" i="14"/>
  <c r="AT95" i="14" s="1"/>
  <c r="AV131" i="14"/>
  <c r="AT131" i="14" s="1"/>
  <c r="AY132" i="14" s="1"/>
  <c r="AV90" i="14"/>
  <c r="AT90" i="14" s="1"/>
  <c r="AY91" i="14" s="1"/>
  <c r="Y63" i="14"/>
  <c r="Z63" i="14" s="1"/>
  <c r="F64" i="14" s="1"/>
  <c r="AA51" i="14"/>
  <c r="AV105" i="14"/>
  <c r="AT105" i="14" s="1"/>
  <c r="AY106" i="14" s="1"/>
  <c r="AV116" i="14"/>
  <c r="AY116" i="14" s="1"/>
  <c r="AV96" i="14"/>
  <c r="AT96" i="14" s="1"/>
  <c r="AV103" i="14"/>
  <c r="AT103" i="14" s="1"/>
  <c r="AV110" i="14"/>
  <c r="AT110" i="14" s="1"/>
  <c r="AV118" i="14"/>
  <c r="AY118" i="14" s="1"/>
  <c r="AV122" i="14"/>
  <c r="AT122" i="14" s="1"/>
  <c r="AV127" i="14"/>
  <c r="AT127" i="14" s="1"/>
  <c r="AY128" i="14" s="1"/>
  <c r="AV135" i="14"/>
  <c r="AT135" i="14" s="1"/>
  <c r="AY136" i="14" s="1"/>
  <c r="AV88" i="14"/>
  <c r="AT88" i="14" s="1"/>
  <c r="Y59" i="14"/>
  <c r="Z59" i="14" s="1"/>
  <c r="F60" i="14" s="1"/>
  <c r="Y34" i="14"/>
  <c r="Y21" i="14"/>
  <c r="Z21" i="14" s="1"/>
  <c r="F22" i="14" s="1"/>
  <c r="Y33" i="14"/>
  <c r="Z33" i="14" s="1"/>
  <c r="Y29" i="14"/>
  <c r="Z9" i="14"/>
  <c r="F10" i="14" s="1"/>
  <c r="AV97" i="14"/>
  <c r="AT97" i="14" s="1"/>
  <c r="Z25" i="14"/>
  <c r="F26" i="14" s="1"/>
  <c r="AV117" i="14"/>
  <c r="AY117" i="14" s="1"/>
  <c r="AA13" i="14"/>
  <c r="AV87" i="14"/>
  <c r="AT87" i="14" s="1"/>
  <c r="AY87" i="14" s="1"/>
  <c r="AV111" i="14"/>
  <c r="AT111" i="14" s="1"/>
  <c r="AV144" i="14"/>
  <c r="AT144" i="14" s="1"/>
  <c r="AY146" i="14" s="1"/>
  <c r="AV150" i="14"/>
  <c r="AT150" i="14" s="1"/>
  <c r="Y80" i="14"/>
  <c r="Z80" i="14" s="1"/>
  <c r="Y47" i="14"/>
  <c r="Z47" i="14" s="1"/>
  <c r="F48" i="14" s="1"/>
  <c r="Z71" i="14"/>
  <c r="AV115" i="14"/>
  <c r="AT115" i="14" s="1"/>
  <c r="AY115" i="14" s="1"/>
  <c r="AV134" i="14"/>
  <c r="AT134" i="14" s="1"/>
  <c r="AY134" i="14" s="1"/>
  <c r="AA76" i="14"/>
  <c r="AZ80" i="14"/>
  <c r="AW80" i="14"/>
  <c r="AX80" i="14" s="1"/>
  <c r="AV149" i="14"/>
  <c r="AT149" i="14" s="1"/>
  <c r="AT85" i="14"/>
  <c r="AY85" i="14" s="1"/>
  <c r="AV151" i="14"/>
  <c r="AT151" i="14" s="1"/>
  <c r="AY152" i="14" s="1"/>
  <c r="AV102" i="14"/>
  <c r="AT102" i="14" s="1"/>
  <c r="AY102" i="14" s="1"/>
  <c r="AV130" i="14"/>
  <c r="AT130" i="14" s="1"/>
  <c r="AY130" i="14" s="1"/>
  <c r="AV142" i="14"/>
  <c r="AT142" i="14" s="1"/>
  <c r="AY142" i="14" s="1"/>
  <c r="AV138" i="14"/>
  <c r="AT138" i="14" s="1"/>
  <c r="AY138" i="14" s="1"/>
  <c r="AX153" i="14"/>
  <c r="AE128" i="14"/>
  <c r="AE140" i="14"/>
  <c r="AV161" i="14"/>
  <c r="AT161" i="14" s="1"/>
  <c r="AY162" i="14" s="1"/>
  <c r="BB118" i="14"/>
  <c r="AC117" i="14"/>
  <c r="BG135" i="14"/>
  <c r="BI135" i="14"/>
  <c r="BE135" i="14"/>
  <c r="BB135" i="14"/>
  <c r="AC134" i="14"/>
  <c r="AC133" i="14" s="1"/>
  <c r="BB90" i="14"/>
  <c r="AC89" i="14"/>
  <c r="BB89" i="14" s="1"/>
  <c r="AC111" i="14"/>
  <c r="BB111" i="14" s="1"/>
  <c r="BB112" i="14"/>
  <c r="BB123" i="14"/>
  <c r="AC122" i="14"/>
  <c r="AC121" i="14" s="1"/>
  <c r="AC120" i="14" s="1"/>
  <c r="BI131" i="14"/>
  <c r="BE131" i="14"/>
  <c r="BG131" i="14"/>
  <c r="BB131" i="14"/>
  <c r="AC130" i="14"/>
  <c r="BB130" i="14" s="1"/>
  <c r="BI162" i="14"/>
  <c r="BE162" i="14"/>
  <c r="BG162" i="14"/>
  <c r="AC161" i="14"/>
  <c r="BB162" i="14"/>
  <c r="BB98" i="14"/>
  <c r="AC97" i="14"/>
  <c r="BI139" i="14"/>
  <c r="BG139" i="14"/>
  <c r="BE139" i="14"/>
  <c r="BB139" i="14"/>
  <c r="AC138" i="14"/>
  <c r="BB138" i="14" s="1"/>
  <c r="BE127" i="14"/>
  <c r="BI127" i="14"/>
  <c r="BG127" i="14"/>
  <c r="AC126" i="14"/>
  <c r="BE126" i="14" s="1"/>
  <c r="BB127" i="14"/>
  <c r="BB106" i="14"/>
  <c r="AC105" i="14"/>
  <c r="AC104" i="14" s="1"/>
  <c r="AC103" i="14" s="1"/>
  <c r="BB103" i="14" s="1"/>
  <c r="AC167" i="14"/>
  <c r="AV126" i="14"/>
  <c r="AT126" i="14" s="1"/>
  <c r="AY126" i="14" s="1"/>
  <c r="AE132" i="14"/>
  <c r="BI157" i="14"/>
  <c r="BE157" i="14"/>
  <c r="BG157" i="14"/>
  <c r="AC152" i="14"/>
  <c r="AV157" i="14"/>
  <c r="AT157" i="14" s="1"/>
  <c r="BG144" i="14"/>
  <c r="BE144" i="14"/>
  <c r="BI144" i="14"/>
  <c r="BB157" i="14"/>
  <c r="AC156" i="14"/>
  <c r="AV148" i="14"/>
  <c r="AT148" i="14" s="1"/>
  <c r="AY148" i="14" s="1"/>
  <c r="AV160" i="14"/>
  <c r="AT160" i="14" s="1"/>
  <c r="AY160" i="14" s="1"/>
  <c r="AV167" i="14"/>
  <c r="AT167" i="14" s="1"/>
  <c r="AY168" i="14" s="1"/>
  <c r="AV143" i="14"/>
  <c r="AT143" i="14" s="1"/>
  <c r="AV166" i="14"/>
  <c r="AT166" i="14" s="1"/>
  <c r="AV165" i="14"/>
  <c r="AT165" i="14" s="1"/>
  <c r="AY165" i="14" s="1"/>
  <c r="AC143" i="14"/>
  <c r="BB144" i="14"/>
  <c r="AY99" i="14"/>
  <c r="AY140" i="14"/>
  <c r="AY153" i="14"/>
  <c r="AY163" i="14"/>
  <c r="AY107" i="14"/>
  <c r="AU121" i="14"/>
  <c r="AV121" i="14" s="1"/>
  <c r="AT121" i="14" s="1"/>
  <c r="AY121" i="14" s="1"/>
  <c r="AA122" i="14"/>
  <c r="AA121" i="14"/>
  <c r="AA39" i="14" l="1"/>
  <c r="AI39" i="14" s="1"/>
  <c r="AA40" i="14"/>
  <c r="AI40" i="14" s="1"/>
  <c r="AC38" i="14"/>
  <c r="AK38" i="14" s="1"/>
  <c r="AP38" i="14" s="1"/>
  <c r="AF39" i="14"/>
  <c r="Z34" i="14"/>
  <c r="F35" i="14" s="1"/>
  <c r="AY157" i="14"/>
  <c r="AY156" i="14"/>
  <c r="AY112" i="14"/>
  <c r="AY104" i="14"/>
  <c r="AY105" i="14"/>
  <c r="AY123" i="14"/>
  <c r="AA78" i="14"/>
  <c r="AI78" i="14" s="1"/>
  <c r="AY95" i="14"/>
  <c r="AF77" i="14"/>
  <c r="AS76" i="14"/>
  <c r="AE124" i="14"/>
  <c r="AA77" i="14"/>
  <c r="AI77" i="14" s="1"/>
  <c r="AS41" i="14"/>
  <c r="AS17" i="14"/>
  <c r="AS13" i="14"/>
  <c r="AS71" i="14"/>
  <c r="AS67" i="14"/>
  <c r="AS55" i="14"/>
  <c r="AT76" i="14"/>
  <c r="AY76" i="14" s="1"/>
  <c r="AW76" i="14" s="1"/>
  <c r="AX76" i="14" s="1"/>
  <c r="AC8" i="14"/>
  <c r="AK8" i="14" s="1"/>
  <c r="AP8" i="14" s="1"/>
  <c r="AF10" i="14"/>
  <c r="AA11" i="14"/>
  <c r="AI11" i="14" s="1"/>
  <c r="AA10" i="14"/>
  <c r="AI56" i="14"/>
  <c r="AE55" i="14"/>
  <c r="AM55" i="14" s="1"/>
  <c r="AJ55" i="14" s="1"/>
  <c r="AI44" i="14"/>
  <c r="AE41" i="14"/>
  <c r="AM41" i="14" s="1"/>
  <c r="AJ42" i="14" s="1"/>
  <c r="AL41" i="14" s="1"/>
  <c r="AC21" i="14"/>
  <c r="AK21" i="14" s="1"/>
  <c r="AP21" i="14" s="1"/>
  <c r="AF22" i="14"/>
  <c r="AA22" i="14"/>
  <c r="AI22" i="14" s="1"/>
  <c r="AA23" i="14"/>
  <c r="AI23" i="14" s="1"/>
  <c r="AC63" i="14"/>
  <c r="AK63" i="14" s="1"/>
  <c r="AP63" i="14" s="1"/>
  <c r="AF64" i="14"/>
  <c r="AA64" i="14"/>
  <c r="AI64" i="14" s="1"/>
  <c r="AA65" i="14"/>
  <c r="AI65" i="14" s="1"/>
  <c r="AI76" i="14"/>
  <c r="AC59" i="14"/>
  <c r="AK59" i="14" s="1"/>
  <c r="AP59" i="14" s="1"/>
  <c r="AF60" i="14"/>
  <c r="AA60" i="14"/>
  <c r="AI60" i="14" s="1"/>
  <c r="AA61" i="14"/>
  <c r="AI61" i="14" s="1"/>
  <c r="AE51" i="14"/>
  <c r="AM51" i="14" s="1"/>
  <c r="AI51" i="14"/>
  <c r="AE13" i="14"/>
  <c r="AI13" i="14"/>
  <c r="AC47" i="14"/>
  <c r="AK47" i="14" s="1"/>
  <c r="AP47" i="14" s="1"/>
  <c r="AF48" i="14"/>
  <c r="AA49" i="14"/>
  <c r="AI49" i="14" s="1"/>
  <c r="AA48" i="14"/>
  <c r="AI48" i="14" s="1"/>
  <c r="AC25" i="14"/>
  <c r="AK25" i="14" s="1"/>
  <c r="AP25" i="14" s="1"/>
  <c r="AF26" i="14"/>
  <c r="AA26" i="14"/>
  <c r="AI26" i="14" s="1"/>
  <c r="AA27" i="14"/>
  <c r="AI27" i="14" s="1"/>
  <c r="AB5" i="14"/>
  <c r="AD5" i="14" s="1"/>
  <c r="AM5" i="14"/>
  <c r="AJ5" i="14" s="1"/>
  <c r="AL5" i="14" s="1"/>
  <c r="AY90" i="14"/>
  <c r="AY96" i="14"/>
  <c r="AY89" i="14"/>
  <c r="AA67" i="14"/>
  <c r="F71" i="14"/>
  <c r="AA71" i="14" s="1"/>
  <c r="AT116" i="14"/>
  <c r="AY150" i="14"/>
  <c r="AB146" i="14"/>
  <c r="AD146" i="14" s="1"/>
  <c r="AD168" i="14"/>
  <c r="AA17" i="14"/>
  <c r="AB158" i="14"/>
  <c r="AD158" i="14" s="1"/>
  <c r="AB132" i="14"/>
  <c r="AD132" i="14" s="1"/>
  <c r="AB128" i="14"/>
  <c r="AD128" i="14" s="1"/>
  <c r="AB107" i="14"/>
  <c r="AD107" i="14" s="1"/>
  <c r="AT118" i="14"/>
  <c r="AY119" i="14" s="1"/>
  <c r="AZ119" i="14" s="1"/>
  <c r="AW119" i="14" s="1"/>
  <c r="AX119" i="14" s="1"/>
  <c r="AB119" i="14"/>
  <c r="AD119" i="14" s="1"/>
  <c r="AB113" i="14"/>
  <c r="AD113" i="14" s="1"/>
  <c r="AB153" i="14"/>
  <c r="AD153" i="14" s="1"/>
  <c r="AB140" i="14"/>
  <c r="AD140" i="14" s="1"/>
  <c r="AY88" i="14"/>
  <c r="AB136" i="14"/>
  <c r="AD136" i="14" s="1"/>
  <c r="AB99" i="14"/>
  <c r="AD99" i="14" s="1"/>
  <c r="AB163" i="14"/>
  <c r="AD163" i="14" s="1"/>
  <c r="AD91" i="14"/>
  <c r="AT117" i="14"/>
  <c r="AA80" i="14"/>
  <c r="AA81" i="14"/>
  <c r="AI81" i="14" s="1"/>
  <c r="AY97" i="14"/>
  <c r="AY111" i="14"/>
  <c r="AY110" i="14"/>
  <c r="AY98" i="14"/>
  <c r="AY144" i="14"/>
  <c r="Z29" i="14"/>
  <c r="F30" i="14" s="1"/>
  <c r="AA21" i="14"/>
  <c r="AA25" i="14"/>
  <c r="AY151" i="14"/>
  <c r="AA47" i="14"/>
  <c r="AY135" i="14"/>
  <c r="AZ136" i="14" s="1"/>
  <c r="AW136" i="14" s="1"/>
  <c r="AX136" i="14" s="1"/>
  <c r="AC88" i="14"/>
  <c r="AC87" i="14" s="1"/>
  <c r="AY86" i="14"/>
  <c r="BB126" i="14"/>
  <c r="AY103" i="14"/>
  <c r="BG126" i="14"/>
  <c r="AC125" i="14"/>
  <c r="AY131" i="14"/>
  <c r="AZ132" i="14" s="1"/>
  <c r="AW132" i="14" s="1"/>
  <c r="AX132" i="14" s="1"/>
  <c r="AY127" i="14"/>
  <c r="AZ128" i="14" s="1"/>
  <c r="AW128" i="14" s="1"/>
  <c r="AX128" i="14" s="1"/>
  <c r="AY161" i="14"/>
  <c r="AZ163" i="14" s="1"/>
  <c r="AW163" i="14" s="1"/>
  <c r="AX163" i="14" s="1"/>
  <c r="AC102" i="14"/>
  <c r="AC101" i="14" s="1"/>
  <c r="AY158" i="14"/>
  <c r="AY139" i="14"/>
  <c r="AZ140" i="14" s="1"/>
  <c r="AW140" i="14" s="1"/>
  <c r="AX140" i="14" s="1"/>
  <c r="BB121" i="14"/>
  <c r="AY143" i="14"/>
  <c r="BI126" i="14"/>
  <c r="AY122" i="14"/>
  <c r="AY167" i="14"/>
  <c r="BB105" i="14"/>
  <c r="AC151" i="14"/>
  <c r="BI152" i="14"/>
  <c r="BG152" i="14"/>
  <c r="BE152" i="14"/>
  <c r="AY149" i="14"/>
  <c r="BB134" i="14"/>
  <c r="BB104" i="14"/>
  <c r="BB122" i="14"/>
  <c r="AC110" i="14"/>
  <c r="AC109" i="14" s="1"/>
  <c r="BB152" i="14"/>
  <c r="BG156" i="14"/>
  <c r="BE156" i="14"/>
  <c r="BI156" i="14"/>
  <c r="AC137" i="14"/>
  <c r="BI138" i="14"/>
  <c r="BG138" i="14"/>
  <c r="BE138" i="14"/>
  <c r="AC160" i="14"/>
  <c r="BE161" i="14"/>
  <c r="BG161" i="14"/>
  <c r="BI161" i="14"/>
  <c r="BB161" i="14"/>
  <c r="BG143" i="14"/>
  <c r="BE143" i="14"/>
  <c r="BI143" i="14"/>
  <c r="AC96" i="14"/>
  <c r="BB97" i="14"/>
  <c r="BI167" i="14"/>
  <c r="BE167" i="14"/>
  <c r="BG167" i="14"/>
  <c r="BB167" i="14"/>
  <c r="AC166" i="14"/>
  <c r="AC129" i="14"/>
  <c r="BI130" i="14"/>
  <c r="BE130" i="14"/>
  <c r="BG130" i="14"/>
  <c r="BB117" i="14"/>
  <c r="AC116" i="14"/>
  <c r="AC155" i="14"/>
  <c r="BB156" i="14"/>
  <c r="AY166" i="14"/>
  <c r="AC142" i="14"/>
  <c r="BB143" i="14"/>
  <c r="AS38" i="14" l="1"/>
  <c r="AE38" i="14"/>
  <c r="AM38" i="14" s="1"/>
  <c r="AJ38" i="14" s="1"/>
  <c r="AL38" i="14" s="1"/>
  <c r="AC33" i="14"/>
  <c r="AK33" i="14" s="1"/>
  <c r="AP33" i="14" s="1"/>
  <c r="AF35" i="14"/>
  <c r="AA36" i="14"/>
  <c r="AI36" i="14" s="1"/>
  <c r="AA35" i="14"/>
  <c r="AZ158" i="14"/>
  <c r="AW158" i="14" s="1"/>
  <c r="AX158" i="14" s="1"/>
  <c r="AZ107" i="14"/>
  <c r="AW107" i="14" s="1"/>
  <c r="AX107" i="14" s="1"/>
  <c r="AZ76" i="14"/>
  <c r="AZ124" i="14"/>
  <c r="AW124" i="14" s="1"/>
  <c r="AX124" i="14" s="1"/>
  <c r="AB55" i="14"/>
  <c r="AD55" i="14" s="1"/>
  <c r="AE76" i="14"/>
  <c r="AM76" i="14" s="1"/>
  <c r="AJ76" i="14" s="1"/>
  <c r="AL76" i="14" s="1"/>
  <c r="AZ91" i="14"/>
  <c r="AW91" i="14" s="1"/>
  <c r="AX91" i="14" s="1"/>
  <c r="AS47" i="14"/>
  <c r="AS63" i="14"/>
  <c r="AS21" i="14"/>
  <c r="AS25" i="14"/>
  <c r="AS59" i="14"/>
  <c r="AS8" i="14"/>
  <c r="AB51" i="14"/>
  <c r="AD51" i="14" s="1"/>
  <c r="AB38" i="14"/>
  <c r="AD38" i="14" s="1"/>
  <c r="AI71" i="14"/>
  <c r="AI17" i="14"/>
  <c r="AE17" i="14"/>
  <c r="AF71" i="14"/>
  <c r="AA72" i="14"/>
  <c r="AI72" i="14" s="1"/>
  <c r="AE25" i="14"/>
  <c r="AM25" i="14" s="1"/>
  <c r="AJ25" i="14" s="1"/>
  <c r="AL25" i="14" s="1"/>
  <c r="AI25" i="14"/>
  <c r="AE67" i="14"/>
  <c r="AM67" i="14" s="1"/>
  <c r="AJ67" i="14" s="1"/>
  <c r="AL67" i="14" s="1"/>
  <c r="AI67" i="14"/>
  <c r="AI10" i="14"/>
  <c r="AE8" i="14"/>
  <c r="AE21" i="14"/>
  <c r="AI21" i="14"/>
  <c r="AE80" i="14"/>
  <c r="AM80" i="14" s="1"/>
  <c r="AJ80" i="14" s="1"/>
  <c r="AL80" i="14" s="1"/>
  <c r="AI80" i="14"/>
  <c r="AB13" i="14"/>
  <c r="AD13" i="14" s="1"/>
  <c r="AM13" i="14"/>
  <c r="AJ13" i="14" s="1"/>
  <c r="AL13" i="14" s="1"/>
  <c r="AE47" i="14"/>
  <c r="AM47" i="14" s="1"/>
  <c r="AJ47" i="14" s="1"/>
  <c r="AL47" i="14" s="1"/>
  <c r="AI47" i="14"/>
  <c r="AC29" i="14"/>
  <c r="AK29" i="14" s="1"/>
  <c r="AP29" i="14" s="1"/>
  <c r="AF30" i="14"/>
  <c r="AA31" i="14"/>
  <c r="AI31" i="14" s="1"/>
  <c r="AA30" i="14"/>
  <c r="AI30" i="14" s="1"/>
  <c r="AI35" i="14"/>
  <c r="AL55" i="14"/>
  <c r="AA59" i="14"/>
  <c r="AA63" i="14"/>
  <c r="AJ51" i="14"/>
  <c r="AL51" i="14" s="1"/>
  <c r="AZ99" i="14"/>
  <c r="AW99" i="14" s="1"/>
  <c r="AX99" i="14" s="1"/>
  <c r="AZ146" i="14"/>
  <c r="AW146" i="14" s="1"/>
  <c r="AX146" i="14" s="1"/>
  <c r="AB124" i="14"/>
  <c r="AD124" i="14" s="1"/>
  <c r="AB41" i="14"/>
  <c r="AD41" i="14" s="1"/>
  <c r="AZ113" i="14"/>
  <c r="AW113" i="14" s="1"/>
  <c r="AX113" i="14" s="1"/>
  <c r="AA29" i="14"/>
  <c r="BB88" i="14"/>
  <c r="BB102" i="14"/>
  <c r="AZ168" i="14"/>
  <c r="AW168" i="14" s="1"/>
  <c r="AX168" i="14" s="1"/>
  <c r="BB110" i="14"/>
  <c r="BI142" i="14"/>
  <c r="BG142" i="14"/>
  <c r="BE142" i="14"/>
  <c r="AC115" i="14"/>
  <c r="BB116" i="14"/>
  <c r="AC95" i="14"/>
  <c r="BB96" i="14"/>
  <c r="AC159" i="14"/>
  <c r="BB160" i="14"/>
  <c r="BI151" i="14"/>
  <c r="BG151" i="14"/>
  <c r="BE151" i="14"/>
  <c r="AC150" i="14"/>
  <c r="BB151" i="14"/>
  <c r="BG155" i="14"/>
  <c r="BE155" i="14"/>
  <c r="BI155" i="14"/>
  <c r="AC165" i="14"/>
  <c r="BI166" i="14"/>
  <c r="BG166" i="14"/>
  <c r="BE166" i="14"/>
  <c r="BB166" i="14"/>
  <c r="AC154" i="14"/>
  <c r="BB155" i="14"/>
  <c r="AC100" i="14"/>
  <c r="BB101" i="14"/>
  <c r="AC108" i="14"/>
  <c r="BB109" i="14"/>
  <c r="AC86" i="14"/>
  <c r="BB87" i="14"/>
  <c r="AC141" i="14"/>
  <c r="BB142" i="14"/>
  <c r="AE33" i="14" l="1"/>
  <c r="AM33" i="14" s="1"/>
  <c r="AJ33" i="14" s="1"/>
  <c r="AL33" i="14" s="1"/>
  <c r="AS33" i="14"/>
  <c r="AB76" i="14"/>
  <c r="AD76" i="14" s="1"/>
  <c r="AB47" i="14"/>
  <c r="AD47" i="14" s="1"/>
  <c r="AS29" i="14"/>
  <c r="AB80" i="14"/>
  <c r="AD80" i="14" s="1"/>
  <c r="AB67" i="14"/>
  <c r="AD67" i="14" s="1"/>
  <c r="AB8" i="14"/>
  <c r="AD8" i="14" s="1"/>
  <c r="AM8" i="14"/>
  <c r="AB25" i="14"/>
  <c r="AD25" i="14" s="1"/>
  <c r="AB17" i="14"/>
  <c r="AD17" i="14" s="1"/>
  <c r="AM17" i="14"/>
  <c r="AJ17" i="14" s="1"/>
  <c r="AL17" i="14" s="1"/>
  <c r="AE29" i="14"/>
  <c r="AM29" i="14" s="1"/>
  <c r="AJ29" i="14" s="1"/>
  <c r="AL29" i="14" s="1"/>
  <c r="AI29" i="14"/>
  <c r="AE59" i="14"/>
  <c r="AM59" i="14" s="1"/>
  <c r="AJ59" i="14" s="1"/>
  <c r="AI59" i="14"/>
  <c r="AE63" i="14"/>
  <c r="AM63" i="14" s="1"/>
  <c r="AJ63" i="14" s="1"/>
  <c r="AL63" i="14" s="1"/>
  <c r="AI63" i="14"/>
  <c r="AB21" i="14"/>
  <c r="AD21" i="14" s="1"/>
  <c r="AM21" i="14"/>
  <c r="AJ21" i="14" s="1"/>
  <c r="AL21" i="14" s="1"/>
  <c r="AE71" i="14"/>
  <c r="AB33" i="14"/>
  <c r="AD33" i="14" s="1"/>
  <c r="BI150" i="14"/>
  <c r="BG150" i="14"/>
  <c r="BE150" i="14"/>
  <c r="AC149" i="14"/>
  <c r="BB150" i="14"/>
  <c r="AC114" i="14"/>
  <c r="BB115" i="14"/>
  <c r="AC164" i="14"/>
  <c r="BI165" i="14"/>
  <c r="BG165" i="14"/>
  <c r="BE165" i="14"/>
  <c r="BB165" i="14"/>
  <c r="AC94" i="14"/>
  <c r="BB95" i="14"/>
  <c r="AC85" i="14"/>
  <c r="BB86" i="14"/>
  <c r="AB63" i="14" l="1"/>
  <c r="AD63" i="14" s="1"/>
  <c r="AJ8" i="14"/>
  <c r="AL8" i="14" s="1"/>
  <c r="AB29" i="14"/>
  <c r="AD29" i="14" s="1"/>
  <c r="AM71" i="14"/>
  <c r="AJ71" i="14" s="1"/>
  <c r="AL71" i="14" s="1"/>
  <c r="AB71" i="14"/>
  <c r="AD71" i="14" s="1"/>
  <c r="AB59" i="14"/>
  <c r="AD59" i="14" s="1"/>
  <c r="AL59" i="14"/>
  <c r="BG149" i="14"/>
  <c r="BE149" i="14"/>
  <c r="BI149" i="14"/>
  <c r="BB149" i="14"/>
  <c r="AC148" i="14"/>
  <c r="AC93" i="14"/>
  <c r="BB94" i="14"/>
  <c r="AC84" i="14"/>
  <c r="BB85" i="14"/>
  <c r="AC92" i="14" l="1"/>
  <c r="BB93" i="14"/>
  <c r="BE148" i="14"/>
  <c r="BI148" i="14"/>
  <c r="BG148" i="14"/>
  <c r="AC147" i="14"/>
  <c r="BB148" i="14"/>
</calcChain>
</file>

<file path=xl/sharedStrings.xml><?xml version="1.0" encoding="utf-8"?>
<sst xmlns="http://schemas.openxmlformats.org/spreadsheetml/2006/main" count="189" uniqueCount="98">
  <si>
    <t>Survey Date</t>
  </si>
  <si>
    <t>Year</t>
  </si>
  <si>
    <t>AUC</t>
  </si>
  <si>
    <t>Survey Efficiency</t>
  </si>
  <si>
    <t>Day of run</t>
  </si>
  <si>
    <t>Peak / population ratio</t>
  </si>
  <si>
    <t>Day</t>
  </si>
  <si>
    <t>Partial Area</t>
  </si>
  <si>
    <t>Y=(((0.0523)X)-0.0028)</t>
  </si>
  <si>
    <t>Relationship 1</t>
  </si>
  <si>
    <t>Annual AUC (fish days)</t>
  </si>
  <si>
    <t>OE calibrated - Relationship #</t>
  </si>
  <si>
    <t>Unadjusted flow on survey day</t>
  </si>
  <si>
    <t>Syurvey day / unadjusted flow</t>
  </si>
  <si>
    <t>Corrected count</t>
  </si>
  <si>
    <t>Partial Area (fish/days)</t>
  </si>
  <si>
    <t>Annual AUC (fish/days)</t>
  </si>
  <si>
    <t>Popn</t>
  </si>
  <si>
    <t>Res time =</t>
  </si>
  <si>
    <t>Res time=</t>
  </si>
  <si>
    <t>Peak count population ratio</t>
  </si>
  <si>
    <t>Annual Peak count</t>
  </si>
  <si>
    <t>Population estimate (AUC)</t>
  </si>
  <si>
    <t>Time standardized</t>
  </si>
  <si>
    <t>fraction of peak count</t>
  </si>
  <si>
    <t xml:space="preserve">Poly </t>
  </si>
  <si>
    <t>linear</t>
  </si>
  <si>
    <t>Peak count ratio and survey day lookup function</t>
  </si>
  <si>
    <t>Percent of run</t>
  </si>
  <si>
    <t>For surveys before stat day 123</t>
  </si>
  <si>
    <t>Linear function</t>
  </si>
  <si>
    <t>Area standardization</t>
  </si>
  <si>
    <t>Section 1 (upper)</t>
  </si>
  <si>
    <t>Section 3 (lower)</t>
  </si>
  <si>
    <t>Section 2 (middle)</t>
  </si>
  <si>
    <t>Section 4 (South F)</t>
  </si>
  <si>
    <t>Solve for unknown  survey sections</t>
  </si>
  <si>
    <t>Section 1</t>
  </si>
  <si>
    <t>Lower</t>
  </si>
  <si>
    <t>Section 2</t>
  </si>
  <si>
    <t>Middle</t>
  </si>
  <si>
    <t>Section 3</t>
  </si>
  <si>
    <t>Upper</t>
  </si>
  <si>
    <t>Section 1 and 2</t>
  </si>
  <si>
    <t>Lower and Middle</t>
  </si>
  <si>
    <t>Survey Area and  spatial distribution tool</t>
  </si>
  <si>
    <t>Fraction of fish in each section (from regression)</t>
  </si>
  <si>
    <t>Section 2 and 3</t>
  </si>
  <si>
    <t>Upper and Middle</t>
  </si>
  <si>
    <t>Fraction of fish in each section (from all survey average)</t>
  </si>
  <si>
    <t xml:space="preserve"> Section 1 and 2</t>
  </si>
  <si>
    <t>Temporally calibrated</t>
  </si>
  <si>
    <t>factor</t>
  </si>
  <si>
    <t>Spatially Calibrated (time variant)</t>
  </si>
  <si>
    <t>Estimate</t>
  </si>
  <si>
    <t>estimate</t>
  </si>
  <si>
    <t xml:space="preserve">Fixed at </t>
  </si>
  <si>
    <t>RAW AUC</t>
  </si>
  <si>
    <t>hootons TO</t>
  </si>
  <si>
    <t>% Hatchery</t>
  </si>
  <si>
    <t>Proportion by age at return</t>
  </si>
  <si>
    <t>P4</t>
  </si>
  <si>
    <t>P5</t>
  </si>
  <si>
    <t>P6</t>
  </si>
  <si>
    <t>P7</t>
  </si>
  <si>
    <t>P8</t>
  </si>
  <si>
    <t>Brood Year</t>
  </si>
  <si>
    <t>Sex</t>
  </si>
  <si>
    <t>FW Age</t>
  </si>
  <si>
    <t>Ocean age</t>
  </si>
  <si>
    <t>Number Aged</t>
  </si>
  <si>
    <t>Average Total Age</t>
  </si>
  <si>
    <t>Totals</t>
  </si>
  <si>
    <t>repeat</t>
  </si>
  <si>
    <t xml:space="preserve">F </t>
  </si>
  <si>
    <t>M</t>
  </si>
  <si>
    <t>Number</t>
  </si>
  <si>
    <t>Percent</t>
  </si>
  <si>
    <t>All Years</t>
  </si>
  <si>
    <t>P3</t>
  </si>
  <si>
    <r>
      <rPr>
        <sz val="10"/>
        <color rgb="FF00B050"/>
        <rFont val="Arial"/>
        <family val="2"/>
      </rPr>
      <t>Green are known age distributions</t>
    </r>
    <r>
      <rPr>
        <sz val="10"/>
        <color rgb="FFFF0000"/>
        <rFont val="Arial"/>
        <family val="2"/>
      </rPr>
      <t xml:space="preserve">, Red is the average projected back </t>
    </r>
  </si>
  <si>
    <t>The distribution has changed from the figures to the right by using only known</t>
  </si>
  <si>
    <t>ages and assigning repeats to apropriate brood years</t>
  </si>
  <si>
    <t>Sec 1,2,3 Abundance Estimate</t>
  </si>
  <si>
    <r>
      <t>Spatially /</t>
    </r>
    <r>
      <rPr>
        <sz val="10"/>
        <color rgb="FFFF0000"/>
        <rFont val="Arial"/>
        <family val="2"/>
      </rPr>
      <t xml:space="preserve"> temporally</t>
    </r>
    <r>
      <rPr>
        <sz val="10"/>
        <rFont val="Arial"/>
        <family val="2"/>
      </rPr>
      <t xml:space="preserve"> corected Sections (1,2,3)</t>
    </r>
  </si>
  <si>
    <t>MLE Estimate</t>
  </si>
  <si>
    <t>MLE with Priors</t>
  </si>
  <si>
    <t>MLE estimate (OE Mean)</t>
  </si>
  <si>
    <t>MLE peak count ratio (OE Mean)</t>
  </si>
  <si>
    <t>Abundance from average MLE/peak ratio (2002 - 2016 - OE - Priors )</t>
  </si>
  <si>
    <t>Average ratio used</t>
  </si>
  <si>
    <t>Abundance estimates for 1982-2001, 2006, 2008, 2009 derived from average MLE / peak ratio  using mean OE of 0.55 (2002-2011;2015-2016) or with Calibrated OE estimates (2012-2014)</t>
  </si>
  <si>
    <t>Abundance estimates derived from average MLE / peak ratio or with Calibrated OE estimates (2012-2014)</t>
  </si>
  <si>
    <t>This area corrects for spatial (ie incomplete surveys) and temporal (ie non peak time) adjustments as if the survey was completed as a whole stream and at peak time</t>
  </si>
  <si>
    <t>Spatially Calibrated (Fixed ratio) scales results for whole stream</t>
  </si>
  <si>
    <t>OE Adj Peak / population ratio</t>
  </si>
  <si>
    <r>
      <rPr>
        <b/>
        <sz val="12"/>
        <rFont val="Arial"/>
        <family val="2"/>
      </rPr>
      <t>Steelhead Population Estimate</t>
    </r>
    <r>
      <rPr>
        <sz val="10"/>
        <rFont val="Arial"/>
        <family val="2"/>
      </rPr>
      <t xml:space="preserve"> (AUC - fixed at 50 days residence time and 0.55 observer efficiency, these data include spatially and temporally calibrated surveys for incomplete or non-peak surveys before 1998)</t>
    </r>
  </si>
  <si>
    <r>
      <rPr>
        <b/>
        <sz val="12"/>
        <rFont val="Arial"/>
        <family val="2"/>
      </rPr>
      <t>Annual Peak Count</t>
    </r>
    <r>
      <rPr>
        <sz val="10"/>
        <rFont val="Arial"/>
        <family val="2"/>
      </rPr>
      <t xml:space="preserve"> (observer efficiency of 0.55 applied, spatially and temporally calibrated for non-peak and incomplete historic surveys prior to 1998)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</si>
</sst>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1009]d/mmm/yy;@"/>
    <numFmt numFmtId="166" formatCode="0.0000"/>
    <numFmt numFmtId="167" formatCode="0.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2"/>
      <name val="Arial"/>
      <family val="2"/>
    </font>
    <font>
      <sz val="10"/>
      <color rgb="FFFFFF00"/>
      <name val="Arial"/>
      <family val="2"/>
    </font>
    <font>
      <sz val="10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3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15" xfId="0" applyBorder="1"/>
    <xf numFmtId="0" fontId="0" fillId="0" borderId="14" xfId="0" applyBorder="1"/>
    <xf numFmtId="1" fontId="0" fillId="0" borderId="14" xfId="0" applyNumberFormat="1" applyBorder="1"/>
    <xf numFmtId="1" fontId="0" fillId="0" borderId="15" xfId="0" applyNumberFormat="1" applyBorder="1"/>
    <xf numFmtId="2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4" fillId="2" borderId="0" xfId="0" applyFont="1" applyFill="1"/>
    <xf numFmtId="0" fontId="0" fillId="2" borderId="0" xfId="0" applyFill="1"/>
    <xf numFmtId="2" fontId="4" fillId="2" borderId="0" xfId="0" applyNumberFormat="1" applyFont="1" applyFill="1" applyAlignment="1">
      <alignment wrapText="1"/>
    </xf>
    <xf numFmtId="2" fontId="0" fillId="2" borderId="0" xfId="0" applyNumberFormat="1" applyFill="1" applyAlignment="1">
      <alignment wrapText="1"/>
    </xf>
    <xf numFmtId="0" fontId="6" fillId="2" borderId="0" xfId="0" applyFont="1" applyFill="1"/>
    <xf numFmtId="0" fontId="6" fillId="0" borderId="0" xfId="0" applyFont="1"/>
    <xf numFmtId="0" fontId="0" fillId="3" borderId="0" xfId="0" applyFill="1"/>
    <xf numFmtId="2" fontId="0" fillId="3" borderId="0" xfId="0" applyNumberFormat="1" applyFill="1" applyAlignment="1">
      <alignment wrapText="1"/>
    </xf>
    <xf numFmtId="2" fontId="4" fillId="3" borderId="0" xfId="0" applyNumberFormat="1" applyFont="1" applyFill="1" applyAlignment="1">
      <alignment wrapText="1"/>
    </xf>
    <xf numFmtId="0" fontId="6" fillId="3" borderId="0" xfId="0" applyFont="1" applyFill="1"/>
    <xf numFmtId="0" fontId="5" fillId="2" borderId="0" xfId="0" applyFont="1" applyFill="1"/>
    <xf numFmtId="167" fontId="0" fillId="2" borderId="0" xfId="0" applyNumberFormat="1" applyFill="1"/>
    <xf numFmtId="0" fontId="4" fillId="0" borderId="18" xfId="0" applyFont="1" applyBorder="1"/>
    <xf numFmtId="2" fontId="4" fillId="0" borderId="0" xfId="0" applyNumberFormat="1" applyFont="1" applyAlignment="1">
      <alignment wrapText="1"/>
    </xf>
    <xf numFmtId="0" fontId="5" fillId="0" borderId="0" xfId="0" applyFont="1"/>
    <xf numFmtId="1" fontId="0" fillId="0" borderId="0" xfId="0" applyNumberFormat="1" applyAlignment="1">
      <alignment wrapText="1"/>
    </xf>
    <xf numFmtId="165" fontId="4" fillId="0" borderId="0" xfId="0" applyNumberFormat="1" applyFont="1" applyAlignment="1">
      <alignment wrapText="1"/>
    </xf>
    <xf numFmtId="2" fontId="0" fillId="0" borderId="3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2" fontId="0" fillId="0" borderId="14" xfId="0" applyNumberFormat="1" applyBorder="1" applyAlignment="1">
      <alignment wrapText="1"/>
    </xf>
    <xf numFmtId="2" fontId="0" fillId="0" borderId="15" xfId="0" applyNumberFormat="1" applyBorder="1" applyAlignment="1">
      <alignment wrapText="1"/>
    </xf>
    <xf numFmtId="0" fontId="0" fillId="0" borderId="19" xfId="0" applyBorder="1"/>
    <xf numFmtId="0" fontId="0" fillId="0" borderId="7" xfId="0" applyBorder="1"/>
    <xf numFmtId="165" fontId="0" fillId="0" borderId="7" xfId="0" applyNumberFormat="1" applyBorder="1"/>
    <xf numFmtId="0" fontId="4" fillId="0" borderId="19" xfId="0" applyFont="1" applyBorder="1"/>
    <xf numFmtId="0" fontId="4" fillId="0" borderId="7" xfId="0" applyFont="1" applyBorder="1"/>
    <xf numFmtId="0" fontId="0" fillId="0" borderId="20" xfId="0" applyBorder="1"/>
    <xf numFmtId="0" fontId="5" fillId="3" borderId="19" xfId="0" applyFont="1" applyFill="1" applyBorder="1"/>
    <xf numFmtId="0" fontId="5" fillId="3" borderId="7" xfId="0" applyFont="1" applyFill="1" applyBorder="1"/>
    <xf numFmtId="0" fontId="0" fillId="3" borderId="20" xfId="0" applyFill="1" applyBorder="1"/>
    <xf numFmtId="0" fontId="4" fillId="2" borderId="19" xfId="0" applyFont="1" applyFill="1" applyBorder="1"/>
    <xf numFmtId="0" fontId="0" fillId="2" borderId="7" xfId="0" applyFill="1" applyBorder="1"/>
    <xf numFmtId="0" fontId="4" fillId="2" borderId="7" xfId="0" applyFont="1" applyFill="1" applyBorder="1"/>
    <xf numFmtId="0" fontId="0" fillId="2" borderId="20" xfId="0" applyFill="1" applyBorder="1"/>
    <xf numFmtId="2" fontId="0" fillId="0" borderId="4" xfId="0" applyNumberFormat="1" applyBorder="1" applyAlignment="1">
      <alignment wrapText="1"/>
    </xf>
    <xf numFmtId="2" fontId="0" fillId="0" borderId="5" xfId="0" applyNumberFormat="1" applyBorder="1" applyAlignment="1">
      <alignment wrapText="1"/>
    </xf>
    <xf numFmtId="165" fontId="0" fillId="0" borderId="5" xfId="0" applyNumberFormat="1" applyBorder="1" applyAlignment="1">
      <alignment wrapText="1"/>
    </xf>
    <xf numFmtId="2" fontId="4" fillId="0" borderId="4" xfId="0" applyNumberFormat="1" applyFont="1" applyBorder="1" applyAlignment="1">
      <alignment wrapText="1"/>
    </xf>
    <xf numFmtId="2" fontId="4" fillId="0" borderId="5" xfId="0" applyNumberFormat="1" applyFont="1" applyBorder="1" applyAlignment="1">
      <alignment wrapText="1"/>
    </xf>
    <xf numFmtId="2" fontId="4" fillId="0" borderId="21" xfId="0" applyNumberFormat="1" applyFont="1" applyBorder="1" applyAlignment="1">
      <alignment wrapText="1"/>
    </xf>
    <xf numFmtId="2" fontId="0" fillId="0" borderId="21" xfId="0" applyNumberFormat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2" fontId="4" fillId="3" borderId="5" xfId="0" applyNumberFormat="1" applyFont="1" applyFill="1" applyBorder="1" applyAlignment="1">
      <alignment wrapText="1"/>
    </xf>
    <xf numFmtId="2" fontId="0" fillId="3" borderId="21" xfId="0" applyNumberFormat="1" applyFill="1" applyBorder="1" applyAlignment="1">
      <alignment wrapText="1"/>
    </xf>
    <xf numFmtId="2" fontId="4" fillId="2" borderId="4" xfId="0" applyNumberFormat="1" applyFont="1" applyFill="1" applyBorder="1" applyAlignment="1">
      <alignment wrapText="1"/>
    </xf>
    <xf numFmtId="2" fontId="0" fillId="2" borderId="5" xfId="0" applyNumberFormat="1" applyFill="1" applyBorder="1" applyAlignment="1">
      <alignment wrapText="1"/>
    </xf>
    <xf numFmtId="2" fontId="4" fillId="2" borderId="5" xfId="0" applyNumberFormat="1" applyFont="1" applyFill="1" applyBorder="1" applyAlignment="1">
      <alignment wrapText="1"/>
    </xf>
    <xf numFmtId="2" fontId="4" fillId="2" borderId="21" xfId="0" applyNumberFormat="1" applyFont="1" applyFill="1" applyBorder="1" applyAlignment="1">
      <alignment wrapText="1"/>
    </xf>
    <xf numFmtId="164" fontId="0" fillId="0" borderId="7" xfId="0" applyNumberFormat="1" applyBorder="1"/>
    <xf numFmtId="164" fontId="0" fillId="0" borderId="5" xfId="0" applyNumberFormat="1" applyBorder="1" applyAlignment="1">
      <alignment wrapText="1"/>
    </xf>
    <xf numFmtId="2" fontId="4" fillId="0" borderId="14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1" fontId="4" fillId="0" borderId="0" xfId="0" applyNumberFormat="1" applyFont="1" applyAlignment="1">
      <alignment wrapText="1"/>
    </xf>
    <xf numFmtId="164" fontId="4" fillId="0" borderId="7" xfId="0" applyNumberFormat="1" applyFont="1" applyBorder="1"/>
    <xf numFmtId="0" fontId="0" fillId="0" borderId="10" xfId="0" applyBorder="1"/>
    <xf numFmtId="2" fontId="4" fillId="0" borderId="6" xfId="0" applyNumberFormat="1" applyFont="1" applyBorder="1" applyAlignment="1">
      <alignment wrapText="1"/>
    </xf>
    <xf numFmtId="2" fontId="0" fillId="0" borderId="8" xfId="0" applyNumberFormat="1" applyBorder="1" applyAlignment="1">
      <alignment wrapText="1"/>
    </xf>
    <xf numFmtId="1" fontId="0" fillId="0" borderId="8" xfId="0" applyNumberFormat="1" applyBorder="1"/>
    <xf numFmtId="0" fontId="0" fillId="0" borderId="8" xfId="0" applyBorder="1"/>
    <xf numFmtId="1" fontId="0" fillId="4" borderId="0" xfId="0" applyNumberFormat="1" applyFill="1" applyAlignment="1">
      <alignment wrapText="1"/>
    </xf>
    <xf numFmtId="0" fontId="0" fillId="4" borderId="0" xfId="0" applyFill="1"/>
    <xf numFmtId="165" fontId="0" fillId="4" borderId="0" xfId="0" applyNumberFormat="1" applyFill="1" applyAlignment="1">
      <alignment wrapText="1"/>
    </xf>
    <xf numFmtId="2" fontId="0" fillId="4" borderId="0" xfId="0" applyNumberFormat="1" applyFill="1" applyAlignment="1">
      <alignment wrapText="1"/>
    </xf>
    <xf numFmtId="2" fontId="0" fillId="4" borderId="14" xfId="0" applyNumberFormat="1" applyFill="1" applyBorder="1" applyAlignment="1">
      <alignment wrapText="1"/>
    </xf>
    <xf numFmtId="2" fontId="0" fillId="4" borderId="15" xfId="0" applyNumberFormat="1" applyFill="1" applyBorder="1" applyAlignment="1">
      <alignment wrapText="1"/>
    </xf>
    <xf numFmtId="2" fontId="0" fillId="4" borderId="8" xfId="0" applyNumberFormat="1" applyFill="1" applyBorder="1" applyAlignment="1">
      <alignment wrapText="1"/>
    </xf>
    <xf numFmtId="164" fontId="0" fillId="4" borderId="0" xfId="0" applyNumberFormat="1" applyFill="1" applyAlignment="1">
      <alignment wrapText="1"/>
    </xf>
    <xf numFmtId="2" fontId="0" fillId="4" borderId="1" xfId="0" applyNumberFormat="1" applyFill="1" applyBorder="1" applyAlignment="1">
      <alignment wrapText="1"/>
    </xf>
    <xf numFmtId="2" fontId="0" fillId="4" borderId="3" xfId="0" applyNumberFormat="1" applyFill="1" applyBorder="1" applyAlignment="1">
      <alignment wrapText="1"/>
    </xf>
    <xf numFmtId="2" fontId="4" fillId="4" borderId="0" xfId="0" applyNumberFormat="1" applyFont="1" applyFill="1" applyAlignment="1">
      <alignment wrapText="1"/>
    </xf>
    <xf numFmtId="165" fontId="4" fillId="4" borderId="0" xfId="0" applyNumberFormat="1" applyFont="1" applyFill="1" applyAlignment="1">
      <alignment wrapText="1"/>
    </xf>
    <xf numFmtId="164" fontId="0" fillId="4" borderId="0" xfId="0" applyNumberFormat="1" applyFill="1"/>
    <xf numFmtId="2" fontId="5" fillId="4" borderId="0" xfId="0" applyNumberFormat="1" applyFont="1" applyFill="1" applyAlignment="1">
      <alignment wrapText="1"/>
    </xf>
    <xf numFmtId="2" fontId="4" fillId="4" borderId="0" xfId="0" applyNumberFormat="1" applyFont="1" applyFill="1"/>
    <xf numFmtId="0" fontId="5" fillId="4" borderId="0" xfId="0" applyFont="1" applyFill="1"/>
    <xf numFmtId="1" fontId="4" fillId="4" borderId="0" xfId="0" applyNumberFormat="1" applyFont="1" applyFill="1" applyAlignment="1">
      <alignment wrapText="1"/>
    </xf>
    <xf numFmtId="1" fontId="0" fillId="4" borderId="14" xfId="0" applyNumberFormat="1" applyFill="1" applyBorder="1" applyAlignment="1">
      <alignment wrapText="1"/>
    </xf>
    <xf numFmtId="1" fontId="0" fillId="4" borderId="15" xfId="0" applyNumberFormat="1" applyFill="1" applyBorder="1" applyAlignment="1">
      <alignment wrapText="1"/>
    </xf>
    <xf numFmtId="1" fontId="0" fillId="4" borderId="8" xfId="0" applyNumberFormat="1" applyFill="1" applyBorder="1" applyAlignment="1">
      <alignment wrapText="1"/>
    </xf>
    <xf numFmtId="165" fontId="0" fillId="4" borderId="0" xfId="0" applyNumberFormat="1" applyFill="1"/>
    <xf numFmtId="1" fontId="0" fillId="4" borderId="0" xfId="0" applyNumberFormat="1" applyFill="1"/>
    <xf numFmtId="0" fontId="0" fillId="4" borderId="14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3" xfId="0" applyFill="1" applyBorder="1"/>
    <xf numFmtId="16" fontId="0" fillId="4" borderId="0" xfId="0" applyNumberFormat="1" applyFill="1"/>
    <xf numFmtId="0" fontId="4" fillId="4" borderId="0" xfId="0" applyFont="1" applyFill="1"/>
    <xf numFmtId="166" fontId="0" fillId="4" borderId="0" xfId="0" applyNumberFormat="1" applyFill="1"/>
    <xf numFmtId="0" fontId="2" fillId="4" borderId="0" xfId="0" applyFont="1" applyFill="1"/>
    <xf numFmtId="0" fontId="4" fillId="4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4" fillId="4" borderId="17" xfId="0" applyFont="1" applyFill="1" applyBorder="1"/>
    <xf numFmtId="2" fontId="0" fillId="4" borderId="0" xfId="0" applyNumberFormat="1" applyFill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9" fontId="0" fillId="0" borderId="41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7" fontId="11" fillId="0" borderId="0" xfId="0" applyNumberFormat="1" applyFont="1"/>
    <xf numFmtId="167" fontId="5" fillId="0" borderId="0" xfId="0" applyNumberFormat="1" applyFont="1"/>
    <xf numFmtId="167" fontId="4" fillId="0" borderId="0" xfId="0" applyNumberFormat="1" applyFont="1"/>
    <xf numFmtId="164" fontId="12" fillId="0" borderId="0" xfId="0" applyNumberFormat="1" applyFont="1"/>
    <xf numFmtId="0" fontId="0" fillId="5" borderId="7" xfId="0" applyFill="1" applyBorder="1"/>
    <xf numFmtId="2" fontId="0" fillId="5" borderId="0" xfId="0" applyNumberFormat="1" applyFill="1" applyAlignment="1">
      <alignment wrapText="1"/>
    </xf>
    <xf numFmtId="1" fontId="0" fillId="5" borderId="0" xfId="0" applyNumberFormat="1" applyFill="1" applyAlignment="1">
      <alignment wrapText="1"/>
    </xf>
    <xf numFmtId="1" fontId="0" fillId="5" borderId="0" xfId="0" applyNumberFormat="1" applyFill="1"/>
    <xf numFmtId="0" fontId="0" fillId="5" borderId="0" xfId="0" applyFill="1"/>
    <xf numFmtId="1" fontId="0" fillId="0" borderId="7" xfId="0" applyNumberFormat="1" applyBorder="1"/>
    <xf numFmtId="1" fontId="4" fillId="0" borderId="5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2" fontId="5" fillId="0" borderId="14" xfId="0" applyNumberFormat="1" applyFont="1" applyBorder="1" applyAlignment="1">
      <alignment wrapText="1"/>
    </xf>
    <xf numFmtId="2" fontId="5" fillId="0" borderId="15" xfId="0" applyNumberFormat="1" applyFont="1" applyBorder="1" applyAlignment="1">
      <alignment wrapText="1"/>
    </xf>
    <xf numFmtId="2" fontId="5" fillId="0" borderId="8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/>
    <xf numFmtId="2" fontId="5" fillId="0" borderId="1" xfId="0" applyNumberFormat="1" applyFont="1" applyBorder="1" applyAlignment="1">
      <alignment wrapText="1"/>
    </xf>
    <xf numFmtId="1" fontId="5" fillId="5" borderId="0" xfId="0" applyNumberFormat="1" applyFont="1" applyFill="1" applyAlignment="1">
      <alignment wrapText="1"/>
    </xf>
    <xf numFmtId="2" fontId="5" fillId="0" borderId="3" xfId="0" applyNumberFormat="1" applyFont="1" applyBorder="1" applyAlignment="1">
      <alignment wrapText="1"/>
    </xf>
    <xf numFmtId="2" fontId="5" fillId="3" borderId="0" xfId="0" applyNumberFormat="1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1" fontId="5" fillId="4" borderId="0" xfId="0" applyNumberFormat="1" applyFont="1" applyFill="1" applyAlignment="1">
      <alignment wrapText="1"/>
    </xf>
    <xf numFmtId="165" fontId="5" fillId="4" borderId="0" xfId="0" applyNumberFormat="1" applyFont="1" applyFill="1" applyAlignment="1">
      <alignment wrapText="1"/>
    </xf>
    <xf numFmtId="2" fontId="5" fillId="4" borderId="14" xfId="0" applyNumberFormat="1" applyFont="1" applyFill="1" applyBorder="1" applyAlignment="1">
      <alignment wrapText="1"/>
    </xf>
    <xf numFmtId="2" fontId="5" fillId="4" borderId="15" xfId="0" applyNumberFormat="1" applyFont="1" applyFill="1" applyBorder="1" applyAlignment="1">
      <alignment wrapText="1"/>
    </xf>
    <xf numFmtId="2" fontId="5" fillId="4" borderId="8" xfId="0" applyNumberFormat="1" applyFont="1" applyFill="1" applyBorder="1" applyAlignment="1">
      <alignment wrapText="1"/>
    </xf>
    <xf numFmtId="164" fontId="5" fillId="4" borderId="0" xfId="0" applyNumberFormat="1" applyFont="1" applyFill="1" applyAlignment="1">
      <alignment wrapText="1"/>
    </xf>
    <xf numFmtId="164" fontId="5" fillId="4" borderId="0" xfId="0" applyNumberFormat="1" applyFont="1" applyFill="1"/>
    <xf numFmtId="2" fontId="5" fillId="4" borderId="1" xfId="0" applyNumberFormat="1" applyFont="1" applyFill="1" applyBorder="1" applyAlignment="1">
      <alignment wrapText="1"/>
    </xf>
    <xf numFmtId="2" fontId="5" fillId="4" borderId="3" xfId="0" applyNumberFormat="1" applyFont="1" applyFill="1" applyBorder="1" applyAlignment="1">
      <alignment wrapText="1"/>
    </xf>
    <xf numFmtId="164" fontId="0" fillId="2" borderId="0" xfId="0" applyNumberFormat="1" applyFill="1" applyAlignment="1">
      <alignment wrapText="1"/>
    </xf>
    <xf numFmtId="164" fontId="0" fillId="6" borderId="0" xfId="0" applyNumberFormat="1" applyFill="1" applyAlignment="1">
      <alignment wrapText="1"/>
    </xf>
    <xf numFmtId="2" fontId="0" fillId="0" borderId="7" xfId="0" applyNumberFormat="1" applyBorder="1"/>
    <xf numFmtId="2" fontId="5" fillId="0" borderId="0" xfId="0" applyNumberFormat="1" applyFont="1"/>
    <xf numFmtId="2" fontId="5" fillId="4" borderId="0" xfId="0" applyNumberFormat="1" applyFont="1" applyFill="1"/>
    <xf numFmtId="164" fontId="0" fillId="0" borderId="1" xfId="0" applyNumberFormat="1" applyBorder="1"/>
    <xf numFmtId="164" fontId="0" fillId="4" borderId="1" xfId="0" applyNumberFormat="1" applyFill="1" applyBorder="1"/>
    <xf numFmtId="1" fontId="0" fillId="0" borderId="5" xfId="0" applyNumberFormat="1" applyBorder="1" applyAlignment="1">
      <alignment wrapText="1"/>
    </xf>
    <xf numFmtId="1" fontId="0" fillId="5" borderId="7" xfId="0" applyNumberFormat="1" applyFill="1" applyBorder="1"/>
    <xf numFmtId="0" fontId="4" fillId="5" borderId="7" xfId="0" applyFont="1" applyFill="1" applyBorder="1"/>
    <xf numFmtId="0" fontId="0" fillId="7" borderId="7" xfId="0" applyFill="1" applyBorder="1"/>
    <xf numFmtId="2" fontId="4" fillId="7" borderId="5" xfId="0" applyNumberFormat="1" applyFont="1" applyFill="1" applyBorder="1" applyAlignment="1">
      <alignment wrapText="1"/>
    </xf>
    <xf numFmtId="2" fontId="0" fillId="7" borderId="0" xfId="0" applyNumberFormat="1" applyFill="1" applyAlignment="1">
      <alignment wrapText="1"/>
    </xf>
    <xf numFmtId="0" fontId="0" fillId="7" borderId="0" xfId="0" applyFill="1"/>
    <xf numFmtId="2" fontId="4" fillId="5" borderId="5" xfId="0" applyNumberFormat="1" applyFont="1" applyFill="1" applyBorder="1" applyAlignment="1">
      <alignment wrapText="1"/>
    </xf>
    <xf numFmtId="2" fontId="0" fillId="8" borderId="5" xfId="0" applyNumberFormat="1" applyFill="1" applyBorder="1" applyAlignment="1">
      <alignment wrapText="1"/>
    </xf>
    <xf numFmtId="2" fontId="13" fillId="7" borderId="0" xfId="0" applyNumberFormat="1" applyFont="1" applyFill="1" applyAlignment="1">
      <alignment wrapText="1"/>
    </xf>
    <xf numFmtId="2" fontId="5" fillId="7" borderId="0" xfId="0" applyNumberFormat="1" applyFont="1" applyFill="1" applyAlignment="1">
      <alignment wrapText="1"/>
    </xf>
    <xf numFmtId="165" fontId="0" fillId="2" borderId="0" xfId="0" applyNumberFormat="1" applyFill="1"/>
    <xf numFmtId="1" fontId="0" fillId="2" borderId="0" xfId="0" applyNumberFormat="1" applyFill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164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/>
    <xf numFmtId="0" fontId="0" fillId="2" borderId="3" xfId="0" applyFill="1" applyBorder="1"/>
    <xf numFmtId="0" fontId="0" fillId="9" borderId="7" xfId="0" applyFill="1" applyBorder="1"/>
    <xf numFmtId="2" fontId="4" fillId="9" borderId="5" xfId="0" applyNumberFormat="1" applyFont="1" applyFill="1" applyBorder="1" applyAlignment="1">
      <alignment wrapText="1"/>
    </xf>
    <xf numFmtId="2" fontId="0" fillId="9" borderId="0" xfId="0" applyNumberFormat="1" applyFill="1" applyAlignment="1">
      <alignment wrapText="1"/>
    </xf>
    <xf numFmtId="0" fontId="0" fillId="9" borderId="0" xfId="0" applyFill="1"/>
    <xf numFmtId="1" fontId="0" fillId="2" borderId="0" xfId="0" applyNumberFormat="1" applyFill="1" applyAlignment="1">
      <alignment wrapText="1"/>
    </xf>
    <xf numFmtId="164" fontId="0" fillId="2" borderId="1" xfId="0" applyNumberFormat="1" applyFill="1" applyBorder="1"/>
    <xf numFmtId="0" fontId="0" fillId="8" borderId="0" xfId="0" applyFill="1"/>
    <xf numFmtId="2" fontId="0" fillId="8" borderId="0" xfId="0" applyNumberFormat="1" applyFill="1" applyAlignment="1">
      <alignment wrapText="1"/>
    </xf>
    <xf numFmtId="2" fontId="13" fillId="8" borderId="0" xfId="0" applyNumberFormat="1" applyFont="1" applyFill="1" applyAlignment="1">
      <alignment wrapText="1"/>
    </xf>
    <xf numFmtId="2" fontId="13" fillId="0" borderId="0" xfId="0" applyNumberFormat="1" applyFont="1" applyAlignment="1">
      <alignment wrapText="1"/>
    </xf>
    <xf numFmtId="0" fontId="14" fillId="0" borderId="0" xfId="0" applyFont="1"/>
    <xf numFmtId="165" fontId="14" fillId="0" borderId="0" xfId="0" applyNumberFormat="1" applyFont="1"/>
    <xf numFmtId="1" fontId="14" fillId="0" borderId="0" xfId="0" applyNumberFormat="1" applyFont="1"/>
    <xf numFmtId="2" fontId="0" fillId="2" borderId="8" xfId="0" applyNumberFormat="1" applyFill="1" applyBorder="1" applyAlignment="1">
      <alignment wrapText="1"/>
    </xf>
    <xf numFmtId="2" fontId="13" fillId="2" borderId="0" xfId="0" applyNumberFormat="1" applyFont="1" applyFill="1" applyAlignment="1">
      <alignment wrapText="1"/>
    </xf>
    <xf numFmtId="164" fontId="10" fillId="0" borderId="26" xfId="0" applyNumberFormat="1" applyFont="1" applyBorder="1" applyAlignment="1">
      <alignment horizontal="center" vertical="center" wrapText="1"/>
    </xf>
    <xf numFmtId="1" fontId="0" fillId="0" borderId="3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 wrapText="1"/>
    </xf>
    <xf numFmtId="2" fontId="8" fillId="0" borderId="29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42" xfId="0" applyNumberFormat="1" applyFont="1" applyBorder="1" applyAlignment="1">
      <alignment horizontal="center" vertical="center" wrapText="1"/>
    </xf>
    <xf numFmtId="164" fontId="10" fillId="0" borderId="27" xfId="0" applyNumberFormat="1" applyFont="1" applyBorder="1" applyAlignment="1">
      <alignment horizontal="center" vertical="center" wrapText="1"/>
    </xf>
    <xf numFmtId="2" fontId="8" fillId="0" borderId="27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polynomial</a:t>
            </a:r>
            <a:r>
              <a:rPr lang="en-CA" baseline="0"/>
              <a:t> regression  of peak count ratio and survey day, all surveys between 2002 - 2016</a:t>
            </a:r>
            <a:endParaRPr lang="en-CA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081049636438227E-2"/>
          <c:y val="0.25168254576693749"/>
          <c:w val="0.85297994161771884"/>
          <c:h val="0.665467846026327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0.17023396541910138"/>
                  <c:y val="0.1741436496315390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-3E-08x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+ 5E-06x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- 0.0003x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+ 0.011x
R² = 0.7767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'Time and Area Standardization'!$BA$84:$BA$168</c:f>
            </c:numRef>
          </c:xVal>
          <c:yVal>
            <c:numRef>
              <c:f>'Time and Area Standardization'!$BB$84:$BB$168</c:f>
            </c:numRef>
          </c:yVal>
          <c:smooth val="0"/>
          <c:extLst>
            <c:ext xmlns:c16="http://schemas.microsoft.com/office/drawing/2014/chart" uri="{C3380CC4-5D6E-409C-BE32-E72D297353CC}">
              <c16:uniqueId val="{00000001-5313-4FF9-9278-AF350230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1952"/>
        <c:axId val="104067840"/>
      </c:scatterChart>
      <c:valAx>
        <c:axId val="1040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67840"/>
        <c:crosses val="autoZero"/>
        <c:crossBetween val="midCat"/>
      </c:valAx>
      <c:valAx>
        <c:axId val="1040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61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430000618929292"/>
          <c:y val="0.28600062028617013"/>
          <c:w val="0.1877270041556198"/>
          <c:h val="5.980293024020073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Linear</a:t>
            </a:r>
            <a:r>
              <a:rPr lang="en-CA" baseline="0"/>
              <a:t> regression of  peak count ratio and survey day with post peak surveys  (ie &lt;1 or after day 130) excluded, all surveys between 2002-2016</a:t>
            </a:r>
          </a:p>
          <a:p>
            <a:pPr>
              <a:defRPr/>
            </a:pPr>
            <a:endParaRPr lang="en-CA"/>
          </a:p>
        </c:rich>
      </c:tx>
      <c:layout>
        <c:manualLayout>
          <c:xMode val="edge"/>
          <c:yMode val="edge"/>
          <c:x val="9.8842021712358535E-2"/>
          <c:y val="2.124395325566160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1081049636438227E-2"/>
          <c:y val="0.25025681950915135"/>
          <c:w val="0.85297994161771884"/>
          <c:h val="0.6668936824303115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6.1315938376288043E-2"/>
                  <c:y val="0.279295734323071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'Time and Area Standardization'!$BA$84:$BA$168</c:f>
            </c:numRef>
          </c:xVal>
          <c:yVal>
            <c:numRef>
              <c:f>'Time and Area Standardization'!$BC$84:$BC$168</c:f>
            </c:numRef>
          </c:yVal>
          <c:smooth val="0"/>
          <c:extLst>
            <c:ext xmlns:c16="http://schemas.microsoft.com/office/drawing/2014/chart" uri="{C3380CC4-5D6E-409C-BE32-E72D297353CC}">
              <c16:uniqueId val="{00000001-5065-49F2-9488-4FACFA14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45600"/>
        <c:axId val="121147392"/>
      </c:scatterChart>
      <c:valAx>
        <c:axId val="12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47392"/>
        <c:crosses val="autoZero"/>
        <c:crossBetween val="midCat"/>
      </c:valAx>
      <c:valAx>
        <c:axId val="1211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4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6380545462724057E-2"/>
          <c:y val="0.29261492285613916"/>
          <c:w val="0.1877270041556198"/>
          <c:h val="5.980293024020073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 sz="1400"/>
              <a:t>Comparison</a:t>
            </a:r>
            <a:r>
              <a:rPr lang="en-CA" sz="1400" baseline="0"/>
              <a:t> </a:t>
            </a:r>
            <a:r>
              <a:rPr lang="en-CA" sz="1400"/>
              <a:t>of </a:t>
            </a:r>
            <a:r>
              <a:rPr lang="en-CA" sz="1400" baseline="0"/>
              <a:t> Englishman River Annual Peak Counts and Abundance Estimates from Area Under Curve  (AUC) Estimates between 1982 and  2021</a:t>
            </a:r>
            <a:endParaRPr lang="en-CA" sz="1400"/>
          </a:p>
        </c:rich>
      </c:tx>
      <c:layout>
        <c:manualLayout>
          <c:xMode val="edge"/>
          <c:yMode val="edge"/>
          <c:x val="0.1147158028593926"/>
          <c:y val="6.40271288597846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8335679686871667E-2"/>
          <c:y val="0.1561446146959998"/>
          <c:w val="0.88864495765350937"/>
          <c:h val="0.68748649066028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and Area Standardization'!$AJ$2</c:f>
              <c:strCache>
                <c:ptCount val="1"/>
                <c:pt idx="0">
                  <c:v>Steelhead Population Estimate (AUC - fixed at 50 days residence time and 0.55 observer efficiency, these data include spatially and temporally calibrated surveys for incomplete or non-peak surveys before 1998)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'Time and Area Standardization'!$A$4:$A$195</c:f>
              <c:numCache>
                <c:formatCode>0</c:formatCode>
                <c:ptCount val="192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1983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1989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1990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1992</c:v>
                </c:pt>
                <c:pt idx="43">
                  <c:v>1992</c:v>
                </c:pt>
                <c:pt idx="44">
                  <c:v>1992</c:v>
                </c:pt>
                <c:pt idx="45">
                  <c:v>1992</c:v>
                </c:pt>
                <c:pt idx="46">
                  <c:v>1993</c:v>
                </c:pt>
                <c:pt idx="47">
                  <c:v>1993</c:v>
                </c:pt>
                <c:pt idx="48">
                  <c:v>1993</c:v>
                </c:pt>
                <c:pt idx="49">
                  <c:v>1993</c:v>
                </c:pt>
                <c:pt idx="50">
                  <c:v>1994</c:v>
                </c:pt>
                <c:pt idx="51">
                  <c:v>1994</c:v>
                </c:pt>
                <c:pt idx="52">
                  <c:v>1994</c:v>
                </c:pt>
                <c:pt idx="53">
                  <c:v>1994</c:v>
                </c:pt>
                <c:pt idx="54">
                  <c:v>1995</c:v>
                </c:pt>
                <c:pt idx="55">
                  <c:v>1995</c:v>
                </c:pt>
                <c:pt idx="56">
                  <c:v>1995</c:v>
                </c:pt>
                <c:pt idx="57">
                  <c:v>1995</c:v>
                </c:pt>
                <c:pt idx="58">
                  <c:v>1996</c:v>
                </c:pt>
                <c:pt idx="59">
                  <c:v>1996</c:v>
                </c:pt>
                <c:pt idx="60">
                  <c:v>1996</c:v>
                </c:pt>
                <c:pt idx="61">
                  <c:v>1996</c:v>
                </c:pt>
                <c:pt idx="62">
                  <c:v>1998</c:v>
                </c:pt>
                <c:pt idx="63">
                  <c:v>1998</c:v>
                </c:pt>
                <c:pt idx="64">
                  <c:v>1998</c:v>
                </c:pt>
                <c:pt idx="65">
                  <c:v>1998</c:v>
                </c:pt>
                <c:pt idx="66">
                  <c:v>1999</c:v>
                </c:pt>
                <c:pt idx="67">
                  <c:v>1999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 formatCode="General">
                  <c:v>2001</c:v>
                </c:pt>
                <c:pt idx="76" formatCode="General">
                  <c:v>2001</c:v>
                </c:pt>
                <c:pt idx="77">
                  <c:v>2001</c:v>
                </c:pt>
                <c:pt idx="78">
                  <c:v>2001</c:v>
                </c:pt>
                <c:pt idx="79" formatCode="General">
                  <c:v>2001</c:v>
                </c:pt>
                <c:pt idx="80" formatCode="General">
                  <c:v>2002</c:v>
                </c:pt>
                <c:pt idx="81" formatCode="General">
                  <c:v>2002</c:v>
                </c:pt>
                <c:pt idx="82" formatCode="General">
                  <c:v>2002</c:v>
                </c:pt>
                <c:pt idx="83" formatCode="General">
                  <c:v>2002</c:v>
                </c:pt>
                <c:pt idx="84" formatCode="General">
                  <c:v>2002</c:v>
                </c:pt>
                <c:pt idx="85" formatCode="General">
                  <c:v>2002</c:v>
                </c:pt>
                <c:pt idx="86" formatCode="General">
                  <c:v>2002</c:v>
                </c:pt>
                <c:pt idx="87" formatCode="General">
                  <c:v>2002</c:v>
                </c:pt>
                <c:pt idx="88" formatCode="General">
                  <c:v>2003</c:v>
                </c:pt>
                <c:pt idx="89" formatCode="General">
                  <c:v>2003</c:v>
                </c:pt>
                <c:pt idx="90" formatCode="General">
                  <c:v>2003</c:v>
                </c:pt>
                <c:pt idx="91" formatCode="General">
                  <c:v>2003</c:v>
                </c:pt>
                <c:pt idx="92" formatCode="General">
                  <c:v>2003</c:v>
                </c:pt>
                <c:pt idx="93" formatCode="General">
                  <c:v>2003</c:v>
                </c:pt>
                <c:pt idx="94" formatCode="General">
                  <c:v>2003</c:v>
                </c:pt>
                <c:pt idx="95" formatCode="General">
                  <c:v>2003</c:v>
                </c:pt>
                <c:pt idx="96" formatCode="General">
                  <c:v>2004</c:v>
                </c:pt>
                <c:pt idx="97" formatCode="General">
                  <c:v>2004</c:v>
                </c:pt>
                <c:pt idx="98" formatCode="General">
                  <c:v>2004</c:v>
                </c:pt>
                <c:pt idx="99" formatCode="General">
                  <c:v>2004</c:v>
                </c:pt>
                <c:pt idx="100" formatCode="General">
                  <c:v>2004</c:v>
                </c:pt>
                <c:pt idx="101" formatCode="General">
                  <c:v>2004</c:v>
                </c:pt>
                <c:pt idx="102" formatCode="General">
                  <c:v>2004</c:v>
                </c:pt>
                <c:pt idx="103" formatCode="General">
                  <c:v>2004</c:v>
                </c:pt>
                <c:pt idx="104" formatCode="General">
                  <c:v>2005</c:v>
                </c:pt>
                <c:pt idx="105" formatCode="General">
                  <c:v>2005</c:v>
                </c:pt>
                <c:pt idx="106" formatCode="General">
                  <c:v>2005</c:v>
                </c:pt>
                <c:pt idx="107" formatCode="General">
                  <c:v>2005</c:v>
                </c:pt>
                <c:pt idx="108" formatCode="General">
                  <c:v>2005</c:v>
                </c:pt>
                <c:pt idx="109" formatCode="General">
                  <c:v>2005</c:v>
                </c:pt>
                <c:pt idx="110" formatCode="General">
                  <c:v>2006</c:v>
                </c:pt>
                <c:pt idx="111" formatCode="General">
                  <c:v>2006</c:v>
                </c:pt>
                <c:pt idx="112" formatCode="General">
                  <c:v>2006</c:v>
                </c:pt>
                <c:pt idx="113" formatCode="General">
                  <c:v>2006</c:v>
                </c:pt>
                <c:pt idx="114" formatCode="General">
                  <c:v>2006</c:v>
                </c:pt>
                <c:pt idx="115" formatCode="General">
                  <c:v>2006</c:v>
                </c:pt>
                <c:pt idx="116" formatCode="General">
                  <c:v>2007</c:v>
                </c:pt>
                <c:pt idx="117" formatCode="General">
                  <c:v>2007</c:v>
                </c:pt>
                <c:pt idx="118" formatCode="General">
                  <c:v>2007</c:v>
                </c:pt>
                <c:pt idx="119" formatCode="General">
                  <c:v>2007</c:v>
                </c:pt>
                <c:pt idx="120" formatCode="General">
                  <c:v>2007</c:v>
                </c:pt>
                <c:pt idx="121" formatCode="General">
                  <c:v>2008</c:v>
                </c:pt>
                <c:pt idx="122" formatCode="General">
                  <c:v>2008</c:v>
                </c:pt>
                <c:pt idx="123" formatCode="General">
                  <c:v>2008</c:v>
                </c:pt>
                <c:pt idx="124" formatCode="General">
                  <c:v>2008</c:v>
                </c:pt>
                <c:pt idx="125" formatCode="General">
                  <c:v>2009</c:v>
                </c:pt>
                <c:pt idx="126" formatCode="General">
                  <c:v>2009</c:v>
                </c:pt>
                <c:pt idx="127" formatCode="General">
                  <c:v>2009</c:v>
                </c:pt>
                <c:pt idx="128" formatCode="General">
                  <c:v>2009</c:v>
                </c:pt>
                <c:pt idx="129" formatCode="General">
                  <c:v>2010</c:v>
                </c:pt>
                <c:pt idx="130" formatCode="General">
                  <c:v>2010</c:v>
                </c:pt>
                <c:pt idx="131" formatCode="General">
                  <c:v>2010</c:v>
                </c:pt>
                <c:pt idx="132" formatCode="General">
                  <c:v>2010</c:v>
                </c:pt>
                <c:pt idx="133" formatCode="General">
                  <c:v>2011</c:v>
                </c:pt>
                <c:pt idx="134" formatCode="General">
                  <c:v>2011</c:v>
                </c:pt>
                <c:pt idx="135" formatCode="General">
                  <c:v>2011</c:v>
                </c:pt>
                <c:pt idx="136" formatCode="General">
                  <c:v>2011</c:v>
                </c:pt>
                <c:pt idx="137" formatCode="General">
                  <c:v>2012</c:v>
                </c:pt>
                <c:pt idx="138" formatCode="General">
                  <c:v>2012</c:v>
                </c:pt>
                <c:pt idx="139" formatCode="General">
                  <c:v>2012</c:v>
                </c:pt>
                <c:pt idx="140" formatCode="General">
                  <c:v>2012</c:v>
                </c:pt>
                <c:pt idx="141" formatCode="General">
                  <c:v>2012</c:v>
                </c:pt>
                <c:pt idx="142" formatCode="General">
                  <c:v>2012</c:v>
                </c:pt>
                <c:pt idx="143" formatCode="General">
                  <c:v>2013</c:v>
                </c:pt>
                <c:pt idx="144" formatCode="General">
                  <c:v>2013</c:v>
                </c:pt>
                <c:pt idx="145" formatCode="General">
                  <c:v>2013</c:v>
                </c:pt>
                <c:pt idx="146" formatCode="General">
                  <c:v>2013</c:v>
                </c:pt>
                <c:pt idx="147" formatCode="General">
                  <c:v>2013</c:v>
                </c:pt>
                <c:pt idx="148" formatCode="General">
                  <c:v>2013</c:v>
                </c:pt>
                <c:pt idx="149" formatCode="General">
                  <c:v>2013</c:v>
                </c:pt>
                <c:pt idx="150" formatCode="General">
                  <c:v>2014</c:v>
                </c:pt>
                <c:pt idx="151" formatCode="General">
                  <c:v>2014</c:v>
                </c:pt>
                <c:pt idx="152" formatCode="General">
                  <c:v>2014</c:v>
                </c:pt>
                <c:pt idx="153" formatCode="General">
                  <c:v>2014</c:v>
                </c:pt>
                <c:pt idx="154" formatCode="General">
                  <c:v>2014</c:v>
                </c:pt>
                <c:pt idx="155" formatCode="General">
                  <c:v>2015</c:v>
                </c:pt>
                <c:pt idx="156" formatCode="General">
                  <c:v>2015</c:v>
                </c:pt>
                <c:pt idx="157" formatCode="General">
                  <c:v>2015</c:v>
                </c:pt>
                <c:pt idx="158" formatCode="General">
                  <c:v>2015</c:v>
                </c:pt>
                <c:pt idx="159" formatCode="General">
                  <c:v>2015</c:v>
                </c:pt>
                <c:pt idx="160" formatCode="General">
                  <c:v>2016</c:v>
                </c:pt>
                <c:pt idx="161" formatCode="General">
                  <c:v>2016</c:v>
                </c:pt>
                <c:pt idx="162" formatCode="General">
                  <c:v>2016</c:v>
                </c:pt>
                <c:pt idx="163" formatCode="General">
                  <c:v>2016</c:v>
                </c:pt>
                <c:pt idx="164" formatCode="General">
                  <c:v>2016</c:v>
                </c:pt>
                <c:pt idx="165" formatCode="General">
                  <c:v>2017</c:v>
                </c:pt>
                <c:pt idx="166" formatCode="General">
                  <c:v>2017</c:v>
                </c:pt>
                <c:pt idx="167" formatCode="General">
                  <c:v>2017</c:v>
                </c:pt>
                <c:pt idx="168" formatCode="General">
                  <c:v>2017</c:v>
                </c:pt>
                <c:pt idx="169" formatCode="General">
                  <c:v>2017</c:v>
                </c:pt>
                <c:pt idx="170" formatCode="General">
                  <c:v>2018</c:v>
                </c:pt>
                <c:pt idx="171" formatCode="General">
                  <c:v>2018</c:v>
                </c:pt>
                <c:pt idx="172" formatCode="General">
                  <c:v>2018</c:v>
                </c:pt>
                <c:pt idx="173" formatCode="General">
                  <c:v>2018</c:v>
                </c:pt>
                <c:pt idx="174" formatCode="General">
                  <c:v>2019</c:v>
                </c:pt>
                <c:pt idx="175" formatCode="General">
                  <c:v>2019</c:v>
                </c:pt>
                <c:pt idx="176" formatCode="General">
                  <c:v>2019</c:v>
                </c:pt>
                <c:pt idx="177" formatCode="General">
                  <c:v>2019</c:v>
                </c:pt>
                <c:pt idx="178" formatCode="General">
                  <c:v>2020</c:v>
                </c:pt>
                <c:pt idx="179" formatCode="General">
                  <c:v>2020</c:v>
                </c:pt>
                <c:pt idx="180" formatCode="General">
                  <c:v>2020</c:v>
                </c:pt>
                <c:pt idx="181" formatCode="General">
                  <c:v>2020</c:v>
                </c:pt>
                <c:pt idx="182" formatCode="General">
                  <c:v>2021</c:v>
                </c:pt>
                <c:pt idx="183" formatCode="General">
                  <c:v>2021</c:v>
                </c:pt>
                <c:pt idx="184" formatCode="General">
                  <c:v>2021</c:v>
                </c:pt>
                <c:pt idx="185" formatCode="General">
                  <c:v>2021</c:v>
                </c:pt>
                <c:pt idx="186" formatCode="General">
                  <c:v>2021</c:v>
                </c:pt>
                <c:pt idx="187" formatCode="General">
                  <c:v>2022</c:v>
                </c:pt>
                <c:pt idx="188" formatCode="General">
                  <c:v>2022</c:v>
                </c:pt>
                <c:pt idx="189" formatCode="General">
                  <c:v>2022</c:v>
                </c:pt>
                <c:pt idx="190" formatCode="General">
                  <c:v>2022</c:v>
                </c:pt>
                <c:pt idx="191" formatCode="General">
                  <c:v>2022</c:v>
                </c:pt>
              </c:numCache>
            </c:numRef>
          </c:cat>
          <c:val>
            <c:numRef>
              <c:f>'Time and Area Standardization'!$AJ$4:$AJ$195</c:f>
              <c:numCache>
                <c:formatCode>0</c:formatCode>
                <c:ptCount val="192"/>
                <c:pt idx="1">
                  <c:v>506.99300699300693</c:v>
                </c:pt>
                <c:pt idx="4">
                  <c:v>838.80120669400048</c:v>
                </c:pt>
                <c:pt idx="9">
                  <c:v>1306.8862182865973</c:v>
                </c:pt>
                <c:pt idx="13">
                  <c:v>1849.7925592559257</c:v>
                </c:pt>
                <c:pt idx="17">
                  <c:v>760.5292360221938</c:v>
                </c:pt>
                <c:pt idx="21">
                  <c:v>1581.337124329717</c:v>
                </c:pt>
                <c:pt idx="25">
                  <c:v>1841.3523196109627</c:v>
                </c:pt>
                <c:pt idx="29">
                  <c:v>278.23299663299656</c:v>
                </c:pt>
                <c:pt idx="34">
                  <c:v>536.71111111111111</c:v>
                </c:pt>
                <c:pt idx="38">
                  <c:v>238.5718088553769</c:v>
                </c:pt>
                <c:pt idx="43">
                  <c:v>679.64473138446556</c:v>
                </c:pt>
                <c:pt idx="47">
                  <c:v>225.39919036718013</c:v>
                </c:pt>
                <c:pt idx="51">
                  <c:v>86.541752071225204</c:v>
                </c:pt>
                <c:pt idx="55">
                  <c:v>341.57917200170721</c:v>
                </c:pt>
                <c:pt idx="59">
                  <c:v>202.65671846266522</c:v>
                </c:pt>
                <c:pt idx="63">
                  <c:v>36.281979192777314</c:v>
                </c:pt>
                <c:pt idx="67">
                  <c:v>321.74799350690523</c:v>
                </c:pt>
                <c:pt idx="72">
                  <c:v>65.806698675154877</c:v>
                </c:pt>
                <c:pt idx="76">
                  <c:v>222.97007635035803</c:v>
                </c:pt>
                <c:pt idx="87">
                  <c:v>191.21818181818179</c:v>
                </c:pt>
                <c:pt idx="95">
                  <c:v>127.09090909090907</c:v>
                </c:pt>
                <c:pt idx="103">
                  <c:v>111.12727272727273</c:v>
                </c:pt>
                <c:pt idx="109">
                  <c:v>139.45454545454541</c:v>
                </c:pt>
                <c:pt idx="115">
                  <c:v>211.94545454545457</c:v>
                </c:pt>
                <c:pt idx="120">
                  <c:v>121.67272727272726</c:v>
                </c:pt>
                <c:pt idx="124">
                  <c:v>60.981818181818177</c:v>
                </c:pt>
                <c:pt idx="128">
                  <c:v>96.218181818181804</c:v>
                </c:pt>
                <c:pt idx="132">
                  <c:v>159.92727272727271</c:v>
                </c:pt>
                <c:pt idx="136">
                  <c:v>253.38181818181818</c:v>
                </c:pt>
                <c:pt idx="142">
                  <c:v>128.70909090909089</c:v>
                </c:pt>
                <c:pt idx="149">
                  <c:v>297.8</c:v>
                </c:pt>
                <c:pt idx="154">
                  <c:v>164.36363636363637</c:v>
                </c:pt>
                <c:pt idx="159">
                  <c:v>330.0363636363636</c:v>
                </c:pt>
                <c:pt idx="164">
                  <c:v>278.12727272727273</c:v>
                </c:pt>
                <c:pt idx="169">
                  <c:v>138.36363636363632</c:v>
                </c:pt>
                <c:pt idx="173">
                  <c:v>58.436363636363637</c:v>
                </c:pt>
                <c:pt idx="177">
                  <c:v>134.85454545454544</c:v>
                </c:pt>
                <c:pt idx="181">
                  <c:v>56.127272727272718</c:v>
                </c:pt>
                <c:pt idx="186">
                  <c:v>61.218181818181812</c:v>
                </c:pt>
                <c:pt idx="191">
                  <c:v>54.272727272727259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2-407C-BE8D-3F44B2CF3567}"/>
            </c:ext>
          </c:extLst>
        </c:ser>
        <c:ser>
          <c:idx val="1"/>
          <c:order val="1"/>
          <c:tx>
            <c:strRef>
              <c:f>'Time and Area Standardization'!$AK$2</c:f>
              <c:strCache>
                <c:ptCount val="1"/>
                <c:pt idx="0">
                  <c:v>Annual Peak Count (observer efficiency of 0.55 applied, spatially and temporally calibrated for non-peak and incomplete historic surveys prior to 1998)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invertIfNegative val="0"/>
          <c:cat>
            <c:numRef>
              <c:f>'Time and Area Standardization'!$A$4:$A$195</c:f>
              <c:numCache>
                <c:formatCode>0</c:formatCode>
                <c:ptCount val="192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1983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1989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1990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1991</c:v>
                </c:pt>
                <c:pt idx="41">
                  <c:v>1991</c:v>
                </c:pt>
                <c:pt idx="42">
                  <c:v>1992</c:v>
                </c:pt>
                <c:pt idx="43">
                  <c:v>1992</c:v>
                </c:pt>
                <c:pt idx="44">
                  <c:v>1992</c:v>
                </c:pt>
                <c:pt idx="45">
                  <c:v>1992</c:v>
                </c:pt>
                <c:pt idx="46">
                  <c:v>1993</c:v>
                </c:pt>
                <c:pt idx="47">
                  <c:v>1993</c:v>
                </c:pt>
                <c:pt idx="48">
                  <c:v>1993</c:v>
                </c:pt>
                <c:pt idx="49">
                  <c:v>1993</c:v>
                </c:pt>
                <c:pt idx="50">
                  <c:v>1994</c:v>
                </c:pt>
                <c:pt idx="51">
                  <c:v>1994</c:v>
                </c:pt>
                <c:pt idx="52">
                  <c:v>1994</c:v>
                </c:pt>
                <c:pt idx="53">
                  <c:v>1994</c:v>
                </c:pt>
                <c:pt idx="54">
                  <c:v>1995</c:v>
                </c:pt>
                <c:pt idx="55">
                  <c:v>1995</c:v>
                </c:pt>
                <c:pt idx="56">
                  <c:v>1995</c:v>
                </c:pt>
                <c:pt idx="57">
                  <c:v>1995</c:v>
                </c:pt>
                <c:pt idx="58">
                  <c:v>1996</c:v>
                </c:pt>
                <c:pt idx="59">
                  <c:v>1996</c:v>
                </c:pt>
                <c:pt idx="60">
                  <c:v>1996</c:v>
                </c:pt>
                <c:pt idx="61">
                  <c:v>1996</c:v>
                </c:pt>
                <c:pt idx="62">
                  <c:v>1998</c:v>
                </c:pt>
                <c:pt idx="63">
                  <c:v>1998</c:v>
                </c:pt>
                <c:pt idx="64">
                  <c:v>1998</c:v>
                </c:pt>
                <c:pt idx="65">
                  <c:v>1998</c:v>
                </c:pt>
                <c:pt idx="66">
                  <c:v>1999</c:v>
                </c:pt>
                <c:pt idx="67">
                  <c:v>1999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 formatCode="General">
                  <c:v>2001</c:v>
                </c:pt>
                <c:pt idx="76" formatCode="General">
                  <c:v>2001</c:v>
                </c:pt>
                <c:pt idx="77">
                  <c:v>2001</c:v>
                </c:pt>
                <c:pt idx="78">
                  <c:v>2001</c:v>
                </c:pt>
                <c:pt idx="79" formatCode="General">
                  <c:v>2001</c:v>
                </c:pt>
                <c:pt idx="80" formatCode="General">
                  <c:v>2002</c:v>
                </c:pt>
                <c:pt idx="81" formatCode="General">
                  <c:v>2002</c:v>
                </c:pt>
                <c:pt idx="82" formatCode="General">
                  <c:v>2002</c:v>
                </c:pt>
                <c:pt idx="83" formatCode="General">
                  <c:v>2002</c:v>
                </c:pt>
                <c:pt idx="84" formatCode="General">
                  <c:v>2002</c:v>
                </c:pt>
                <c:pt idx="85" formatCode="General">
                  <c:v>2002</c:v>
                </c:pt>
                <c:pt idx="86" formatCode="General">
                  <c:v>2002</c:v>
                </c:pt>
                <c:pt idx="87" formatCode="General">
                  <c:v>2002</c:v>
                </c:pt>
                <c:pt idx="88" formatCode="General">
                  <c:v>2003</c:v>
                </c:pt>
                <c:pt idx="89" formatCode="General">
                  <c:v>2003</c:v>
                </c:pt>
                <c:pt idx="90" formatCode="General">
                  <c:v>2003</c:v>
                </c:pt>
                <c:pt idx="91" formatCode="General">
                  <c:v>2003</c:v>
                </c:pt>
                <c:pt idx="92" formatCode="General">
                  <c:v>2003</c:v>
                </c:pt>
                <c:pt idx="93" formatCode="General">
                  <c:v>2003</c:v>
                </c:pt>
                <c:pt idx="94" formatCode="General">
                  <c:v>2003</c:v>
                </c:pt>
                <c:pt idx="95" formatCode="General">
                  <c:v>2003</c:v>
                </c:pt>
                <c:pt idx="96" formatCode="General">
                  <c:v>2004</c:v>
                </c:pt>
                <c:pt idx="97" formatCode="General">
                  <c:v>2004</c:v>
                </c:pt>
                <c:pt idx="98" formatCode="General">
                  <c:v>2004</c:v>
                </c:pt>
                <c:pt idx="99" formatCode="General">
                  <c:v>2004</c:v>
                </c:pt>
                <c:pt idx="100" formatCode="General">
                  <c:v>2004</c:v>
                </c:pt>
                <c:pt idx="101" formatCode="General">
                  <c:v>2004</c:v>
                </c:pt>
                <c:pt idx="102" formatCode="General">
                  <c:v>2004</c:v>
                </c:pt>
                <c:pt idx="103" formatCode="General">
                  <c:v>2004</c:v>
                </c:pt>
                <c:pt idx="104" formatCode="General">
                  <c:v>2005</c:v>
                </c:pt>
                <c:pt idx="105" formatCode="General">
                  <c:v>2005</c:v>
                </c:pt>
                <c:pt idx="106" formatCode="General">
                  <c:v>2005</c:v>
                </c:pt>
                <c:pt idx="107" formatCode="General">
                  <c:v>2005</c:v>
                </c:pt>
                <c:pt idx="108" formatCode="General">
                  <c:v>2005</c:v>
                </c:pt>
                <c:pt idx="109" formatCode="General">
                  <c:v>2005</c:v>
                </c:pt>
                <c:pt idx="110" formatCode="General">
                  <c:v>2006</c:v>
                </c:pt>
                <c:pt idx="111" formatCode="General">
                  <c:v>2006</c:v>
                </c:pt>
                <c:pt idx="112" formatCode="General">
                  <c:v>2006</c:v>
                </c:pt>
                <c:pt idx="113" formatCode="General">
                  <c:v>2006</c:v>
                </c:pt>
                <c:pt idx="114" formatCode="General">
                  <c:v>2006</c:v>
                </c:pt>
                <c:pt idx="115" formatCode="General">
                  <c:v>2006</c:v>
                </c:pt>
                <c:pt idx="116" formatCode="General">
                  <c:v>2007</c:v>
                </c:pt>
                <c:pt idx="117" formatCode="General">
                  <c:v>2007</c:v>
                </c:pt>
                <c:pt idx="118" formatCode="General">
                  <c:v>2007</c:v>
                </c:pt>
                <c:pt idx="119" formatCode="General">
                  <c:v>2007</c:v>
                </c:pt>
                <c:pt idx="120" formatCode="General">
                  <c:v>2007</c:v>
                </c:pt>
                <c:pt idx="121" formatCode="General">
                  <c:v>2008</c:v>
                </c:pt>
                <c:pt idx="122" formatCode="General">
                  <c:v>2008</c:v>
                </c:pt>
                <c:pt idx="123" formatCode="General">
                  <c:v>2008</c:v>
                </c:pt>
                <c:pt idx="124" formatCode="General">
                  <c:v>2008</c:v>
                </c:pt>
                <c:pt idx="125" formatCode="General">
                  <c:v>2009</c:v>
                </c:pt>
                <c:pt idx="126" formatCode="General">
                  <c:v>2009</c:v>
                </c:pt>
                <c:pt idx="127" formatCode="General">
                  <c:v>2009</c:v>
                </c:pt>
                <c:pt idx="128" formatCode="General">
                  <c:v>2009</c:v>
                </c:pt>
                <c:pt idx="129" formatCode="General">
                  <c:v>2010</c:v>
                </c:pt>
                <c:pt idx="130" formatCode="General">
                  <c:v>2010</c:v>
                </c:pt>
                <c:pt idx="131" formatCode="General">
                  <c:v>2010</c:v>
                </c:pt>
                <c:pt idx="132" formatCode="General">
                  <c:v>2010</c:v>
                </c:pt>
                <c:pt idx="133" formatCode="General">
                  <c:v>2011</c:v>
                </c:pt>
                <c:pt idx="134" formatCode="General">
                  <c:v>2011</c:v>
                </c:pt>
                <c:pt idx="135" formatCode="General">
                  <c:v>2011</c:v>
                </c:pt>
                <c:pt idx="136" formatCode="General">
                  <c:v>2011</c:v>
                </c:pt>
                <c:pt idx="137" formatCode="General">
                  <c:v>2012</c:v>
                </c:pt>
                <c:pt idx="138" formatCode="General">
                  <c:v>2012</c:v>
                </c:pt>
                <c:pt idx="139" formatCode="General">
                  <c:v>2012</c:v>
                </c:pt>
                <c:pt idx="140" formatCode="General">
                  <c:v>2012</c:v>
                </c:pt>
                <c:pt idx="141" formatCode="General">
                  <c:v>2012</c:v>
                </c:pt>
                <c:pt idx="142" formatCode="General">
                  <c:v>2012</c:v>
                </c:pt>
                <c:pt idx="143" formatCode="General">
                  <c:v>2013</c:v>
                </c:pt>
                <c:pt idx="144" formatCode="General">
                  <c:v>2013</c:v>
                </c:pt>
                <c:pt idx="145" formatCode="General">
                  <c:v>2013</c:v>
                </c:pt>
                <c:pt idx="146" formatCode="General">
                  <c:v>2013</c:v>
                </c:pt>
                <c:pt idx="147" formatCode="General">
                  <c:v>2013</c:v>
                </c:pt>
                <c:pt idx="148" formatCode="General">
                  <c:v>2013</c:v>
                </c:pt>
                <c:pt idx="149" formatCode="General">
                  <c:v>2013</c:v>
                </c:pt>
                <c:pt idx="150" formatCode="General">
                  <c:v>2014</c:v>
                </c:pt>
                <c:pt idx="151" formatCode="General">
                  <c:v>2014</c:v>
                </c:pt>
                <c:pt idx="152" formatCode="General">
                  <c:v>2014</c:v>
                </c:pt>
                <c:pt idx="153" formatCode="General">
                  <c:v>2014</c:v>
                </c:pt>
                <c:pt idx="154" formatCode="General">
                  <c:v>2014</c:v>
                </c:pt>
                <c:pt idx="155" formatCode="General">
                  <c:v>2015</c:v>
                </c:pt>
                <c:pt idx="156" formatCode="General">
                  <c:v>2015</c:v>
                </c:pt>
                <c:pt idx="157" formatCode="General">
                  <c:v>2015</c:v>
                </c:pt>
                <c:pt idx="158" formatCode="General">
                  <c:v>2015</c:v>
                </c:pt>
                <c:pt idx="159" formatCode="General">
                  <c:v>2015</c:v>
                </c:pt>
                <c:pt idx="160" formatCode="General">
                  <c:v>2016</c:v>
                </c:pt>
                <c:pt idx="161" formatCode="General">
                  <c:v>2016</c:v>
                </c:pt>
                <c:pt idx="162" formatCode="General">
                  <c:v>2016</c:v>
                </c:pt>
                <c:pt idx="163" formatCode="General">
                  <c:v>2016</c:v>
                </c:pt>
                <c:pt idx="164" formatCode="General">
                  <c:v>2016</c:v>
                </c:pt>
                <c:pt idx="165" formatCode="General">
                  <c:v>2017</c:v>
                </c:pt>
                <c:pt idx="166" formatCode="General">
                  <c:v>2017</c:v>
                </c:pt>
                <c:pt idx="167" formatCode="General">
                  <c:v>2017</c:v>
                </c:pt>
                <c:pt idx="168" formatCode="General">
                  <c:v>2017</c:v>
                </c:pt>
                <c:pt idx="169" formatCode="General">
                  <c:v>2017</c:v>
                </c:pt>
                <c:pt idx="170" formatCode="General">
                  <c:v>2018</c:v>
                </c:pt>
                <c:pt idx="171" formatCode="General">
                  <c:v>2018</c:v>
                </c:pt>
                <c:pt idx="172" formatCode="General">
                  <c:v>2018</c:v>
                </c:pt>
                <c:pt idx="173" formatCode="General">
                  <c:v>2018</c:v>
                </c:pt>
                <c:pt idx="174" formatCode="General">
                  <c:v>2019</c:v>
                </c:pt>
                <c:pt idx="175" formatCode="General">
                  <c:v>2019</c:v>
                </c:pt>
                <c:pt idx="176" formatCode="General">
                  <c:v>2019</c:v>
                </c:pt>
                <c:pt idx="177" formatCode="General">
                  <c:v>2019</c:v>
                </c:pt>
                <c:pt idx="178" formatCode="General">
                  <c:v>2020</c:v>
                </c:pt>
                <c:pt idx="179" formatCode="General">
                  <c:v>2020</c:v>
                </c:pt>
                <c:pt idx="180" formatCode="General">
                  <c:v>2020</c:v>
                </c:pt>
                <c:pt idx="181" formatCode="General">
                  <c:v>2020</c:v>
                </c:pt>
                <c:pt idx="182" formatCode="General">
                  <c:v>2021</c:v>
                </c:pt>
                <c:pt idx="183" formatCode="General">
                  <c:v>2021</c:v>
                </c:pt>
                <c:pt idx="184" formatCode="General">
                  <c:v>2021</c:v>
                </c:pt>
                <c:pt idx="185" formatCode="General">
                  <c:v>2021</c:v>
                </c:pt>
                <c:pt idx="186" formatCode="General">
                  <c:v>2021</c:v>
                </c:pt>
                <c:pt idx="187" formatCode="General">
                  <c:v>2022</c:v>
                </c:pt>
                <c:pt idx="188" formatCode="General">
                  <c:v>2022</c:v>
                </c:pt>
                <c:pt idx="189" formatCode="General">
                  <c:v>2022</c:v>
                </c:pt>
                <c:pt idx="190" formatCode="General">
                  <c:v>2022</c:v>
                </c:pt>
                <c:pt idx="191" formatCode="General">
                  <c:v>2022</c:v>
                </c:pt>
              </c:numCache>
            </c:numRef>
          </c:cat>
          <c:val>
            <c:numRef>
              <c:f>'Time and Area Standardization'!$AK$4:$AK$195</c:f>
              <c:numCache>
                <c:formatCode>0.00</c:formatCode>
                <c:ptCount val="192"/>
                <c:pt idx="1">
                  <c:v>337.99533799533793</c:v>
                </c:pt>
                <c:pt idx="4">
                  <c:v>593.43748664137013</c:v>
                </c:pt>
                <c:pt idx="9">
                  <c:v>646.56687047578885</c:v>
                </c:pt>
                <c:pt idx="13">
                  <c:v>942.09420942094198</c:v>
                </c:pt>
                <c:pt idx="17">
                  <c:v>398.34969412434202</c:v>
                </c:pt>
                <c:pt idx="21">
                  <c:v>818.05711435341061</c:v>
                </c:pt>
                <c:pt idx="25">
                  <c:v>920.86033187185569</c:v>
                </c:pt>
                <c:pt idx="29">
                  <c:v>148.14814814814815</c:v>
                </c:pt>
                <c:pt idx="34">
                  <c:v>355.55555555555554</c:v>
                </c:pt>
                <c:pt idx="37">
                  <c:v>147.53692374975628</c:v>
                </c:pt>
                <c:pt idx="43">
                  <c:v>332.62600213602002</c:v>
                </c:pt>
                <c:pt idx="47">
                  <c:v>184.37900128040974</c:v>
                </c:pt>
                <c:pt idx="51">
                  <c:v>59.717326279663268</c:v>
                </c:pt>
                <c:pt idx="55">
                  <c:v>170.72129748186089</c:v>
                </c:pt>
                <c:pt idx="59">
                  <c:v>105.38351696411165</c:v>
                </c:pt>
                <c:pt idx="63">
                  <c:v>18.065745765276283</c:v>
                </c:pt>
                <c:pt idx="67">
                  <c:v>206.14306328592045</c:v>
                </c:pt>
                <c:pt idx="72">
                  <c:v>32.822966679929486</c:v>
                </c:pt>
                <c:pt idx="76">
                  <c:v>138.2842509603073</c:v>
                </c:pt>
                <c:pt idx="80" formatCode="0">
                  <c:v>132.72727272727272</c:v>
                </c:pt>
                <c:pt idx="81" formatCode="0">
                  <c:v>132.72727272727272</c:v>
                </c:pt>
                <c:pt idx="82" formatCode="0">
                  <c:v>132.72727272727272</c:v>
                </c:pt>
                <c:pt idx="83" formatCode="0">
                  <c:v>132.72727272727272</c:v>
                </c:pt>
                <c:pt idx="84" formatCode="0">
                  <c:v>132.72727272727272</c:v>
                </c:pt>
                <c:pt idx="85" formatCode="0">
                  <c:v>132.72727272727272</c:v>
                </c:pt>
                <c:pt idx="86" formatCode="0">
                  <c:v>132.72727272727272</c:v>
                </c:pt>
                <c:pt idx="87" formatCode="0">
                  <c:v>132.72727272727272</c:v>
                </c:pt>
                <c:pt idx="88" formatCode="0">
                  <c:v>90.909090909090907</c:v>
                </c:pt>
                <c:pt idx="89" formatCode="0">
                  <c:v>90.909090909090907</c:v>
                </c:pt>
                <c:pt idx="90" formatCode="0">
                  <c:v>90.909090909090907</c:v>
                </c:pt>
                <c:pt idx="91" formatCode="0">
                  <c:v>90.909090909090907</c:v>
                </c:pt>
                <c:pt idx="92" formatCode="0">
                  <c:v>90.909090909090907</c:v>
                </c:pt>
                <c:pt idx="93" formatCode="0">
                  <c:v>90.909090909090907</c:v>
                </c:pt>
                <c:pt idx="94" formatCode="0">
                  <c:v>90.909090909090907</c:v>
                </c:pt>
                <c:pt idx="95" formatCode="0">
                  <c:v>90.909090909090907</c:v>
                </c:pt>
                <c:pt idx="96" formatCode="0">
                  <c:v>81.818181818181813</c:v>
                </c:pt>
                <c:pt idx="97" formatCode="0">
                  <c:v>81.818181818181813</c:v>
                </c:pt>
                <c:pt idx="98" formatCode="0">
                  <c:v>81.818181818181813</c:v>
                </c:pt>
                <c:pt idx="99" formatCode="0">
                  <c:v>81.818181818181813</c:v>
                </c:pt>
                <c:pt idx="100" formatCode="0">
                  <c:v>81.818181818181813</c:v>
                </c:pt>
                <c:pt idx="101" formatCode="0">
                  <c:v>81.818181818181813</c:v>
                </c:pt>
                <c:pt idx="102" formatCode="0">
                  <c:v>81.818181818181813</c:v>
                </c:pt>
                <c:pt idx="103" formatCode="0">
                  <c:v>81.818181818181813</c:v>
                </c:pt>
                <c:pt idx="104" formatCode="0">
                  <c:v>110.90909090909091</c:v>
                </c:pt>
                <c:pt idx="105" formatCode="0">
                  <c:v>110.90909090909091</c:v>
                </c:pt>
                <c:pt idx="106" formatCode="0">
                  <c:v>110.90909090909091</c:v>
                </c:pt>
                <c:pt idx="107" formatCode="0">
                  <c:v>110.90909090909091</c:v>
                </c:pt>
                <c:pt idx="108" formatCode="0">
                  <c:v>110.90909090909091</c:v>
                </c:pt>
                <c:pt idx="109" formatCode="0">
                  <c:v>110.90909090909091</c:v>
                </c:pt>
                <c:pt idx="110" formatCode="0">
                  <c:v>112.72727272727272</c:v>
                </c:pt>
                <c:pt idx="111" formatCode="0">
                  <c:v>112.72727272727272</c:v>
                </c:pt>
                <c:pt idx="112" formatCode="0">
                  <c:v>112.72727272727272</c:v>
                </c:pt>
                <c:pt idx="113" formatCode="0">
                  <c:v>112.72727272727272</c:v>
                </c:pt>
                <c:pt idx="114" formatCode="0">
                  <c:v>112.72727272727272</c:v>
                </c:pt>
                <c:pt idx="115" formatCode="0">
                  <c:v>112.72727272727272</c:v>
                </c:pt>
                <c:pt idx="116" formatCode="0">
                  <c:v>109.09090909090908</c:v>
                </c:pt>
                <c:pt idx="117" formatCode="0">
                  <c:v>109.09090909090908</c:v>
                </c:pt>
                <c:pt idx="118" formatCode="0">
                  <c:v>109.09090909090908</c:v>
                </c:pt>
                <c:pt idx="119" formatCode="0">
                  <c:v>109.09090909090908</c:v>
                </c:pt>
                <c:pt idx="120" formatCode="0">
                  <c:v>109.09090909090908</c:v>
                </c:pt>
                <c:pt idx="121" formatCode="0">
                  <c:v>32.727272727272727</c:v>
                </c:pt>
                <c:pt idx="122" formatCode="0">
                  <c:v>32.727272727272727</c:v>
                </c:pt>
                <c:pt idx="123" formatCode="0">
                  <c:v>32.727272727272727</c:v>
                </c:pt>
                <c:pt idx="124" formatCode="0">
                  <c:v>32.727272727272727</c:v>
                </c:pt>
                <c:pt idx="125" formatCode="0">
                  <c:v>69.090909090909079</c:v>
                </c:pt>
                <c:pt idx="126" formatCode="0">
                  <c:v>69.090909090909079</c:v>
                </c:pt>
                <c:pt idx="127" formatCode="0">
                  <c:v>69.090909090909079</c:v>
                </c:pt>
                <c:pt idx="128" formatCode="0">
                  <c:v>69.090909090909079</c:v>
                </c:pt>
                <c:pt idx="129" formatCode="0">
                  <c:v>54</c:v>
                </c:pt>
                <c:pt idx="130" formatCode="0">
                  <c:v>54</c:v>
                </c:pt>
                <c:pt idx="131" formatCode="0">
                  <c:v>54</c:v>
                </c:pt>
                <c:pt idx="132" formatCode="0">
                  <c:v>54</c:v>
                </c:pt>
                <c:pt idx="133" formatCode="0">
                  <c:v>187.27272727272725</c:v>
                </c:pt>
                <c:pt idx="134" formatCode="0">
                  <c:v>187.27272727272725</c:v>
                </c:pt>
                <c:pt idx="135" formatCode="0">
                  <c:v>187.27272727272725</c:v>
                </c:pt>
                <c:pt idx="136" formatCode="0">
                  <c:v>187.27272727272725</c:v>
                </c:pt>
                <c:pt idx="137" formatCode="0">
                  <c:v>76.36363636363636</c:v>
                </c:pt>
                <c:pt idx="138" formatCode="0">
                  <c:v>76.36363636363636</c:v>
                </c:pt>
                <c:pt idx="139" formatCode="0">
                  <c:v>76.36363636363636</c:v>
                </c:pt>
                <c:pt idx="140" formatCode="0">
                  <c:v>76.36363636363636</c:v>
                </c:pt>
                <c:pt idx="141" formatCode="0">
                  <c:v>76.36363636363636</c:v>
                </c:pt>
                <c:pt idx="142" formatCode="0">
                  <c:v>76.36363636363636</c:v>
                </c:pt>
                <c:pt idx="143" formatCode="0">
                  <c:v>169.09090909090907</c:v>
                </c:pt>
                <c:pt idx="144" formatCode="0">
                  <c:v>169.09090909090907</c:v>
                </c:pt>
                <c:pt idx="145" formatCode="0">
                  <c:v>169.09090909090907</c:v>
                </c:pt>
                <c:pt idx="146" formatCode="0">
                  <c:v>169.09090909090907</c:v>
                </c:pt>
                <c:pt idx="147" formatCode="0">
                  <c:v>169.09090909090907</c:v>
                </c:pt>
                <c:pt idx="148" formatCode="0">
                  <c:v>169.09090909090907</c:v>
                </c:pt>
                <c:pt idx="149" formatCode="0">
                  <c:v>169.09090909090907</c:v>
                </c:pt>
                <c:pt idx="150" formatCode="0">
                  <c:v>123.63636363636363</c:v>
                </c:pt>
                <c:pt idx="151" formatCode="0">
                  <c:v>123.63636363636363</c:v>
                </c:pt>
                <c:pt idx="152" formatCode="0">
                  <c:v>123.63636363636363</c:v>
                </c:pt>
                <c:pt idx="153" formatCode="0">
                  <c:v>123.63636363636363</c:v>
                </c:pt>
                <c:pt idx="154" formatCode="0">
                  <c:v>123.63636363636363</c:v>
                </c:pt>
                <c:pt idx="155" formatCode="0">
                  <c:v>198.18181818181816</c:v>
                </c:pt>
                <c:pt idx="156" formatCode="0">
                  <c:v>198.18181818181816</c:v>
                </c:pt>
                <c:pt idx="157" formatCode="0">
                  <c:v>198.18181818181816</c:v>
                </c:pt>
                <c:pt idx="158" formatCode="0">
                  <c:v>198.18181818181816</c:v>
                </c:pt>
                <c:pt idx="159" formatCode="0">
                  <c:v>198.18181818181816</c:v>
                </c:pt>
                <c:pt idx="160" formatCode="0">
                  <c:v>174.54545454545453</c:v>
                </c:pt>
                <c:pt idx="161" formatCode="0">
                  <c:v>174.54545454545453</c:v>
                </c:pt>
                <c:pt idx="162" formatCode="0">
                  <c:v>174.54545454545453</c:v>
                </c:pt>
                <c:pt idx="163" formatCode="0">
                  <c:v>174.54545454545453</c:v>
                </c:pt>
                <c:pt idx="164" formatCode="0">
                  <c:v>174.54545454545453</c:v>
                </c:pt>
                <c:pt idx="165" formatCode="0">
                  <c:v>74.545454545454533</c:v>
                </c:pt>
                <c:pt idx="166" formatCode="0">
                  <c:v>74.545454545454533</c:v>
                </c:pt>
                <c:pt idx="167" formatCode="0">
                  <c:v>74.545454545454533</c:v>
                </c:pt>
                <c:pt idx="168" formatCode="0">
                  <c:v>74.545454545454533</c:v>
                </c:pt>
                <c:pt idx="169" formatCode="0">
                  <c:v>74.545454545454533</c:v>
                </c:pt>
                <c:pt idx="170" formatCode="0">
                  <c:v>32.727272727272727</c:v>
                </c:pt>
                <c:pt idx="171" formatCode="0">
                  <c:v>32.727272727272727</c:v>
                </c:pt>
                <c:pt idx="172" formatCode="0">
                  <c:v>32.727272727272727</c:v>
                </c:pt>
                <c:pt idx="173" formatCode="0">
                  <c:v>32.727272727272727</c:v>
                </c:pt>
                <c:pt idx="174" formatCode="0">
                  <c:v>81.818181818181813</c:v>
                </c:pt>
                <c:pt idx="175" formatCode="0">
                  <c:v>81.818181818181813</c:v>
                </c:pt>
                <c:pt idx="176" formatCode="0">
                  <c:v>81.818181818181813</c:v>
                </c:pt>
                <c:pt idx="177" formatCode="0">
                  <c:v>81.818181818181813</c:v>
                </c:pt>
                <c:pt idx="178" formatCode="0">
                  <c:v>50.909090909090907</c:v>
                </c:pt>
                <c:pt idx="179" formatCode="0">
                  <c:v>50.909090909090907</c:v>
                </c:pt>
                <c:pt idx="180" formatCode="0">
                  <c:v>50.909090909090907</c:v>
                </c:pt>
                <c:pt idx="181" formatCode="0">
                  <c:v>50.909090909090907</c:v>
                </c:pt>
                <c:pt idx="182" formatCode="0">
                  <c:v>36.36363636363636</c:v>
                </c:pt>
                <c:pt idx="183" formatCode="0">
                  <c:v>36.36363636363636</c:v>
                </c:pt>
                <c:pt idx="184" formatCode="0">
                  <c:v>36.36363636363636</c:v>
                </c:pt>
                <c:pt idx="185" formatCode="0">
                  <c:v>36.36363636363636</c:v>
                </c:pt>
                <c:pt idx="186" formatCode="0">
                  <c:v>36.36363636363636</c:v>
                </c:pt>
                <c:pt idx="187" formatCode="0">
                  <c:v>27.27272727272727</c:v>
                </c:pt>
                <c:pt idx="188" formatCode="0">
                  <c:v>27.27272727272727</c:v>
                </c:pt>
                <c:pt idx="189" formatCode="0">
                  <c:v>27.27272727272727</c:v>
                </c:pt>
                <c:pt idx="190" formatCode="0">
                  <c:v>27.27272727272727</c:v>
                </c:pt>
                <c:pt idx="191" formatCode="0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2-407C-BE8D-3F44B2CF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25152"/>
        <c:axId val="134553600"/>
      </c:barChart>
      <c:dateAx>
        <c:axId val="1202251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4553600"/>
        <c:crosses val="autoZero"/>
        <c:auto val="0"/>
        <c:lblOffset val="100"/>
        <c:baseTimeUnit val="days"/>
      </c:dateAx>
      <c:valAx>
        <c:axId val="134553600"/>
        <c:scaling>
          <c:orientation val="minMax"/>
          <c:max val="20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0225152"/>
        <c:crosses val="autoZero"/>
        <c:crossBetween val="between"/>
        <c:majorUnit val="500"/>
      </c:valAx>
      <c:spPr>
        <a:solidFill>
          <a:schemeClr val="bg1"/>
        </a:solidFill>
        <a:ln>
          <a:solidFill>
            <a:sysClr val="window" lastClr="FFFFFF">
              <a:lumMod val="65000"/>
            </a:sysClr>
          </a:solidFill>
        </a:ln>
      </c:spPr>
    </c:plotArea>
    <c:legend>
      <c:legendPos val="r"/>
      <c:layout>
        <c:manualLayout>
          <c:xMode val="edge"/>
          <c:yMode val="edge"/>
          <c:x val="0.46908892265305618"/>
          <c:y val="0.19088149996268924"/>
          <c:w val="0.44231145919637993"/>
          <c:h val="0.282060125573296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1061357</xdr:colOff>
      <xdr:row>190</xdr:row>
      <xdr:rowOff>114978</xdr:rowOff>
    </xdr:from>
    <xdr:to>
      <xdr:col>62</xdr:col>
      <xdr:colOff>188987</xdr:colOff>
      <xdr:row>214</xdr:row>
      <xdr:rowOff>145141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133351</xdr:colOff>
      <xdr:row>179</xdr:row>
      <xdr:rowOff>6351</xdr:rowOff>
    </xdr:from>
    <xdr:to>
      <xdr:col>66</xdr:col>
      <xdr:colOff>137585</xdr:colOff>
      <xdr:row>210</xdr:row>
      <xdr:rowOff>71439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789214</xdr:colOff>
      <xdr:row>174</xdr:row>
      <xdr:rowOff>81642</xdr:rowOff>
    </xdr:from>
    <xdr:to>
      <xdr:col>52</xdr:col>
      <xdr:colOff>217714</xdr:colOff>
      <xdr:row>187</xdr:row>
      <xdr:rowOff>122465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35038393" y="30711321"/>
          <a:ext cx="1061357" cy="13471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15877</xdr:colOff>
      <xdr:row>172</xdr:row>
      <xdr:rowOff>54430</xdr:rowOff>
    </xdr:from>
    <xdr:to>
      <xdr:col>57</xdr:col>
      <xdr:colOff>78922</xdr:colOff>
      <xdr:row>185</xdr:row>
      <xdr:rowOff>122464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 flipV="1">
          <a:off x="37734877" y="30357537"/>
          <a:ext cx="1450974" cy="15376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78</xdr:col>
      <xdr:colOff>342440</xdr:colOff>
      <xdr:row>66</xdr:row>
      <xdr:rowOff>54429</xdr:rowOff>
    </xdr:from>
    <xdr:to>
      <xdr:col>88</xdr:col>
      <xdr:colOff>95250</xdr:colOff>
      <xdr:row>90</xdr:row>
      <xdr:rowOff>95251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16226" y="9334500"/>
          <a:ext cx="5549453" cy="3959679"/>
        </a:xfrm>
        <a:prstGeom prst="rect">
          <a:avLst/>
        </a:prstGeom>
      </xdr:spPr>
    </xdr:pic>
    <xdr:clientData/>
  </xdr:twoCellAnchor>
  <xdr:twoCellAnchor>
    <xdr:from>
      <xdr:col>1</xdr:col>
      <xdr:colOff>555078</xdr:colOff>
      <xdr:row>2</xdr:row>
      <xdr:rowOff>72458</xdr:rowOff>
    </xdr:from>
    <xdr:to>
      <xdr:col>67</xdr:col>
      <xdr:colOff>297452</xdr:colOff>
      <xdr:row>49</xdr:row>
      <xdr:rowOff>72412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56"/>
  <sheetViews>
    <sheetView tabSelected="1" topLeftCell="A2" zoomScale="70" zoomScaleNormal="70" workbookViewId="0">
      <selection activeCell="CC109" sqref="CC109"/>
    </sheetView>
  </sheetViews>
  <sheetFormatPr defaultRowHeight="13.2" x14ac:dyDescent="0.25"/>
  <cols>
    <col min="1" max="1" width="9.109375" customWidth="1"/>
    <col min="2" max="2" width="13.44140625" customWidth="1"/>
    <col min="3" max="3" width="15.6640625" style="12" customWidth="1"/>
    <col min="4" max="4" width="12" customWidth="1"/>
    <col min="5" max="5" width="10.6640625" customWidth="1"/>
    <col min="6" max="6" width="20.44140625" style="4" customWidth="1"/>
    <col min="7" max="7" width="7.6640625" style="8" hidden="1" customWidth="1"/>
    <col min="8" max="8" width="7" hidden="1" customWidth="1"/>
    <col min="9" max="9" width="9" hidden="1" customWidth="1"/>
    <col min="10" max="10" width="9.5546875" hidden="1" customWidth="1"/>
    <col min="11" max="14" width="9" hidden="1" customWidth="1"/>
    <col min="15" max="15" width="15.109375" style="7" hidden="1" customWidth="1"/>
    <col min="16" max="16" width="8" style="8" hidden="1" customWidth="1"/>
    <col min="17" max="17" width="7.109375" hidden="1" customWidth="1"/>
    <col min="18" max="18" width="11.33203125" hidden="1" customWidth="1"/>
    <col min="19" max="19" width="9.88671875" hidden="1" customWidth="1"/>
    <col min="20" max="20" width="7.5546875" hidden="1" customWidth="1"/>
    <col min="21" max="23" width="11.33203125" hidden="1" customWidth="1"/>
    <col min="24" max="24" width="10.33203125" style="73" hidden="1" customWidth="1"/>
    <col min="25" max="25" width="7.5546875" hidden="1" customWidth="1"/>
    <col min="26" max="26" width="11" style="73" hidden="1" customWidth="1"/>
    <col min="27" max="27" width="15.5546875" style="1" hidden="1" customWidth="1"/>
    <col min="28" max="28" width="12.109375" hidden="1" customWidth="1"/>
    <col min="29" max="29" width="12.5546875" hidden="1" customWidth="1"/>
    <col min="30" max="30" width="10.6640625" style="2" hidden="1" customWidth="1"/>
    <col min="31" max="31" width="12.33203125" style="5" hidden="1" customWidth="1"/>
    <col min="32" max="32" width="12.109375" style="4" customWidth="1"/>
    <col min="33" max="35" width="11.5546875" customWidth="1"/>
    <col min="36" max="36" width="10.6640625" style="153" customWidth="1"/>
    <col min="37" max="37" width="12.5546875" customWidth="1"/>
    <col min="38" max="38" width="14.88671875" customWidth="1"/>
    <col min="39" max="39" width="12" customWidth="1"/>
    <col min="40" max="40" width="12" style="190" hidden="1" customWidth="1"/>
    <col min="41" max="41" width="12.6640625" style="207" hidden="1" customWidth="1"/>
    <col min="42" max="42" width="27.6640625" style="190" hidden="1" customWidth="1"/>
    <col min="43" max="43" width="12" style="207" hidden="1" customWidth="1"/>
    <col min="44" max="44" width="16.33203125" style="190" hidden="1" customWidth="1"/>
    <col min="45" max="45" width="16.33203125" style="207" hidden="1" customWidth="1"/>
    <col min="46" max="46" width="10.6640625" style="6" hidden="1" customWidth="1"/>
    <col min="47" max="47" width="14.5546875" hidden="1" customWidth="1"/>
    <col min="48" max="48" width="10.109375" hidden="1" customWidth="1"/>
    <col min="49" max="49" width="9.109375" hidden="1" customWidth="1"/>
    <col min="50" max="50" width="12.109375" style="1" hidden="1" customWidth="1"/>
    <col min="51" max="51" width="13.33203125" hidden="1" customWidth="1"/>
    <col min="52" max="52" width="11.109375" style="5" hidden="1" customWidth="1"/>
    <col min="53" max="55" width="9.109375" style="20" hidden="1" customWidth="1"/>
    <col min="56" max="56" width="9.109375" style="15" hidden="1" customWidth="1"/>
    <col min="57" max="58" width="11.5546875" style="15" hidden="1" customWidth="1"/>
    <col min="59" max="60" width="11.33203125" style="15" hidden="1" customWidth="1"/>
    <col min="61" max="61" width="11.6640625" style="15" hidden="1" customWidth="1"/>
    <col min="62" max="62" width="9.109375" style="15" hidden="1" customWidth="1"/>
    <col min="63" max="72" width="9.109375"/>
    <col min="74" max="78" width="9.109375" customWidth="1"/>
    <col min="79" max="79" width="11.33203125" customWidth="1"/>
    <col min="80" max="81" width="9.109375" customWidth="1"/>
    <col min="88" max="88" width="2.109375" customWidth="1"/>
    <col min="92" max="93" width="16.44140625" customWidth="1"/>
    <col min="94" max="94" width="13.44140625" customWidth="1"/>
    <col min="98" max="98" width="15.88671875" customWidth="1"/>
    <col min="99" max="99" width="16.109375" customWidth="1"/>
  </cols>
  <sheetData>
    <row r="1" spans="1:72" s="37" customFormat="1" ht="82.5" customHeight="1" thickTop="1" thickBot="1" x14ac:dyDescent="0.3">
      <c r="A1" s="36"/>
      <c r="B1" s="37" t="s">
        <v>93</v>
      </c>
      <c r="C1" s="38"/>
      <c r="E1" s="154"/>
      <c r="G1" s="40" t="s">
        <v>53</v>
      </c>
      <c r="H1" s="40"/>
      <c r="I1" s="40"/>
      <c r="J1" s="40"/>
      <c r="K1" s="40"/>
      <c r="L1" s="40"/>
      <c r="M1" s="40"/>
      <c r="N1" s="40"/>
      <c r="O1" s="41"/>
      <c r="P1" s="39" t="s">
        <v>94</v>
      </c>
      <c r="Q1" s="40"/>
      <c r="R1" s="40"/>
      <c r="S1" s="40"/>
      <c r="T1" s="40"/>
      <c r="U1" s="40"/>
      <c r="V1" s="40"/>
      <c r="W1" s="40"/>
      <c r="X1" s="69"/>
      <c r="Y1" s="40" t="s">
        <v>51</v>
      </c>
      <c r="Z1" s="69"/>
      <c r="AA1" s="68" t="s">
        <v>57</v>
      </c>
      <c r="AB1" s="37" t="s">
        <v>19</v>
      </c>
      <c r="AD1" s="179"/>
      <c r="AE1" s="41">
        <v>50</v>
      </c>
      <c r="AF1" s="185" t="s">
        <v>11</v>
      </c>
      <c r="AG1" s="186" t="s">
        <v>56</v>
      </c>
      <c r="AH1" s="186">
        <v>0.55000000000000004</v>
      </c>
      <c r="AI1" s="186" t="s">
        <v>2</v>
      </c>
      <c r="AJ1" s="149"/>
      <c r="AK1" s="149"/>
      <c r="AL1" s="149" t="s">
        <v>19</v>
      </c>
      <c r="AM1" s="149">
        <v>50</v>
      </c>
      <c r="AN1" s="187"/>
      <c r="AO1" s="204"/>
      <c r="AP1" s="188" t="s">
        <v>91</v>
      </c>
      <c r="AQ1" s="204"/>
      <c r="AR1" s="187"/>
      <c r="AS1" s="204"/>
      <c r="AT1" s="36" t="s">
        <v>11</v>
      </c>
      <c r="AV1" s="37">
        <v>1</v>
      </c>
      <c r="AX1" s="63"/>
      <c r="AY1" s="37" t="s">
        <v>18</v>
      </c>
      <c r="AZ1" s="41">
        <v>50</v>
      </c>
      <c r="BA1" s="42" t="s">
        <v>23</v>
      </c>
      <c r="BB1" s="43"/>
      <c r="BC1" s="44"/>
      <c r="BD1" s="45" t="s">
        <v>31</v>
      </c>
      <c r="BE1" s="46"/>
      <c r="BF1" s="47"/>
      <c r="BG1" s="46"/>
      <c r="BH1" s="46"/>
      <c r="BI1" s="46"/>
      <c r="BJ1" s="48"/>
    </row>
    <row r="2" spans="1:72" s="50" customFormat="1" ht="116.25" customHeight="1" thickTop="1" thickBot="1" x14ac:dyDescent="0.3">
      <c r="A2" s="49" t="s">
        <v>1</v>
      </c>
      <c r="B2" s="50" t="s">
        <v>6</v>
      </c>
      <c r="C2" s="51" t="s">
        <v>0</v>
      </c>
      <c r="D2" s="50" t="s">
        <v>12</v>
      </c>
      <c r="E2" s="53" t="s">
        <v>59</v>
      </c>
      <c r="F2" s="155" t="s">
        <v>84</v>
      </c>
      <c r="G2" s="53" t="s">
        <v>50</v>
      </c>
      <c r="H2" s="53" t="s">
        <v>52</v>
      </c>
      <c r="I2" s="53" t="s">
        <v>55</v>
      </c>
      <c r="J2" s="53" t="s">
        <v>39</v>
      </c>
      <c r="K2" s="53" t="s">
        <v>52</v>
      </c>
      <c r="L2" s="53" t="s">
        <v>55</v>
      </c>
      <c r="M2" s="53" t="s">
        <v>47</v>
      </c>
      <c r="N2" s="53" t="s">
        <v>52</v>
      </c>
      <c r="O2" s="54" t="s">
        <v>55</v>
      </c>
      <c r="P2" s="52" t="s">
        <v>50</v>
      </c>
      <c r="Q2" s="53" t="s">
        <v>52</v>
      </c>
      <c r="R2" s="53" t="s">
        <v>83</v>
      </c>
      <c r="S2" s="53" t="s">
        <v>39</v>
      </c>
      <c r="T2" s="53" t="s">
        <v>52</v>
      </c>
      <c r="U2" s="53"/>
      <c r="V2" s="53" t="s">
        <v>47</v>
      </c>
      <c r="W2" s="53" t="s">
        <v>52</v>
      </c>
      <c r="X2" s="70" t="s">
        <v>83</v>
      </c>
      <c r="Y2" s="53" t="s">
        <v>52</v>
      </c>
      <c r="Z2" s="70" t="s">
        <v>54</v>
      </c>
      <c r="AA2" s="64" t="s">
        <v>7</v>
      </c>
      <c r="AB2" s="50" t="s">
        <v>22</v>
      </c>
      <c r="AC2" s="50" t="s">
        <v>21</v>
      </c>
      <c r="AD2" s="50" t="s">
        <v>5</v>
      </c>
      <c r="AE2" s="55" t="s">
        <v>10</v>
      </c>
      <c r="AF2" s="184" t="s">
        <v>14</v>
      </c>
      <c r="AG2" s="50" t="s">
        <v>3</v>
      </c>
      <c r="AI2" s="50" t="s">
        <v>7</v>
      </c>
      <c r="AJ2" s="191" t="s">
        <v>96</v>
      </c>
      <c r="AK2" s="53" t="s">
        <v>97</v>
      </c>
      <c r="AL2" s="53" t="s">
        <v>95</v>
      </c>
      <c r="AM2" s="50" t="s">
        <v>10</v>
      </c>
      <c r="AN2" s="188" t="s">
        <v>87</v>
      </c>
      <c r="AO2" s="205" t="s">
        <v>88</v>
      </c>
      <c r="AP2" s="188" t="s">
        <v>92</v>
      </c>
      <c r="AQ2" s="205" t="s">
        <v>86</v>
      </c>
      <c r="AR2" s="192" t="s">
        <v>88</v>
      </c>
      <c r="AS2" s="205" t="s">
        <v>89</v>
      </c>
      <c r="AT2" s="49" t="s">
        <v>14</v>
      </c>
      <c r="AU2" s="50" t="s">
        <v>13</v>
      </c>
      <c r="AV2" s="50" t="s">
        <v>3</v>
      </c>
      <c r="AW2" s="50" t="s">
        <v>17</v>
      </c>
      <c r="AX2" s="64" t="s">
        <v>20</v>
      </c>
      <c r="AY2" s="50" t="s">
        <v>15</v>
      </c>
      <c r="AZ2" s="55" t="s">
        <v>16</v>
      </c>
      <c r="BA2" s="56"/>
      <c r="BB2" s="57" t="s">
        <v>24</v>
      </c>
      <c r="BC2" s="58" t="s">
        <v>24</v>
      </c>
      <c r="BD2" s="59" t="s">
        <v>32</v>
      </c>
      <c r="BE2" s="60"/>
      <c r="BF2" s="61" t="s">
        <v>34</v>
      </c>
      <c r="BG2" s="60"/>
      <c r="BH2" s="61" t="s">
        <v>33</v>
      </c>
      <c r="BI2" s="60"/>
      <c r="BJ2" s="62" t="s">
        <v>35</v>
      </c>
      <c r="BK2" s="53" t="s">
        <v>85</v>
      </c>
      <c r="BL2" s="53"/>
      <c r="BM2" s="53"/>
      <c r="BN2" s="53"/>
      <c r="BO2" s="53"/>
      <c r="BP2" s="53"/>
      <c r="BQ2" s="53"/>
      <c r="BR2" s="53"/>
      <c r="BS2" s="53"/>
      <c r="BT2" s="53"/>
    </row>
    <row r="3" spans="1:72" s="11" customFormat="1" ht="13.8" thickTop="1" x14ac:dyDescent="0.25">
      <c r="C3" s="13"/>
      <c r="F3" s="29"/>
      <c r="G3" s="34"/>
      <c r="O3" s="35"/>
      <c r="P3" s="34"/>
      <c r="X3" s="71"/>
      <c r="Z3" s="71"/>
      <c r="AA3" s="33"/>
      <c r="AE3" s="32"/>
      <c r="AF3" s="29"/>
      <c r="AJ3" s="150"/>
      <c r="AN3" s="189"/>
      <c r="AO3" s="206"/>
      <c r="AP3" s="189"/>
      <c r="AQ3" s="206"/>
      <c r="AR3" s="189"/>
      <c r="AS3" s="206"/>
      <c r="AT3" s="31"/>
      <c r="AX3" s="33"/>
      <c r="AZ3" s="32"/>
      <c r="BA3" s="21"/>
      <c r="BB3" s="22"/>
      <c r="BC3" s="21"/>
      <c r="BD3" s="16"/>
      <c r="BE3" s="17"/>
      <c r="BF3" s="16"/>
      <c r="BG3" s="17"/>
      <c r="BH3" s="16"/>
      <c r="BI3" s="17"/>
      <c r="BJ3" s="16"/>
      <c r="BK3" s="27"/>
      <c r="BL3" s="27"/>
      <c r="BM3" s="27"/>
      <c r="BN3" s="27"/>
      <c r="BO3" s="27"/>
      <c r="BP3" s="27"/>
      <c r="BQ3" s="27"/>
      <c r="BR3" s="27"/>
      <c r="BS3" s="27"/>
      <c r="BT3" s="27"/>
    </row>
    <row r="4" spans="1:72" s="77" customFormat="1" x14ac:dyDescent="0.25">
      <c r="A4" s="74">
        <v>1982</v>
      </c>
      <c r="B4" s="75">
        <f>C4-DATE(YEAR(C4),1,1)+1</f>
        <v>1</v>
      </c>
      <c r="C4" s="76">
        <v>29952</v>
      </c>
      <c r="E4" s="75"/>
      <c r="F4" s="74">
        <v>0</v>
      </c>
      <c r="G4" s="78"/>
      <c r="O4" s="79"/>
      <c r="P4" s="78"/>
      <c r="X4" s="80"/>
      <c r="Z4" s="80"/>
      <c r="AA4" s="81"/>
      <c r="AE4" s="82"/>
      <c r="AF4" s="74">
        <v>0</v>
      </c>
      <c r="AJ4" s="150"/>
      <c r="AN4" s="189"/>
      <c r="AO4" s="206"/>
      <c r="AP4" s="189"/>
      <c r="AQ4" s="206"/>
      <c r="AR4" s="189"/>
      <c r="AS4" s="206"/>
      <c r="AT4" s="83"/>
      <c r="AX4" s="81"/>
      <c r="AZ4" s="82"/>
      <c r="BB4" s="84"/>
      <c r="BD4" s="84"/>
      <c r="BF4" s="84"/>
      <c r="BH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</row>
    <row r="5" spans="1:72" s="77" customFormat="1" x14ac:dyDescent="0.25">
      <c r="A5" s="74">
        <v>1982</v>
      </c>
      <c r="B5" s="75">
        <f>C5-DATE(YEAR(C5),1,1)+1</f>
        <v>112</v>
      </c>
      <c r="C5" s="85">
        <v>30063</v>
      </c>
      <c r="E5" s="75">
        <v>0.05</v>
      </c>
      <c r="F5" s="74">
        <f>Z5</f>
        <v>185.89743589743588</v>
      </c>
      <c r="G5" s="78"/>
      <c r="M5" s="77">
        <v>145</v>
      </c>
      <c r="N5" s="77">
        <f>VLOOKUP(B5,$CI$101:$CO$256, 7)</f>
        <v>0.62480000000000002</v>
      </c>
      <c r="O5" s="79">
        <f>M5/N5</f>
        <v>232.07426376440461</v>
      </c>
      <c r="P5" s="78"/>
      <c r="V5" s="77">
        <v>145</v>
      </c>
      <c r="W5" s="77">
        <f>VLOOKUP(B5,$CI$98:$CU$253, 13)</f>
        <v>0.78</v>
      </c>
      <c r="X5" s="80">
        <f>V5/W5</f>
        <v>185.89743589743588</v>
      </c>
      <c r="Y5" s="77">
        <f>VLOOKUP(B5,$CF$86:$CH$241,2)</f>
        <v>1</v>
      </c>
      <c r="Z5" s="80">
        <f>X5/Y5</f>
        <v>185.89743589743588</v>
      </c>
      <c r="AA5" s="81">
        <f>0.5*($B6-$B4)*$F5</f>
        <v>13942.307692307691</v>
      </c>
      <c r="AB5" s="86">
        <f>AE5/$AE$1</f>
        <v>278.84615384615381</v>
      </c>
      <c r="AC5" s="77">
        <f>F5</f>
        <v>185.89743589743588</v>
      </c>
      <c r="AD5" s="109">
        <f>AB5/AC5</f>
        <v>1.5</v>
      </c>
      <c r="AE5" s="82">
        <f>AA5</f>
        <v>13942.307692307691</v>
      </c>
      <c r="AF5" s="74">
        <f>F5/AG5</f>
        <v>337.99533799533793</v>
      </c>
      <c r="AG5" s="77">
        <f>$AH$1</f>
        <v>0.55000000000000004</v>
      </c>
      <c r="AI5" s="77">
        <f>AA5/AG5</f>
        <v>25349.650349650346</v>
      </c>
      <c r="AJ5" s="151">
        <f>AM5/$AE$1</f>
        <v>506.99300699300693</v>
      </c>
      <c r="AK5" s="77">
        <f>AC5/AG5</f>
        <v>337.99533799533793</v>
      </c>
      <c r="AL5" s="84">
        <f>AJ5/AK5</f>
        <v>1.5</v>
      </c>
      <c r="AM5" s="77">
        <f>AE5/AG5</f>
        <v>25349.650349650346</v>
      </c>
      <c r="AN5" s="189"/>
      <c r="AO5" s="206"/>
      <c r="AP5" s="189">
        <f>AK5*$AO$188</f>
        <v>0</v>
      </c>
      <c r="AQ5" s="206"/>
      <c r="AR5" s="189"/>
      <c r="AS5" s="206">
        <f>AK5*$AR$177</f>
        <v>0</v>
      </c>
      <c r="AT5" s="83"/>
      <c r="AX5" s="81"/>
      <c r="AZ5" s="82"/>
      <c r="BB5" s="84"/>
      <c r="BD5" s="84"/>
      <c r="BF5" s="84"/>
      <c r="BH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</row>
    <row r="6" spans="1:72" s="77" customFormat="1" x14ac:dyDescent="0.25">
      <c r="A6" s="74">
        <v>1982</v>
      </c>
      <c r="B6" s="75">
        <f>C6-DATE(YEAR(C6),1,1)+1</f>
        <v>151</v>
      </c>
      <c r="C6" s="76">
        <v>30102</v>
      </c>
      <c r="E6" s="75"/>
      <c r="F6" s="74">
        <f>Z6</f>
        <v>0</v>
      </c>
      <c r="G6" s="78"/>
      <c r="O6" s="79"/>
      <c r="P6" s="78"/>
      <c r="X6" s="80"/>
      <c r="Z6" s="80"/>
      <c r="AA6" s="81"/>
      <c r="AB6" s="86"/>
      <c r="AD6" s="109"/>
      <c r="AE6" s="82"/>
      <c r="AF6" s="74">
        <f>F6/AG6</f>
        <v>0</v>
      </c>
      <c r="AG6" s="77">
        <f t="shared" ref="AG6:AG86" si="0">$AH$1</f>
        <v>0.55000000000000004</v>
      </c>
      <c r="AI6" s="77">
        <f t="shared" ref="AI6:AI69" si="1">AA6/AG6</f>
        <v>0</v>
      </c>
      <c r="AJ6" s="151"/>
      <c r="AM6" s="77">
        <f t="shared" ref="AM6:AM69" si="2">AE6/AG6</f>
        <v>0</v>
      </c>
      <c r="AN6" s="189"/>
      <c r="AO6" s="206"/>
      <c r="AP6" s="189"/>
      <c r="AQ6" s="206"/>
      <c r="AR6" s="189"/>
      <c r="AS6" s="206"/>
      <c r="AT6" s="83"/>
      <c r="AX6" s="81"/>
      <c r="AZ6" s="82"/>
      <c r="BB6" s="84"/>
      <c r="BD6" s="84"/>
      <c r="BF6" s="84"/>
      <c r="BH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</row>
    <row r="7" spans="1:72" s="11" customFormat="1" x14ac:dyDescent="0.25">
      <c r="A7" s="29">
        <v>1983</v>
      </c>
      <c r="B7">
        <f t="shared" ref="B7:B15" si="3">C7-DATE(YEAR(C7),1,1)+1</f>
        <v>1</v>
      </c>
      <c r="C7" s="13">
        <v>30317</v>
      </c>
      <c r="E7"/>
      <c r="F7" s="29">
        <v>0</v>
      </c>
      <c r="G7" s="34"/>
      <c r="O7" s="35"/>
      <c r="P7" s="34"/>
      <c r="X7" s="71"/>
      <c r="Z7" s="71"/>
      <c r="AA7" s="33"/>
      <c r="AB7" s="1"/>
      <c r="AD7" s="2"/>
      <c r="AE7" s="32"/>
      <c r="AF7" s="74">
        <f>AHL77</f>
        <v>0</v>
      </c>
      <c r="AG7" s="11">
        <f t="shared" si="0"/>
        <v>0.55000000000000004</v>
      </c>
      <c r="AI7" s="77">
        <f t="shared" si="1"/>
        <v>0</v>
      </c>
      <c r="AJ7" s="151"/>
      <c r="AK7" s="77"/>
      <c r="AM7" s="77">
        <f t="shared" si="2"/>
        <v>0</v>
      </c>
      <c r="AN7" s="189"/>
      <c r="AO7" s="206"/>
      <c r="AP7" s="189"/>
      <c r="AQ7" s="206"/>
      <c r="AR7" s="189"/>
      <c r="AS7" s="206"/>
      <c r="AT7" s="31"/>
      <c r="AX7" s="33"/>
      <c r="AZ7" s="32"/>
      <c r="BA7" s="21"/>
      <c r="BB7" s="22"/>
      <c r="BC7" s="21"/>
      <c r="BD7" s="16"/>
      <c r="BE7" s="17"/>
      <c r="BF7" s="16"/>
      <c r="BG7" s="17"/>
      <c r="BH7" s="16"/>
      <c r="BI7" s="17"/>
      <c r="BJ7" s="16"/>
      <c r="BK7" s="27"/>
      <c r="BL7" s="27"/>
      <c r="BM7" s="27"/>
      <c r="BN7" s="27"/>
      <c r="BO7" s="27"/>
      <c r="BP7" s="27"/>
      <c r="BQ7" s="27"/>
      <c r="BR7" s="27"/>
      <c r="BS7" s="27"/>
      <c r="BT7" s="27"/>
    </row>
    <row r="8" spans="1:72" s="11" customFormat="1" x14ac:dyDescent="0.25">
      <c r="A8" s="29">
        <v>1983</v>
      </c>
      <c r="B8">
        <f t="shared" si="3"/>
        <v>83</v>
      </c>
      <c r="C8" s="30">
        <v>30399</v>
      </c>
      <c r="E8">
        <v>0.1</v>
      </c>
      <c r="F8" s="29">
        <f>R8</f>
        <v>212.67605633802819</v>
      </c>
      <c r="G8" s="34">
        <v>151</v>
      </c>
      <c r="H8" s="11">
        <f>VLOOKUP(B8,$CI$97:$CO$252, 6)</f>
        <v>0.77490000000000003</v>
      </c>
      <c r="I8" s="11">
        <f>G8/H8</f>
        <v>194.86385340043876</v>
      </c>
      <c r="O8" s="35"/>
      <c r="P8" s="34">
        <v>151</v>
      </c>
      <c r="Q8" s="11">
        <f>VLOOKUP(B8,CI61:CU226, 12)</f>
        <v>0.71</v>
      </c>
      <c r="R8" s="11">
        <f>P8/Q8</f>
        <v>212.67605633802819</v>
      </c>
      <c r="X8" s="71"/>
      <c r="Y8" s="11">
        <f>VLOOKUP(B8,$CF$86:$CH$241,2)</f>
        <v>0.72899999999999998</v>
      </c>
      <c r="Z8" s="71">
        <f>R8/Y8</f>
        <v>291.73670279564908</v>
      </c>
      <c r="AA8" s="33">
        <f>0.5*(B8-B7)*F8</f>
        <v>8719.7183098591559</v>
      </c>
      <c r="AB8" s="1">
        <f>AE8/$AE$1</f>
        <v>461.34066368170022</v>
      </c>
      <c r="AC8" s="11">
        <f>F10</f>
        <v>326.39061765275358</v>
      </c>
      <c r="AD8" s="2">
        <f>AB8/AC8</f>
        <v>1.4134617808546193</v>
      </c>
      <c r="AE8" s="32">
        <f>SUM(AA8:AA11)</f>
        <v>23067.033184085012</v>
      </c>
      <c r="AF8" s="74">
        <f>F8/AG8</f>
        <v>386.68373879641484</v>
      </c>
      <c r="AG8" s="11">
        <f t="shared" si="0"/>
        <v>0.55000000000000004</v>
      </c>
      <c r="AI8" s="77">
        <f t="shared" si="1"/>
        <v>15854.033290653009</v>
      </c>
      <c r="AJ8" s="151">
        <f>AM8/$AM$1</f>
        <v>838.80120669400048</v>
      </c>
      <c r="AK8" s="77">
        <f t="shared" ref="AK8:AK69" si="4">AC8/AG8</f>
        <v>593.43748664137013</v>
      </c>
      <c r="AL8" s="11">
        <f>AJ8/AK8</f>
        <v>1.4134617808546195</v>
      </c>
      <c r="AM8" s="77">
        <f t="shared" si="2"/>
        <v>41940.060334700021</v>
      </c>
      <c r="AN8" s="189"/>
      <c r="AO8" s="206"/>
      <c r="AP8" s="189">
        <f>AK8*$AO$188</f>
        <v>0</v>
      </c>
      <c r="AQ8" s="206"/>
      <c r="AR8" s="189"/>
      <c r="AS8" s="206">
        <f>AK8*$AR$177</f>
        <v>0</v>
      </c>
      <c r="AT8" s="31"/>
      <c r="AX8" s="33"/>
      <c r="AZ8" s="32"/>
      <c r="BA8" s="21"/>
      <c r="BB8" s="22"/>
      <c r="BC8" s="21"/>
      <c r="BD8" s="16"/>
      <c r="BE8" s="17"/>
      <c r="BF8" s="16"/>
      <c r="BG8" s="17"/>
      <c r="BH8" s="16"/>
      <c r="BI8" s="17"/>
      <c r="BJ8" s="16"/>
      <c r="BK8" s="27"/>
      <c r="BL8" s="27"/>
      <c r="BM8" s="27"/>
      <c r="BN8" s="27"/>
      <c r="BO8" s="27"/>
      <c r="BP8" s="27"/>
      <c r="BQ8" s="27"/>
      <c r="BR8" s="27"/>
      <c r="BS8" s="27"/>
      <c r="BT8" s="27"/>
    </row>
    <row r="9" spans="1:72" s="11" customFormat="1" x14ac:dyDescent="0.25">
      <c r="A9" s="29">
        <v>1983</v>
      </c>
      <c r="B9">
        <f t="shared" si="3"/>
        <v>103</v>
      </c>
      <c r="C9" s="30">
        <v>30419</v>
      </c>
      <c r="E9">
        <v>0.15</v>
      </c>
      <c r="F9" s="29">
        <f>X9</f>
        <v>302.56410256410254</v>
      </c>
      <c r="G9" s="34"/>
      <c r="M9" s="11">
        <v>236</v>
      </c>
      <c r="N9" s="11">
        <f>VLOOKUP(B9,$CI$101:$CO$256, 7)</f>
        <v>0.65810000000000002</v>
      </c>
      <c r="O9" s="35">
        <f>M9/N9</f>
        <v>358.60811426834829</v>
      </c>
      <c r="P9" s="34"/>
      <c r="V9" s="11">
        <v>236</v>
      </c>
      <c r="W9" s="11">
        <f>VLOOKUP(B9,$CI$98:$CU$253, 13)</f>
        <v>0.78</v>
      </c>
      <c r="X9" s="71">
        <f>V9/W9</f>
        <v>302.56410256410254</v>
      </c>
      <c r="Y9" s="11">
        <f>VLOOKUP(B9,$CF$86:$CH$241,2)</f>
        <v>0.92699999999999994</v>
      </c>
      <c r="Z9" s="71">
        <f>X9/Y9</f>
        <v>326.39061765275358</v>
      </c>
      <c r="AA9" s="33">
        <f>((B9-B8)*F9)-((B9-B8)*(F9-F8)*0.5)</f>
        <v>5152.4015890213068</v>
      </c>
      <c r="AB9" s="1"/>
      <c r="AD9" s="2"/>
      <c r="AE9" s="32"/>
      <c r="AF9" s="74">
        <f t="shared" ref="AF9:AF16" si="5">F9/AG9</f>
        <v>550.11655011655</v>
      </c>
      <c r="AG9" s="11">
        <f t="shared" si="0"/>
        <v>0.55000000000000004</v>
      </c>
      <c r="AI9" s="77">
        <f t="shared" si="1"/>
        <v>9368.0028891296479</v>
      </c>
      <c r="AJ9" s="151"/>
      <c r="AK9" s="77"/>
      <c r="AM9" s="77">
        <f t="shared" si="2"/>
        <v>0</v>
      </c>
      <c r="AN9" s="189"/>
      <c r="AO9" s="206"/>
      <c r="AP9" s="189"/>
      <c r="AQ9" s="206"/>
      <c r="AR9" s="189"/>
      <c r="AS9" s="206"/>
      <c r="AT9" s="31"/>
      <c r="AX9" s="33"/>
      <c r="AZ9" s="32"/>
      <c r="BA9" s="21"/>
      <c r="BB9" s="22"/>
      <c r="BC9" s="21"/>
      <c r="BD9" s="16"/>
      <c r="BE9" s="17"/>
      <c r="BF9" s="16"/>
      <c r="BG9" s="17"/>
      <c r="BH9" s="16"/>
      <c r="BI9" s="17"/>
      <c r="BJ9" s="16"/>
      <c r="BK9" s="27"/>
      <c r="BL9" s="27"/>
      <c r="BM9" s="27"/>
      <c r="BN9" s="27"/>
      <c r="BO9" s="27"/>
      <c r="BP9" s="27"/>
      <c r="BQ9" s="27"/>
      <c r="BR9" s="27"/>
      <c r="BS9" s="27"/>
      <c r="BT9" s="27"/>
    </row>
    <row r="10" spans="1:72" s="66" customFormat="1" x14ac:dyDescent="0.25">
      <c r="A10" s="156">
        <v>1983</v>
      </c>
      <c r="B10" s="28">
        <f t="shared" si="3"/>
        <v>112</v>
      </c>
      <c r="C10" s="157">
        <v>30428</v>
      </c>
      <c r="E10" s="28">
        <v>0.15</v>
      </c>
      <c r="F10" s="156">
        <f>Z9</f>
        <v>326.39061765275358</v>
      </c>
      <c r="G10" s="158"/>
      <c r="O10" s="159"/>
      <c r="P10" s="158"/>
      <c r="X10" s="160"/>
      <c r="Z10" s="160"/>
      <c r="AA10" s="33">
        <f>((B10-B9)*F10)-((B10-B9)*(F10-F9)*0.5)</f>
        <v>2830.2962409758525</v>
      </c>
      <c r="AB10" s="162"/>
      <c r="AD10" s="180"/>
      <c r="AE10" s="163"/>
      <c r="AF10" s="74">
        <f t="shared" si="5"/>
        <v>593.43748664137013</v>
      </c>
      <c r="AG10" s="11">
        <f t="shared" si="0"/>
        <v>0.55000000000000004</v>
      </c>
      <c r="AI10" s="77">
        <f t="shared" si="1"/>
        <v>5145.9931654106404</v>
      </c>
      <c r="AJ10" s="164"/>
      <c r="AK10" s="77"/>
      <c r="AM10" s="77">
        <f t="shared" si="2"/>
        <v>0</v>
      </c>
      <c r="AN10" s="189"/>
      <c r="AO10" s="206"/>
      <c r="AP10" s="189"/>
      <c r="AQ10" s="206"/>
      <c r="AR10" s="189"/>
      <c r="AS10" s="206"/>
      <c r="AT10" s="165"/>
      <c r="AX10" s="161"/>
      <c r="AZ10" s="163"/>
      <c r="BA10" s="166"/>
      <c r="BB10" s="166"/>
      <c r="BC10" s="166"/>
      <c r="BD10" s="167"/>
      <c r="BE10" s="167"/>
      <c r="BF10" s="167"/>
      <c r="BG10" s="167"/>
      <c r="BH10" s="167"/>
      <c r="BI10" s="167"/>
      <c r="BJ10" s="167"/>
    </row>
    <row r="11" spans="1:72" s="11" customFormat="1" x14ac:dyDescent="0.25">
      <c r="A11" s="29">
        <v>1983</v>
      </c>
      <c r="B11">
        <f t="shared" si="3"/>
        <v>151</v>
      </c>
      <c r="C11" s="13">
        <v>30467</v>
      </c>
      <c r="E11"/>
      <c r="F11" s="29">
        <v>0</v>
      </c>
      <c r="G11" s="34"/>
      <c r="O11" s="35"/>
      <c r="P11" s="34"/>
      <c r="X11" s="71"/>
      <c r="Z11" s="71"/>
      <c r="AA11" s="33">
        <f>0.5*(B11-B10)*F10</f>
        <v>6364.6170442286948</v>
      </c>
      <c r="AB11" s="1"/>
      <c r="AD11" s="2"/>
      <c r="AE11" s="32"/>
      <c r="AF11" s="74">
        <f t="shared" si="5"/>
        <v>0</v>
      </c>
      <c r="AG11" s="11">
        <f t="shared" si="0"/>
        <v>0.55000000000000004</v>
      </c>
      <c r="AI11" s="77">
        <f t="shared" si="1"/>
        <v>11572.030989506717</v>
      </c>
      <c r="AJ11" s="151"/>
      <c r="AK11" s="77"/>
      <c r="AM11" s="77">
        <f t="shared" si="2"/>
        <v>0</v>
      </c>
      <c r="AN11" s="189"/>
      <c r="AO11" s="206"/>
      <c r="AP11" s="189"/>
      <c r="AQ11" s="206"/>
      <c r="AR11" s="189"/>
      <c r="AS11" s="206"/>
      <c r="AT11" s="31"/>
      <c r="AX11" s="33"/>
      <c r="AZ11" s="32"/>
      <c r="BA11" s="21"/>
      <c r="BB11" s="22"/>
      <c r="BC11" s="21"/>
      <c r="BD11" s="16"/>
      <c r="BE11" s="17"/>
      <c r="BF11" s="16"/>
      <c r="BG11" s="17"/>
      <c r="BH11" s="16"/>
      <c r="BI11" s="17"/>
      <c r="BJ11" s="16"/>
      <c r="BK11" s="27"/>
      <c r="BL11" s="27"/>
      <c r="BM11" s="27"/>
      <c r="BN11" s="27"/>
      <c r="BO11" s="27"/>
      <c r="BP11" s="27"/>
      <c r="BQ11" s="27"/>
      <c r="BR11" s="27"/>
      <c r="BS11" s="27"/>
      <c r="BT11" s="27"/>
    </row>
    <row r="12" spans="1:72" s="77" customFormat="1" x14ac:dyDescent="0.25">
      <c r="A12" s="74">
        <v>1984</v>
      </c>
      <c r="B12" s="75">
        <f t="shared" si="3"/>
        <v>1</v>
      </c>
      <c r="C12" s="76">
        <v>30682</v>
      </c>
      <c r="E12" s="75"/>
      <c r="F12" s="74">
        <f>Z12</f>
        <v>0</v>
      </c>
      <c r="G12" s="78"/>
      <c r="O12" s="79"/>
      <c r="P12" s="78"/>
      <c r="X12" s="80"/>
      <c r="Z12" s="80"/>
      <c r="AA12" s="81"/>
      <c r="AB12" s="86"/>
      <c r="AD12" s="109"/>
      <c r="AE12" s="82"/>
      <c r="AF12" s="74">
        <f t="shared" si="5"/>
        <v>0</v>
      </c>
      <c r="AG12" s="11">
        <f t="shared" si="0"/>
        <v>0.55000000000000004</v>
      </c>
      <c r="AI12" s="77">
        <f t="shared" si="1"/>
        <v>0</v>
      </c>
      <c r="AJ12" s="151"/>
      <c r="AM12" s="77">
        <f t="shared" si="2"/>
        <v>0</v>
      </c>
      <c r="AN12" s="189"/>
      <c r="AO12" s="206"/>
      <c r="AP12" s="189"/>
      <c r="AQ12" s="206"/>
      <c r="AR12" s="189"/>
      <c r="AS12" s="206"/>
      <c r="AT12" s="83"/>
      <c r="AX12" s="81"/>
      <c r="AZ12" s="82"/>
      <c r="BB12" s="84"/>
      <c r="BD12" s="84"/>
      <c r="BF12" s="84"/>
      <c r="BH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</row>
    <row r="13" spans="1:72" s="77" customFormat="1" x14ac:dyDescent="0.25">
      <c r="A13" s="74">
        <v>1984</v>
      </c>
      <c r="B13" s="75">
        <f t="shared" si="3"/>
        <v>93</v>
      </c>
      <c r="C13" s="85">
        <v>30774</v>
      </c>
      <c r="E13" s="75">
        <v>0.26</v>
      </c>
      <c r="F13" s="74">
        <f>R13</f>
        <v>297.64705882352939</v>
      </c>
      <c r="G13" s="78">
        <v>253</v>
      </c>
      <c r="H13" s="87">
        <v>0.85</v>
      </c>
      <c r="I13" s="77">
        <f>G13/H13</f>
        <v>297.64705882352939</v>
      </c>
      <c r="O13" s="79"/>
      <c r="P13" s="78">
        <v>253</v>
      </c>
      <c r="Q13" s="87">
        <v>0.85</v>
      </c>
      <c r="R13" s="77">
        <f>P13/Q13</f>
        <v>297.64705882352939</v>
      </c>
      <c r="X13" s="80"/>
      <c r="Y13" s="77">
        <f>VLOOKUP(B13,$CF$86:$CH$241,2)</f>
        <v>0.83699999999999997</v>
      </c>
      <c r="Z13" s="80">
        <f>R13/Y13</f>
        <v>355.61177876168387</v>
      </c>
      <c r="AA13" s="81">
        <f>0.5*($B15-$B12)*$F13</f>
        <v>22472.352941176468</v>
      </c>
      <c r="AB13" s="86">
        <f>AE13/$AE$1</f>
        <v>718.78742005762865</v>
      </c>
      <c r="AC13" s="77">
        <f>F14</f>
        <v>355.61177876168387</v>
      </c>
      <c r="AD13" s="109">
        <f>AB13/AC13</f>
        <v>2.0212699999999999</v>
      </c>
      <c r="AE13" s="82">
        <f>SUM(AA12:AA15)</f>
        <v>35939.371002881431</v>
      </c>
      <c r="AF13" s="74">
        <f>F13/AG13</f>
        <v>541.17647058823525</v>
      </c>
      <c r="AG13" s="11">
        <f t="shared" si="0"/>
        <v>0.55000000000000004</v>
      </c>
      <c r="AI13" s="77">
        <f t="shared" si="1"/>
        <v>40858.823529411755</v>
      </c>
      <c r="AJ13" s="151">
        <f>AM13/$AE$1</f>
        <v>1306.8862182865973</v>
      </c>
      <c r="AK13" s="77">
        <f>AC13/AG13</f>
        <v>646.56687047578885</v>
      </c>
      <c r="AL13" s="77">
        <f>AJ13/AK13</f>
        <v>2.0212699999999995</v>
      </c>
      <c r="AM13" s="77">
        <f t="shared" si="2"/>
        <v>65344.310914329872</v>
      </c>
      <c r="AN13" s="189"/>
      <c r="AO13" s="206"/>
      <c r="AP13" s="189">
        <f>AK13*$AO$188</f>
        <v>0</v>
      </c>
      <c r="AQ13" s="206"/>
      <c r="AR13" s="189"/>
      <c r="AS13" s="206">
        <f>AK13*$AR$177</f>
        <v>0</v>
      </c>
      <c r="AT13" s="83"/>
      <c r="AX13" s="81"/>
      <c r="AZ13" s="82"/>
      <c r="BB13" s="84"/>
      <c r="BD13" s="84"/>
      <c r="BF13" s="84"/>
      <c r="BH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</row>
    <row r="14" spans="1:72" s="87" customFormat="1" x14ac:dyDescent="0.25">
      <c r="A14" s="168">
        <v>1984</v>
      </c>
      <c r="B14" s="89">
        <f>C14-DATE(YEAR(C14),1,1)+1</f>
        <v>113</v>
      </c>
      <c r="C14" s="169">
        <v>30794</v>
      </c>
      <c r="E14" s="89">
        <v>0.26</v>
      </c>
      <c r="F14" s="168">
        <f>Z13</f>
        <v>355.61177876168387</v>
      </c>
      <c r="G14" s="170"/>
      <c r="O14" s="171"/>
      <c r="P14" s="170"/>
      <c r="X14" s="172"/>
      <c r="Z14" s="172"/>
      <c r="AA14" s="81">
        <f>((B14-B13)*F14)-((B14-B13)*(F14-F13)*0.5)</f>
        <v>6532.5883758521322</v>
      </c>
      <c r="AB14" s="174"/>
      <c r="AD14" s="181"/>
      <c r="AE14" s="175"/>
      <c r="AF14" s="74">
        <f>F14/AG14</f>
        <v>646.56687047578885</v>
      </c>
      <c r="AG14" s="11">
        <f t="shared" si="0"/>
        <v>0.55000000000000004</v>
      </c>
      <c r="AI14" s="77">
        <f>AA14/AG14</f>
        <v>11877.43341064024</v>
      </c>
      <c r="AJ14" s="164"/>
      <c r="AK14" s="77"/>
      <c r="AM14" s="77">
        <f t="shared" si="2"/>
        <v>0</v>
      </c>
      <c r="AN14" s="189"/>
      <c r="AO14" s="206"/>
      <c r="AP14" s="189"/>
      <c r="AQ14" s="206"/>
      <c r="AR14" s="189"/>
      <c r="AS14" s="206"/>
      <c r="AT14" s="176"/>
      <c r="AX14" s="173"/>
      <c r="AZ14" s="175"/>
    </row>
    <row r="15" spans="1:72" s="77" customFormat="1" x14ac:dyDescent="0.25">
      <c r="A15" s="74">
        <v>1984</v>
      </c>
      <c r="B15" s="75">
        <f t="shared" si="3"/>
        <v>152</v>
      </c>
      <c r="C15" s="76">
        <v>30833</v>
      </c>
      <c r="E15" s="75"/>
      <c r="F15" s="74">
        <f>Z15</f>
        <v>0</v>
      </c>
      <c r="G15" s="78"/>
      <c r="H15" s="87"/>
      <c r="O15" s="79"/>
      <c r="P15" s="78"/>
      <c r="Q15" s="88" t="s">
        <v>58</v>
      </c>
      <c r="X15" s="80"/>
      <c r="Z15" s="80"/>
      <c r="AA15" s="177">
        <f>0.5*(B15-B14)*F14</f>
        <v>6934.4296858528351</v>
      </c>
      <c r="AB15" s="86"/>
      <c r="AD15" s="109"/>
      <c r="AE15" s="82"/>
      <c r="AF15" s="74">
        <f t="shared" si="5"/>
        <v>0</v>
      </c>
      <c r="AG15" s="11">
        <f t="shared" si="0"/>
        <v>0.55000000000000004</v>
      </c>
      <c r="AI15" s="77">
        <f t="shared" si="1"/>
        <v>12608.05397427788</v>
      </c>
      <c r="AJ15" s="151"/>
      <c r="AM15" s="77">
        <f t="shared" si="2"/>
        <v>0</v>
      </c>
      <c r="AN15" s="189"/>
      <c r="AO15" s="206"/>
      <c r="AP15" s="189"/>
      <c r="AQ15" s="206"/>
      <c r="AR15" s="189"/>
      <c r="AS15" s="206"/>
      <c r="AT15" s="83"/>
      <c r="AX15" s="81"/>
      <c r="AZ15" s="82"/>
      <c r="BB15" s="84"/>
      <c r="BD15" s="84"/>
      <c r="BF15" s="84"/>
      <c r="BH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</row>
    <row r="16" spans="1:72" s="11" customFormat="1" x14ac:dyDescent="0.25">
      <c r="A16" s="29">
        <v>1985</v>
      </c>
      <c r="B16">
        <f t="shared" ref="B16:B23" si="6">C16-DATE(YEAR(C16),1,1)+1</f>
        <v>1</v>
      </c>
      <c r="C16" s="13">
        <v>31048</v>
      </c>
      <c r="E16"/>
      <c r="F16" s="29">
        <v>0</v>
      </c>
      <c r="G16" s="34"/>
      <c r="H16" s="66"/>
      <c r="O16" s="35"/>
      <c r="P16" s="34"/>
      <c r="X16" s="71"/>
      <c r="Z16" s="71"/>
      <c r="AA16" s="33"/>
      <c r="AB16" s="1"/>
      <c r="AD16" s="2"/>
      <c r="AE16" s="32"/>
      <c r="AF16" s="74">
        <f t="shared" si="5"/>
        <v>0</v>
      </c>
      <c r="AG16" s="11">
        <f t="shared" si="0"/>
        <v>0.55000000000000004</v>
      </c>
      <c r="AI16" s="77">
        <f t="shared" si="1"/>
        <v>0</v>
      </c>
      <c r="AJ16" s="151"/>
      <c r="AK16" s="77"/>
      <c r="AM16" s="77">
        <f t="shared" si="2"/>
        <v>0</v>
      </c>
      <c r="AN16" s="189"/>
      <c r="AO16" s="206"/>
      <c r="AP16" s="189"/>
      <c r="AQ16" s="206"/>
      <c r="AR16" s="189"/>
      <c r="AS16" s="206"/>
      <c r="AT16" s="31"/>
      <c r="AX16" s="33"/>
      <c r="AZ16" s="32"/>
      <c r="BA16" s="21"/>
      <c r="BB16" s="22"/>
      <c r="BC16" s="21"/>
      <c r="BD16" s="16"/>
      <c r="BE16" s="17"/>
      <c r="BF16" s="16"/>
      <c r="BG16" s="17"/>
      <c r="BH16" s="16"/>
      <c r="BI16" s="17"/>
      <c r="BJ16" s="16"/>
      <c r="BK16" s="27"/>
      <c r="BL16" s="27"/>
      <c r="BM16" s="27"/>
      <c r="BN16" s="27"/>
      <c r="BO16" s="27"/>
      <c r="BP16" s="27"/>
      <c r="BQ16" s="27"/>
      <c r="BR16" s="27"/>
      <c r="BS16" s="27"/>
      <c r="BT16" s="27"/>
    </row>
    <row r="17" spans="1:72" s="11" customFormat="1" x14ac:dyDescent="0.25">
      <c r="A17" s="29">
        <v>1985</v>
      </c>
      <c r="B17">
        <f t="shared" si="6"/>
        <v>101</v>
      </c>
      <c r="C17" s="30">
        <v>31148</v>
      </c>
      <c r="E17">
        <v>0.28000000000000003</v>
      </c>
      <c r="F17" s="29">
        <v>471</v>
      </c>
      <c r="G17" s="34"/>
      <c r="H17" s="66"/>
      <c r="O17" s="35"/>
      <c r="P17" s="34"/>
      <c r="R17" s="11">
        <v>471</v>
      </c>
      <c r="X17" s="71"/>
      <c r="Y17" s="11">
        <f>VLOOKUP(B17,$CF$86:$CH$241,2)</f>
        <v>0.90899999999999992</v>
      </c>
      <c r="Z17" s="71">
        <f>R17/Y17</f>
        <v>518.15181518151815</v>
      </c>
      <c r="AA17" s="33">
        <f>0.5*($B19-$B16)*$F17</f>
        <v>35325</v>
      </c>
      <c r="AB17" s="1">
        <f>AE17/$AE$1</f>
        <v>1017.3859075907592</v>
      </c>
      <c r="AC17" s="11">
        <f>F18</f>
        <v>518.15181518151815</v>
      </c>
      <c r="AD17" s="2">
        <f>AB17/AC17</f>
        <v>1.9634900000000002</v>
      </c>
      <c r="AE17" s="32">
        <f>SUM(AA17:AA19)</f>
        <v>50869.295379537958</v>
      </c>
      <c r="AF17" s="74">
        <f t="shared" ref="AF17:AF80" si="7">F17/AG17</f>
        <v>856.36363636363626</v>
      </c>
      <c r="AG17" s="11">
        <f t="shared" si="0"/>
        <v>0.55000000000000004</v>
      </c>
      <c r="AI17" s="77">
        <f t="shared" si="1"/>
        <v>64227.272727272721</v>
      </c>
      <c r="AJ17" s="151">
        <f>AM17/$AM$1</f>
        <v>1849.7925592559257</v>
      </c>
      <c r="AK17" s="77">
        <f>AC17/AG17</f>
        <v>942.09420942094198</v>
      </c>
      <c r="AL17" s="11">
        <f>AJ17/AK17</f>
        <v>1.9634900000000004</v>
      </c>
      <c r="AM17" s="77">
        <f t="shared" si="2"/>
        <v>92489.627962796279</v>
      </c>
      <c r="AN17" s="189"/>
      <c r="AO17" s="206"/>
      <c r="AP17" s="189">
        <f>AK17*$AO$188</f>
        <v>0</v>
      </c>
      <c r="AQ17" s="206"/>
      <c r="AR17" s="189"/>
      <c r="AS17" s="206">
        <f>AK17*$AR$177</f>
        <v>0</v>
      </c>
      <c r="AT17" s="31"/>
      <c r="AX17" s="33"/>
      <c r="AZ17" s="32"/>
      <c r="BA17" s="21"/>
      <c r="BB17" s="22"/>
      <c r="BC17" s="21"/>
      <c r="BD17" s="16"/>
      <c r="BE17" s="17"/>
      <c r="BF17" s="16"/>
      <c r="BG17" s="17"/>
      <c r="BH17" s="16"/>
      <c r="BI17" s="17"/>
      <c r="BJ17" s="16"/>
      <c r="BK17" s="27"/>
      <c r="BL17" s="27"/>
      <c r="BM17" s="27"/>
      <c r="BN17" s="27"/>
      <c r="BO17" s="27"/>
      <c r="BP17" s="27"/>
      <c r="BQ17" s="27"/>
      <c r="BR17" s="27"/>
      <c r="BS17" s="27"/>
      <c r="BT17" s="27"/>
    </row>
    <row r="18" spans="1:72" s="66" customFormat="1" x14ac:dyDescent="0.25">
      <c r="A18" s="156">
        <v>1985</v>
      </c>
      <c r="B18" s="28">
        <f t="shared" si="6"/>
        <v>112</v>
      </c>
      <c r="C18" s="157">
        <v>31159</v>
      </c>
      <c r="E18" s="28">
        <v>0.28000000000000003</v>
      </c>
      <c r="F18" s="156">
        <f>Z17</f>
        <v>518.15181518151815</v>
      </c>
      <c r="G18" s="158"/>
      <c r="O18" s="159"/>
      <c r="P18" s="158"/>
      <c r="X18" s="160"/>
      <c r="Z18" s="160"/>
      <c r="AA18" s="178">
        <f>((B18-B17)*F18)-((B18-B17)*(F18-F17)*0.5)</f>
        <v>5440.3349834983492</v>
      </c>
      <c r="AB18" s="162"/>
      <c r="AD18" s="180"/>
      <c r="AE18" s="163"/>
      <c r="AF18" s="74">
        <f t="shared" si="7"/>
        <v>942.09420942094198</v>
      </c>
      <c r="AG18" s="11">
        <f t="shared" si="0"/>
        <v>0.55000000000000004</v>
      </c>
      <c r="AI18" s="77">
        <f t="shared" si="1"/>
        <v>9891.5181518151803</v>
      </c>
      <c r="AJ18" s="164"/>
      <c r="AK18" s="77"/>
      <c r="AM18" s="77">
        <f t="shared" si="2"/>
        <v>0</v>
      </c>
      <c r="AN18" s="189"/>
      <c r="AO18" s="206"/>
      <c r="AP18" s="189"/>
      <c r="AQ18" s="206"/>
      <c r="AR18" s="189"/>
      <c r="AS18" s="206"/>
      <c r="AT18" s="165"/>
      <c r="AX18" s="161"/>
      <c r="AZ18" s="163"/>
      <c r="BA18" s="166"/>
      <c r="BB18" s="166"/>
      <c r="BC18" s="166"/>
      <c r="BD18" s="167"/>
      <c r="BE18" s="167"/>
      <c r="BF18" s="167"/>
      <c r="BG18" s="167"/>
      <c r="BH18" s="167"/>
      <c r="BI18" s="167"/>
      <c r="BJ18" s="167"/>
    </row>
    <row r="19" spans="1:72" s="11" customFormat="1" x14ac:dyDescent="0.25">
      <c r="A19" s="29">
        <v>1985</v>
      </c>
      <c r="B19">
        <f t="shared" si="6"/>
        <v>151</v>
      </c>
      <c r="C19" s="13">
        <v>31198</v>
      </c>
      <c r="E19"/>
      <c r="F19" s="29">
        <v>0</v>
      </c>
      <c r="G19" s="34"/>
      <c r="H19" s="66"/>
      <c r="O19" s="35"/>
      <c r="P19" s="34"/>
      <c r="X19" s="71"/>
      <c r="Z19" s="71"/>
      <c r="AA19" s="33">
        <f>0.5*(B19-B18)*F18</f>
        <v>10103.960396039603</v>
      </c>
      <c r="AB19" s="1"/>
      <c r="AD19" s="2"/>
      <c r="AE19" s="32"/>
      <c r="AF19" s="74">
        <f t="shared" si="7"/>
        <v>0</v>
      </c>
      <c r="AG19" s="11">
        <f t="shared" si="0"/>
        <v>0.55000000000000004</v>
      </c>
      <c r="AI19" s="77">
        <f t="shared" si="1"/>
        <v>18370.837083708368</v>
      </c>
      <c r="AJ19" s="151"/>
      <c r="AK19" s="77"/>
      <c r="AM19" s="77">
        <f t="shared" si="2"/>
        <v>0</v>
      </c>
      <c r="AN19" s="189"/>
      <c r="AO19" s="206"/>
      <c r="AP19" s="189"/>
      <c r="AQ19" s="206"/>
      <c r="AR19" s="189"/>
      <c r="AS19" s="206"/>
      <c r="AT19" s="31"/>
      <c r="AX19" s="33"/>
      <c r="AZ19" s="32"/>
      <c r="BA19" s="21"/>
      <c r="BB19" s="22"/>
      <c r="BC19" s="21"/>
      <c r="BD19" s="16"/>
      <c r="BE19" s="17"/>
      <c r="BF19" s="16"/>
      <c r="BG19" s="17"/>
      <c r="BH19" s="16"/>
      <c r="BI19" s="17"/>
      <c r="BJ19" s="16"/>
      <c r="BK19" s="27"/>
      <c r="BL19" s="27"/>
      <c r="BM19" s="27"/>
      <c r="BN19" s="27"/>
      <c r="BO19" s="27"/>
      <c r="BP19" s="27"/>
      <c r="BQ19" s="27"/>
      <c r="BR19" s="27"/>
      <c r="BS19" s="27"/>
      <c r="BT19" s="27"/>
    </row>
    <row r="20" spans="1:72" s="77" customFormat="1" x14ac:dyDescent="0.25">
      <c r="A20" s="74">
        <v>1986</v>
      </c>
      <c r="B20" s="75">
        <f t="shared" si="6"/>
        <v>1</v>
      </c>
      <c r="C20" s="76">
        <v>31413</v>
      </c>
      <c r="E20" s="75"/>
      <c r="F20" s="74">
        <f>Z20</f>
        <v>0</v>
      </c>
      <c r="G20" s="78"/>
      <c r="H20" s="87"/>
      <c r="O20" s="79"/>
      <c r="P20" s="78"/>
      <c r="X20" s="80"/>
      <c r="Z20" s="80"/>
      <c r="AA20" s="81"/>
      <c r="AB20" s="86"/>
      <c r="AD20" s="109"/>
      <c r="AE20" s="82"/>
      <c r="AF20" s="74">
        <f t="shared" si="7"/>
        <v>0</v>
      </c>
      <c r="AG20" s="11">
        <f t="shared" si="0"/>
        <v>0.55000000000000004</v>
      </c>
      <c r="AI20" s="77">
        <f t="shared" si="1"/>
        <v>0</v>
      </c>
      <c r="AJ20" s="151"/>
      <c r="AM20" s="77">
        <f t="shared" si="2"/>
        <v>0</v>
      </c>
      <c r="AN20" s="189"/>
      <c r="AO20" s="206"/>
      <c r="AP20" s="189"/>
      <c r="AQ20" s="206"/>
      <c r="AR20" s="189"/>
      <c r="AS20" s="206"/>
      <c r="AT20" s="83"/>
      <c r="AX20" s="81"/>
      <c r="AZ20" s="82"/>
      <c r="BB20" s="84"/>
      <c r="BD20" s="84"/>
      <c r="BF20" s="84"/>
      <c r="BH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</row>
    <row r="21" spans="1:72" s="77" customFormat="1" x14ac:dyDescent="0.25">
      <c r="A21" s="74">
        <v>1986</v>
      </c>
      <c r="B21" s="75">
        <f t="shared" si="6"/>
        <v>40</v>
      </c>
      <c r="C21" s="85">
        <v>31452</v>
      </c>
      <c r="E21" s="89">
        <f>(E17+E25)/2</f>
        <v>0.36499999999999999</v>
      </c>
      <c r="F21" s="74">
        <f>R21</f>
        <v>78.873239436619727</v>
      </c>
      <c r="G21" s="78">
        <v>56</v>
      </c>
      <c r="H21" s="77">
        <f>VLOOKUP(B21,$CI$97:$CO$252, 6)</f>
        <v>0.81179999999999997</v>
      </c>
      <c r="I21" s="77">
        <f>G21/H21</f>
        <v>68.982508006898257</v>
      </c>
      <c r="O21" s="79"/>
      <c r="P21" s="78">
        <v>56</v>
      </c>
      <c r="Q21" s="77">
        <f>VLOOKUP(B21,CI61:CU226, 12)</f>
        <v>0.71</v>
      </c>
      <c r="R21" s="77">
        <f>P21/Q21</f>
        <v>78.873239436619727</v>
      </c>
      <c r="X21" s="80"/>
      <c r="Y21" s="77">
        <f>VLOOKUP(B21,$CF$86:$CH$241,2)</f>
        <v>0.36</v>
      </c>
      <c r="Z21" s="80">
        <f>R21/Y21</f>
        <v>219.09233176838814</v>
      </c>
      <c r="AA21" s="81">
        <f>0.5*($B23-$B20)*$F21</f>
        <v>5915.4929577464791</v>
      </c>
      <c r="AB21" s="86">
        <f>AE21/$AE$1</f>
        <v>418.29107981220659</v>
      </c>
      <c r="AC21" s="77">
        <f>F22</f>
        <v>219.09233176838814</v>
      </c>
      <c r="AD21" s="109">
        <f>AB21/AC21</f>
        <v>1.9091999999999998</v>
      </c>
      <c r="AE21" s="82">
        <f>SUM(AA21:AA23)</f>
        <v>20914.553990610329</v>
      </c>
      <c r="AF21" s="74">
        <f t="shared" si="7"/>
        <v>143.40588988476313</v>
      </c>
      <c r="AG21" s="11">
        <f t="shared" si="0"/>
        <v>0.55000000000000004</v>
      </c>
      <c r="AI21" s="77">
        <f t="shared" si="1"/>
        <v>10755.441741357234</v>
      </c>
      <c r="AJ21" s="151">
        <f>AM21/$AE$1</f>
        <v>760.5292360221938</v>
      </c>
      <c r="AK21" s="77">
        <f t="shared" si="4"/>
        <v>398.34969412434202</v>
      </c>
      <c r="AL21" s="77">
        <f>AJ21/AK21</f>
        <v>1.9092</v>
      </c>
      <c r="AM21" s="77">
        <f t="shared" si="2"/>
        <v>38026.46180110969</v>
      </c>
      <c r="AN21" s="189"/>
      <c r="AO21" s="206"/>
      <c r="AP21" s="189">
        <f>AK21*$AO$188</f>
        <v>0</v>
      </c>
      <c r="AQ21" s="206"/>
      <c r="AR21" s="189"/>
      <c r="AS21" s="206">
        <f>AK21*$AR$177</f>
        <v>0</v>
      </c>
      <c r="AT21" s="83"/>
      <c r="AX21" s="81"/>
      <c r="AZ21" s="82"/>
      <c r="BB21" s="84"/>
      <c r="BD21" s="84"/>
      <c r="BF21" s="84"/>
      <c r="BH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</row>
    <row r="22" spans="1:72" s="87" customFormat="1" x14ac:dyDescent="0.25">
      <c r="A22" s="168">
        <v>1986</v>
      </c>
      <c r="B22" s="89">
        <f>C22-DATE(YEAR(C22),1,1)+1</f>
        <v>112</v>
      </c>
      <c r="C22" s="169">
        <v>31524</v>
      </c>
      <c r="E22" s="89">
        <f>(E18+E27)/2</f>
        <v>0.14000000000000001</v>
      </c>
      <c r="F22" s="168">
        <f>Z21</f>
        <v>219.09233176838814</v>
      </c>
      <c r="G22" s="170"/>
      <c r="O22" s="171"/>
      <c r="P22" s="170"/>
      <c r="X22" s="172"/>
      <c r="Z22" s="172"/>
      <c r="AA22" s="81">
        <f>((B22-B21)*F22)-((B22-B21)*(F22-F21)*0.5)</f>
        <v>10726.760563380283</v>
      </c>
      <c r="AB22" s="174"/>
      <c r="AD22" s="181"/>
      <c r="AE22" s="175"/>
      <c r="AF22" s="74">
        <f t="shared" si="7"/>
        <v>398.34969412434202</v>
      </c>
      <c r="AG22" s="11">
        <f t="shared" si="0"/>
        <v>0.55000000000000004</v>
      </c>
      <c r="AI22" s="77">
        <f t="shared" si="1"/>
        <v>19503.201024327787</v>
      </c>
      <c r="AJ22" s="164"/>
      <c r="AK22" s="77"/>
      <c r="AM22" s="77">
        <f t="shared" si="2"/>
        <v>0</v>
      </c>
      <c r="AN22" s="189"/>
      <c r="AO22" s="206"/>
      <c r="AP22" s="189"/>
      <c r="AQ22" s="206"/>
      <c r="AR22" s="189"/>
      <c r="AS22" s="206"/>
      <c r="AT22" s="176"/>
      <c r="AX22" s="173"/>
      <c r="AZ22" s="175"/>
    </row>
    <row r="23" spans="1:72" s="77" customFormat="1" x14ac:dyDescent="0.25">
      <c r="A23" s="74">
        <v>1986</v>
      </c>
      <c r="B23" s="75">
        <f t="shared" si="6"/>
        <v>151</v>
      </c>
      <c r="C23" s="76">
        <v>31563</v>
      </c>
      <c r="E23" s="75"/>
      <c r="F23" s="74">
        <f>Z23</f>
        <v>0</v>
      </c>
      <c r="G23" s="78"/>
      <c r="O23" s="79"/>
      <c r="P23" s="78"/>
      <c r="X23" s="80"/>
      <c r="Z23" s="80"/>
      <c r="AA23" s="177">
        <f>0.5*(B23-B22)*F22</f>
        <v>4272.300469483569</v>
      </c>
      <c r="AB23" s="86"/>
      <c r="AD23" s="109"/>
      <c r="AE23" s="82"/>
      <c r="AF23" s="74">
        <f t="shared" si="7"/>
        <v>0</v>
      </c>
      <c r="AG23" s="11">
        <f t="shared" si="0"/>
        <v>0.55000000000000004</v>
      </c>
      <c r="AI23" s="77">
        <f t="shared" si="1"/>
        <v>7767.8190354246699</v>
      </c>
      <c r="AJ23" s="151"/>
      <c r="AM23" s="77">
        <f t="shared" si="2"/>
        <v>0</v>
      </c>
      <c r="AN23" s="189"/>
      <c r="AO23" s="206"/>
      <c r="AP23" s="189"/>
      <c r="AQ23" s="206"/>
      <c r="AR23" s="189"/>
      <c r="AS23" s="206"/>
      <c r="AT23" s="83"/>
      <c r="AX23" s="81"/>
      <c r="AZ23" s="82"/>
      <c r="BB23" s="84"/>
      <c r="BD23" s="84"/>
      <c r="BF23" s="84"/>
      <c r="BH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</row>
    <row r="24" spans="1:72" s="11" customFormat="1" x14ac:dyDescent="0.25">
      <c r="A24" s="29">
        <v>1987</v>
      </c>
      <c r="B24">
        <f t="shared" ref="B24:B40" si="8">C24-DATE(YEAR(C24),1,1)+1</f>
        <v>1</v>
      </c>
      <c r="C24" s="13">
        <v>31778</v>
      </c>
      <c r="E24"/>
      <c r="F24" s="29">
        <v>0</v>
      </c>
      <c r="G24" s="34"/>
      <c r="O24" s="35"/>
      <c r="P24" s="34"/>
      <c r="X24" s="71"/>
      <c r="Z24" s="71"/>
      <c r="AA24" s="33"/>
      <c r="AB24" s="1"/>
      <c r="AD24" s="2"/>
      <c r="AE24" s="32"/>
      <c r="AF24" s="74">
        <f t="shared" si="7"/>
        <v>0</v>
      </c>
      <c r="AG24" s="11">
        <f t="shared" si="0"/>
        <v>0.55000000000000004</v>
      </c>
      <c r="AI24" s="77">
        <f t="shared" si="1"/>
        <v>0</v>
      </c>
      <c r="AJ24" s="151"/>
      <c r="AK24" s="77"/>
      <c r="AM24" s="77">
        <f t="shared" si="2"/>
        <v>0</v>
      </c>
      <c r="AN24" s="189"/>
      <c r="AO24" s="206"/>
      <c r="AP24" s="189"/>
      <c r="AQ24" s="206"/>
      <c r="AR24" s="189"/>
      <c r="AS24" s="206"/>
      <c r="AT24" s="31"/>
      <c r="AX24" s="33"/>
      <c r="AZ24" s="32"/>
      <c r="BA24" s="21"/>
      <c r="BB24" s="22"/>
      <c r="BC24" s="21"/>
      <c r="BD24" s="16"/>
      <c r="BE24" s="17"/>
      <c r="BF24" s="16"/>
      <c r="BG24" s="17"/>
      <c r="BH24" s="16"/>
      <c r="BI24" s="17"/>
      <c r="BJ24" s="16"/>
      <c r="BK24" s="27"/>
      <c r="BL24" s="27"/>
      <c r="BM24" s="27"/>
      <c r="BN24" s="27"/>
      <c r="BO24" s="27"/>
      <c r="BP24" s="27"/>
      <c r="BQ24" s="27"/>
      <c r="BR24" s="27"/>
      <c r="BS24" s="27"/>
      <c r="BT24" s="27"/>
    </row>
    <row r="25" spans="1:72" s="11" customFormat="1" x14ac:dyDescent="0.25">
      <c r="A25" s="29">
        <v>1987</v>
      </c>
      <c r="B25">
        <f t="shared" si="8"/>
        <v>86</v>
      </c>
      <c r="C25" s="30">
        <v>31863</v>
      </c>
      <c r="E25" s="11">
        <v>0.45</v>
      </c>
      <c r="F25" s="29">
        <f>U25</f>
        <v>328</v>
      </c>
      <c r="G25" s="34"/>
      <c r="J25" s="11">
        <v>164</v>
      </c>
      <c r="K25" s="11">
        <f>VLOOKUP(B25,$CI$101:$CQ$256, 4)</f>
        <v>0.53190000000000004</v>
      </c>
      <c r="L25" s="11">
        <f>J25/K25</f>
        <v>308.32863320172964</v>
      </c>
      <c r="O25" s="35"/>
      <c r="P25" s="34"/>
      <c r="S25" s="11">
        <v>164</v>
      </c>
      <c r="T25" s="11">
        <f>VLOOKUP(B25,$CI$101:$CU$256, 10)</f>
        <v>0.5</v>
      </c>
      <c r="U25" s="11">
        <f>S25/T25</f>
        <v>328</v>
      </c>
      <c r="X25" s="71"/>
      <c r="Y25" s="11">
        <f>VLOOKUP(B25,$CF$86:$CH$241,2)</f>
        <v>0.72899999999999998</v>
      </c>
      <c r="Z25" s="71">
        <f>U25/Y25</f>
        <v>449.93141289437585</v>
      </c>
      <c r="AA25" s="33">
        <f>0.5*($B27-$B24)*$F25</f>
        <v>24600</v>
      </c>
      <c r="AB25" s="1">
        <f>AE25/$AE$1</f>
        <v>869.7354183813444</v>
      </c>
      <c r="AC25" s="11">
        <f>F26</f>
        <v>449.93141289437585</v>
      </c>
      <c r="AD25" s="2">
        <f>AB25/AC25</f>
        <v>1.9330400000000003</v>
      </c>
      <c r="AE25" s="32">
        <f>SUM(AA25:AA27)</f>
        <v>43486.770919067218</v>
      </c>
      <c r="AF25" s="74">
        <f t="shared" si="7"/>
        <v>596.36363636363626</v>
      </c>
      <c r="AG25" s="11">
        <f t="shared" si="0"/>
        <v>0.55000000000000004</v>
      </c>
      <c r="AI25" s="77">
        <f t="shared" si="1"/>
        <v>44727.272727272721</v>
      </c>
      <c r="AJ25" s="151">
        <f>AM25/$AM$1</f>
        <v>1581.337124329717</v>
      </c>
      <c r="AK25" s="77">
        <f t="shared" si="4"/>
        <v>818.05711435341061</v>
      </c>
      <c r="AL25" s="11">
        <f>AJ25/AK25</f>
        <v>1.9330400000000001</v>
      </c>
      <c r="AM25" s="77">
        <f t="shared" si="2"/>
        <v>79066.856216485845</v>
      </c>
      <c r="AN25" s="189"/>
      <c r="AO25" s="206"/>
      <c r="AP25" s="189">
        <f>AK25*$AO$188</f>
        <v>0</v>
      </c>
      <c r="AQ25" s="206"/>
      <c r="AR25" s="189"/>
      <c r="AS25" s="206">
        <f>AK25*$AR$177</f>
        <v>0</v>
      </c>
      <c r="AT25" s="31"/>
      <c r="AX25" s="33"/>
      <c r="AZ25" s="32"/>
      <c r="BA25" s="21"/>
      <c r="BB25" s="22"/>
      <c r="BC25" s="21"/>
      <c r="BD25" s="16"/>
      <c r="BE25" s="17"/>
      <c r="BF25" s="16"/>
      <c r="BG25" s="17"/>
      <c r="BH25" s="16"/>
      <c r="BI25" s="17"/>
      <c r="BJ25" s="16"/>
      <c r="BK25" s="27"/>
      <c r="BL25" s="27"/>
      <c r="BM25" s="27"/>
      <c r="BN25" s="27"/>
      <c r="BO25" s="27"/>
      <c r="BP25" s="27"/>
      <c r="BQ25" s="27"/>
      <c r="BR25" s="27"/>
      <c r="BS25" s="27"/>
      <c r="BT25" s="27"/>
    </row>
    <row r="26" spans="1:72" s="66" customFormat="1" x14ac:dyDescent="0.25">
      <c r="A26" s="156">
        <v>1987</v>
      </c>
      <c r="B26" s="28">
        <f>C26-DATE(YEAR(C26),1,1)+1</f>
        <v>112</v>
      </c>
      <c r="C26" s="157">
        <v>31889</v>
      </c>
      <c r="E26" s="66">
        <v>0.45</v>
      </c>
      <c r="F26" s="156">
        <f>Z25</f>
        <v>449.93141289437585</v>
      </c>
      <c r="G26" s="158"/>
      <c r="O26" s="159"/>
      <c r="P26" s="158"/>
      <c r="X26" s="160"/>
      <c r="Z26" s="160"/>
      <c r="AA26" s="33">
        <f>((B26-B25)*F26)-((B26-B25)*(F26-F25)*0.5)</f>
        <v>10113.108367626886</v>
      </c>
      <c r="AB26" s="162"/>
      <c r="AD26" s="180"/>
      <c r="AE26" s="163"/>
      <c r="AF26" s="74">
        <f t="shared" si="7"/>
        <v>818.05711435341061</v>
      </c>
      <c r="AG26" s="11">
        <f t="shared" si="0"/>
        <v>0.55000000000000004</v>
      </c>
      <c r="AI26" s="77">
        <f t="shared" si="1"/>
        <v>18387.469759321611</v>
      </c>
      <c r="AJ26" s="164"/>
      <c r="AK26" s="77"/>
      <c r="AM26" s="77">
        <f t="shared" si="2"/>
        <v>0</v>
      </c>
      <c r="AN26" s="189"/>
      <c r="AO26" s="206"/>
      <c r="AP26" s="189"/>
      <c r="AQ26" s="206"/>
      <c r="AR26" s="189"/>
      <c r="AS26" s="206"/>
      <c r="AT26" s="165"/>
      <c r="AX26" s="161"/>
      <c r="AZ26" s="163"/>
      <c r="BA26" s="166"/>
      <c r="BB26" s="166"/>
      <c r="BC26" s="166"/>
      <c r="BD26" s="167"/>
      <c r="BE26" s="167"/>
      <c r="BF26" s="167"/>
      <c r="BG26" s="167"/>
      <c r="BH26" s="167"/>
      <c r="BI26" s="167"/>
      <c r="BJ26" s="167"/>
    </row>
    <row r="27" spans="1:72" s="11" customFormat="1" x14ac:dyDescent="0.25">
      <c r="A27" s="29">
        <v>1987</v>
      </c>
      <c r="B27">
        <f t="shared" si="8"/>
        <v>151</v>
      </c>
      <c r="C27" s="13">
        <v>31928</v>
      </c>
      <c r="E27"/>
      <c r="F27" s="29">
        <v>0</v>
      </c>
      <c r="G27" s="34"/>
      <c r="O27" s="35"/>
      <c r="P27" s="34"/>
      <c r="X27" s="71"/>
      <c r="Z27" s="71"/>
      <c r="AA27" s="33">
        <f>0.5*(B27-B26)*F26</f>
        <v>8773.6625514403295</v>
      </c>
      <c r="AB27" s="1"/>
      <c r="AD27" s="2"/>
      <c r="AE27" s="32"/>
      <c r="AF27" s="74">
        <f t="shared" si="7"/>
        <v>0</v>
      </c>
      <c r="AG27" s="11">
        <f t="shared" si="0"/>
        <v>0.55000000000000004</v>
      </c>
      <c r="AI27" s="77">
        <f t="shared" si="1"/>
        <v>15952.113729891507</v>
      </c>
      <c r="AJ27" s="151"/>
      <c r="AK27" s="77"/>
      <c r="AM27" s="77">
        <f t="shared" si="2"/>
        <v>0</v>
      </c>
      <c r="AN27" s="189"/>
      <c r="AO27" s="206"/>
      <c r="AP27" s="189"/>
      <c r="AQ27" s="206"/>
      <c r="AR27" s="189"/>
      <c r="AS27" s="206"/>
      <c r="AT27" s="31"/>
      <c r="AX27" s="33"/>
      <c r="AZ27" s="32"/>
      <c r="BA27" s="21"/>
      <c r="BB27" s="22"/>
      <c r="BC27" s="21"/>
      <c r="BD27" s="16"/>
      <c r="BE27" s="17"/>
      <c r="BF27" s="16"/>
      <c r="BG27" s="17"/>
      <c r="BH27" s="16"/>
      <c r="BI27" s="17"/>
      <c r="BJ27" s="16"/>
      <c r="BK27" s="27"/>
      <c r="BL27" s="27"/>
      <c r="BM27" s="27"/>
      <c r="BN27" s="27"/>
      <c r="BO27" s="27"/>
      <c r="BP27" s="27"/>
      <c r="BQ27" s="27"/>
      <c r="BR27" s="27"/>
      <c r="BS27" s="27"/>
      <c r="BT27" s="27"/>
    </row>
    <row r="28" spans="1:72" s="77" customFormat="1" x14ac:dyDescent="0.25">
      <c r="A28" s="74">
        <v>1988</v>
      </c>
      <c r="B28" s="75">
        <f t="shared" si="8"/>
        <v>1</v>
      </c>
      <c r="C28" s="76">
        <v>32143</v>
      </c>
      <c r="E28" s="75"/>
      <c r="F28" s="74">
        <f>Z28</f>
        <v>0</v>
      </c>
      <c r="G28" s="78"/>
      <c r="O28" s="79"/>
      <c r="P28" s="78"/>
      <c r="X28" s="80"/>
      <c r="Z28" s="80"/>
      <c r="AA28" s="81"/>
      <c r="AB28" s="86"/>
      <c r="AD28" s="109"/>
      <c r="AE28" s="82"/>
      <c r="AF28" s="74">
        <f t="shared" si="7"/>
        <v>0</v>
      </c>
      <c r="AG28" s="11">
        <f t="shared" si="0"/>
        <v>0.55000000000000004</v>
      </c>
      <c r="AI28" s="77">
        <f t="shared" si="1"/>
        <v>0</v>
      </c>
      <c r="AJ28" s="151"/>
      <c r="AM28" s="77">
        <f t="shared" si="2"/>
        <v>0</v>
      </c>
      <c r="AN28" s="189"/>
      <c r="AO28" s="206"/>
      <c r="AP28" s="189"/>
      <c r="AQ28" s="206"/>
      <c r="AR28" s="189"/>
      <c r="AS28" s="206"/>
      <c r="AT28" s="83"/>
      <c r="AX28" s="81"/>
      <c r="AZ28" s="82"/>
      <c r="BB28" s="84"/>
      <c r="BD28" s="84"/>
      <c r="BF28" s="84"/>
      <c r="BH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</row>
    <row r="29" spans="1:72" s="77" customFormat="1" x14ac:dyDescent="0.25">
      <c r="A29" s="74">
        <v>1988</v>
      </c>
      <c r="B29" s="75">
        <f t="shared" si="8"/>
        <v>55</v>
      </c>
      <c r="C29" s="85">
        <v>32197</v>
      </c>
      <c r="E29" s="75">
        <v>0.23</v>
      </c>
      <c r="F29" s="74">
        <f>R29</f>
        <v>250.7042253521127</v>
      </c>
      <c r="G29" s="78">
        <v>178</v>
      </c>
      <c r="H29" s="77">
        <f>VLOOKUP(B29,$CI$97:$CO$252, 6)</f>
        <v>0.79830000000000001</v>
      </c>
      <c r="I29" s="77">
        <f>G29/H29</f>
        <v>222.97381936615307</v>
      </c>
      <c r="O29" s="79"/>
      <c r="P29" s="77">
        <v>178</v>
      </c>
      <c r="Q29" s="77">
        <f>VLOOKUP(B29,CI74:CU232, 12)</f>
        <v>0.71</v>
      </c>
      <c r="R29" s="77">
        <f>P29/Q29</f>
        <v>250.7042253521127</v>
      </c>
      <c r="X29" s="80"/>
      <c r="Y29" s="77">
        <f>VLOOKUP(B29,$CF$101:$CH$256,2)</f>
        <v>0.49499999999999994</v>
      </c>
      <c r="Z29" s="80">
        <f>R29/Y29</f>
        <v>506.47318252952067</v>
      </c>
      <c r="AA29" s="81">
        <f>0.5*($B31-$B28)*$F29</f>
        <v>18928.169014084509</v>
      </c>
      <c r="AB29" s="86">
        <f>AE29/$AE$1</f>
        <v>1012.7437757860295</v>
      </c>
      <c r="AC29" s="77">
        <f>F30</f>
        <v>506.47318252952067</v>
      </c>
      <c r="AD29" s="109">
        <f>AB29/AC29</f>
        <v>1.9995999999999998</v>
      </c>
      <c r="AE29" s="82">
        <f>SUM(AA29:AA31)</f>
        <v>50637.188789301472</v>
      </c>
      <c r="AF29" s="74">
        <f t="shared" si="7"/>
        <v>455.8258642765685</v>
      </c>
      <c r="AG29" s="11">
        <f t="shared" si="0"/>
        <v>0.55000000000000004</v>
      </c>
      <c r="AI29" s="77">
        <f t="shared" si="1"/>
        <v>34414.852752880921</v>
      </c>
      <c r="AJ29" s="151">
        <f>AM29/$AE$1</f>
        <v>1841.3523196109627</v>
      </c>
      <c r="AK29" s="77">
        <f t="shared" si="4"/>
        <v>920.86033187185569</v>
      </c>
      <c r="AL29" s="77">
        <f>AJ29/AK29</f>
        <v>1.9996</v>
      </c>
      <c r="AM29" s="77">
        <f t="shared" si="2"/>
        <v>92067.615980548129</v>
      </c>
      <c r="AN29" s="189"/>
      <c r="AO29" s="206"/>
      <c r="AP29" s="189">
        <f>AK29*$AO$188</f>
        <v>0</v>
      </c>
      <c r="AQ29" s="206"/>
      <c r="AR29" s="189"/>
      <c r="AS29" s="206">
        <f>AK29*$AR$177</f>
        <v>0</v>
      </c>
      <c r="AT29" s="83"/>
      <c r="AX29" s="81"/>
      <c r="AZ29" s="82"/>
      <c r="BB29" s="84"/>
      <c r="BD29" s="84"/>
      <c r="BF29" s="84"/>
      <c r="BH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</row>
    <row r="30" spans="1:72" s="87" customFormat="1" x14ac:dyDescent="0.25">
      <c r="A30" s="168">
        <v>1988</v>
      </c>
      <c r="B30" s="89">
        <f>C30-DATE(YEAR(C30),1,1)+1</f>
        <v>112</v>
      </c>
      <c r="C30" s="169">
        <v>31524</v>
      </c>
      <c r="E30" s="89">
        <v>0.23</v>
      </c>
      <c r="F30" s="168">
        <f>Z29</f>
        <v>506.47318252952067</v>
      </c>
      <c r="G30" s="170"/>
      <c r="O30" s="171"/>
      <c r="X30" s="172"/>
      <c r="Z30" s="172"/>
      <c r="AA30" s="81">
        <f>((B30-B29)*F30)-((B30-B29)*(F30-F29)*0.5)</f>
        <v>21579.55612462655</v>
      </c>
      <c r="AB30" s="174"/>
      <c r="AD30" s="181"/>
      <c r="AE30" s="175"/>
      <c r="AF30" s="74">
        <f t="shared" si="7"/>
        <v>920.86033187185569</v>
      </c>
      <c r="AG30" s="11">
        <f t="shared" si="0"/>
        <v>0.55000000000000004</v>
      </c>
      <c r="AI30" s="77">
        <f t="shared" si="1"/>
        <v>39235.556590230088</v>
      </c>
      <c r="AJ30" s="164"/>
      <c r="AK30" s="77"/>
      <c r="AM30" s="77">
        <f t="shared" si="2"/>
        <v>0</v>
      </c>
      <c r="AN30" s="189"/>
      <c r="AO30" s="206"/>
      <c r="AP30" s="189"/>
      <c r="AQ30" s="206"/>
      <c r="AR30" s="189"/>
      <c r="AS30" s="206"/>
      <c r="AT30" s="176"/>
      <c r="AX30" s="173"/>
      <c r="AZ30" s="175"/>
    </row>
    <row r="31" spans="1:72" s="77" customFormat="1" x14ac:dyDescent="0.25">
      <c r="A31" s="74">
        <v>1988</v>
      </c>
      <c r="B31" s="75">
        <f t="shared" si="8"/>
        <v>152</v>
      </c>
      <c r="C31" s="76">
        <v>32294</v>
      </c>
      <c r="E31" s="75"/>
      <c r="F31" s="74">
        <f>Z31</f>
        <v>0</v>
      </c>
      <c r="G31" s="78"/>
      <c r="O31" s="79"/>
      <c r="P31" s="78"/>
      <c r="X31" s="80"/>
      <c r="Z31" s="80"/>
      <c r="AA31" s="177">
        <f>0.5*(B31-B30)*F30</f>
        <v>10129.463650590413</v>
      </c>
      <c r="AB31" s="86"/>
      <c r="AD31" s="109"/>
      <c r="AE31" s="82"/>
      <c r="AF31" s="74">
        <f t="shared" si="7"/>
        <v>0</v>
      </c>
      <c r="AG31" s="11">
        <f t="shared" si="0"/>
        <v>0.55000000000000004</v>
      </c>
      <c r="AI31" s="77">
        <f t="shared" si="1"/>
        <v>18417.206637437113</v>
      </c>
      <c r="AJ31" s="151"/>
      <c r="AM31" s="77">
        <f>AE31/AG31</f>
        <v>0</v>
      </c>
      <c r="AN31" s="189"/>
      <c r="AO31" s="206"/>
      <c r="AP31" s="189"/>
      <c r="AQ31" s="206"/>
      <c r="AR31" s="189"/>
      <c r="AS31" s="206"/>
      <c r="AT31" s="83"/>
      <c r="AX31" s="81"/>
      <c r="AZ31" s="82"/>
      <c r="BB31" s="84"/>
      <c r="BD31" s="84"/>
      <c r="BF31" s="84"/>
      <c r="BH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</row>
    <row r="32" spans="1:72" s="11" customFormat="1" x14ac:dyDescent="0.25">
      <c r="A32" s="67">
        <v>1989</v>
      </c>
      <c r="B32">
        <f t="shared" si="8"/>
        <v>1</v>
      </c>
      <c r="C32" s="13">
        <v>32509</v>
      </c>
      <c r="E32"/>
      <c r="F32" s="29">
        <v>0</v>
      </c>
      <c r="G32" s="34"/>
      <c r="O32" s="35"/>
      <c r="P32" s="34"/>
      <c r="X32" s="71"/>
      <c r="Z32" s="71"/>
      <c r="AA32" s="33"/>
      <c r="AB32" s="1"/>
      <c r="AD32" s="2"/>
      <c r="AE32" s="32"/>
      <c r="AF32" s="74">
        <f t="shared" si="7"/>
        <v>0</v>
      </c>
      <c r="AG32" s="11">
        <f t="shared" si="0"/>
        <v>0.55000000000000004</v>
      </c>
      <c r="AI32" s="77">
        <f t="shared" si="1"/>
        <v>0</v>
      </c>
      <c r="AJ32" s="151"/>
      <c r="AK32" s="77"/>
      <c r="AM32" s="77">
        <f t="shared" si="2"/>
        <v>0</v>
      </c>
      <c r="AN32" s="189"/>
      <c r="AO32" s="206"/>
      <c r="AP32" s="189"/>
      <c r="AQ32" s="206"/>
      <c r="AR32" s="189"/>
      <c r="AS32" s="206"/>
      <c r="AT32" s="31"/>
      <c r="AX32" s="33"/>
      <c r="AZ32" s="32"/>
      <c r="BA32" s="21"/>
      <c r="BB32" s="22"/>
      <c r="BC32" s="21"/>
      <c r="BD32" s="16"/>
      <c r="BE32" s="17"/>
      <c r="BF32" s="16"/>
      <c r="BG32" s="17"/>
      <c r="BH32" s="16"/>
      <c r="BI32" s="17"/>
      <c r="BJ32" s="16"/>
      <c r="BK32" s="27"/>
      <c r="BL32" s="27"/>
      <c r="BM32" s="27"/>
      <c r="BN32" s="27"/>
      <c r="BO32" s="27"/>
      <c r="BP32" s="27"/>
      <c r="BQ32" s="27"/>
      <c r="BR32" s="27"/>
      <c r="BS32" s="27"/>
      <c r="BT32" s="27"/>
    </row>
    <row r="33" spans="1:72" s="11" customFormat="1" x14ac:dyDescent="0.25">
      <c r="A33" s="67">
        <v>1989</v>
      </c>
      <c r="B33">
        <f t="shared" si="8"/>
        <v>40</v>
      </c>
      <c r="C33" s="13">
        <v>32548</v>
      </c>
      <c r="E33" s="28">
        <f>(E29+E38)/2</f>
        <v>0.36499999999999999</v>
      </c>
      <c r="F33" s="29">
        <f>U33</f>
        <v>80</v>
      </c>
      <c r="G33" s="34"/>
      <c r="J33" s="11">
        <v>40</v>
      </c>
      <c r="K33" s="11">
        <f>VLOOKUP(B33,$CI$101:$CQ$256, 4)</f>
        <v>0.69179999999999997</v>
      </c>
      <c r="L33" s="11">
        <f>J33/K33</f>
        <v>57.820179242555653</v>
      </c>
      <c r="O33" s="35"/>
      <c r="P33" s="34"/>
      <c r="S33" s="11">
        <v>40</v>
      </c>
      <c r="T33" s="11">
        <f>VLOOKUP(B33,CI100:CU255, 10)</f>
        <v>0.5</v>
      </c>
      <c r="U33" s="11">
        <f>S33/T33</f>
        <v>80</v>
      </c>
      <c r="X33" s="71"/>
      <c r="Y33" s="11">
        <f>VLOOKUP(B33,$CF$101:$CH$256,2)</f>
        <v>0.36</v>
      </c>
      <c r="Z33" s="71">
        <f>U33/Y33</f>
        <v>222.22222222222223</v>
      </c>
      <c r="AA33" s="33">
        <f>0.5*(B33-B32)*F33</f>
        <v>1560</v>
      </c>
      <c r="AB33" s="1">
        <f>AE33/$AE$1</f>
        <v>153.02814814814815</v>
      </c>
      <c r="AC33" s="11">
        <f>F35</f>
        <v>81.481481481481495</v>
      </c>
      <c r="AD33" s="2">
        <f>AB33/AC33</f>
        <v>1.8780727272727269</v>
      </c>
      <c r="AE33" s="32">
        <f>SUM(AA33:AA36)</f>
        <v>7651.4074074074069</v>
      </c>
      <c r="AF33" s="74">
        <f t="shared" si="7"/>
        <v>145.45454545454544</v>
      </c>
      <c r="AG33" s="11">
        <f t="shared" si="0"/>
        <v>0.55000000000000004</v>
      </c>
      <c r="AI33" s="77">
        <f t="shared" si="1"/>
        <v>2836.363636363636</v>
      </c>
      <c r="AJ33" s="151">
        <f>AM33/$AM$1</f>
        <v>278.23299663299656</v>
      </c>
      <c r="AK33" s="77">
        <f t="shared" si="4"/>
        <v>148.14814814814815</v>
      </c>
      <c r="AL33" s="11">
        <f>AJ33/AK33</f>
        <v>1.8780727272727267</v>
      </c>
      <c r="AM33" s="77">
        <f t="shared" si="2"/>
        <v>13911.649831649829</v>
      </c>
      <c r="AN33" s="189"/>
      <c r="AO33" s="206"/>
      <c r="AP33" s="189">
        <f>AK33*$AO$188</f>
        <v>0</v>
      </c>
      <c r="AQ33" s="206"/>
      <c r="AR33" s="189"/>
      <c r="AS33" s="206">
        <f>AK33*$AR$177</f>
        <v>0</v>
      </c>
      <c r="AT33" s="31"/>
      <c r="AX33" s="33"/>
      <c r="AZ33" s="32"/>
      <c r="BA33" s="21"/>
      <c r="BB33" s="22"/>
      <c r="BC33" s="21"/>
      <c r="BD33" s="16"/>
      <c r="BE33" s="17"/>
      <c r="BF33" s="16"/>
      <c r="BG33" s="17"/>
      <c r="BH33" s="16"/>
      <c r="BI33" s="17"/>
      <c r="BJ33" s="16"/>
      <c r="BK33" s="27"/>
      <c r="BL33" s="27"/>
      <c r="BM33" s="27"/>
      <c r="BN33" s="27"/>
      <c r="BO33" s="27"/>
      <c r="BP33" s="27"/>
      <c r="BQ33" s="27"/>
      <c r="BR33" s="27"/>
      <c r="BS33" s="27"/>
      <c r="BT33" s="27"/>
    </row>
    <row r="34" spans="1:72" s="11" customFormat="1" x14ac:dyDescent="0.25">
      <c r="A34" s="67">
        <v>1989</v>
      </c>
      <c r="B34">
        <f t="shared" si="8"/>
        <v>60</v>
      </c>
      <c r="C34" s="13">
        <v>32568</v>
      </c>
      <c r="E34" s="28">
        <v>0.36499999999999999</v>
      </c>
      <c r="F34" s="29">
        <f>U34</f>
        <v>44</v>
      </c>
      <c r="G34" s="34"/>
      <c r="J34" s="11">
        <v>22</v>
      </c>
      <c r="K34" s="11">
        <f>VLOOKUP(B34,$CI$101:$CQ$256, 4)</f>
        <v>0.61380000000000001</v>
      </c>
      <c r="L34" s="11">
        <f>J34/K34</f>
        <v>35.842293906810035</v>
      </c>
      <c r="O34" s="35"/>
      <c r="P34" s="34"/>
      <c r="S34" s="11">
        <v>22</v>
      </c>
      <c r="T34" s="11">
        <f>VLOOKUP(B34,CI101:CU256, 10)</f>
        <v>0.5</v>
      </c>
      <c r="U34" s="11">
        <f>S34/T34</f>
        <v>44</v>
      </c>
      <c r="X34" s="71"/>
      <c r="Y34" s="11">
        <f>VLOOKUP(B34,$CF$101:$CH$256,2)</f>
        <v>0.53999999999999992</v>
      </c>
      <c r="Z34" s="71">
        <f>U34/Y34</f>
        <v>81.481481481481495</v>
      </c>
      <c r="AA34" s="33">
        <f>((B34-B33)*F34)-((B34-B33)*(F34-F33)*0.5)</f>
        <v>1240</v>
      </c>
      <c r="AB34" s="1"/>
      <c r="AD34" s="2"/>
      <c r="AE34" s="32"/>
      <c r="AF34" s="74">
        <f t="shared" si="7"/>
        <v>80</v>
      </c>
      <c r="AG34" s="11">
        <f t="shared" si="0"/>
        <v>0.55000000000000004</v>
      </c>
      <c r="AI34" s="77">
        <f t="shared" si="1"/>
        <v>2254.5454545454545</v>
      </c>
      <c r="AJ34" s="151"/>
      <c r="AK34" s="77"/>
      <c r="AM34" s="77">
        <f t="shared" si="2"/>
        <v>0</v>
      </c>
      <c r="AN34" s="189"/>
      <c r="AO34" s="206"/>
      <c r="AP34" s="189"/>
      <c r="AQ34" s="206"/>
      <c r="AR34" s="189"/>
      <c r="AS34" s="206"/>
      <c r="AT34" s="31"/>
      <c r="AX34" s="33"/>
      <c r="AZ34" s="32"/>
      <c r="BA34" s="21"/>
      <c r="BB34" s="22"/>
      <c r="BC34" s="21"/>
      <c r="BD34" s="16"/>
      <c r="BE34" s="17"/>
      <c r="BF34" s="16"/>
      <c r="BG34" s="17"/>
      <c r="BH34" s="16"/>
      <c r="BI34" s="17"/>
      <c r="BJ34" s="16"/>
      <c r="BK34" s="27"/>
      <c r="BL34" s="27"/>
      <c r="BM34" s="27"/>
      <c r="BN34" s="27"/>
      <c r="BO34" s="27"/>
      <c r="BP34" s="27"/>
      <c r="BQ34" s="27"/>
      <c r="BR34" s="27"/>
      <c r="BS34" s="27"/>
      <c r="BT34" s="27"/>
    </row>
    <row r="35" spans="1:72" s="66" customFormat="1" x14ac:dyDescent="0.25">
      <c r="A35" s="156">
        <v>1989</v>
      </c>
      <c r="B35" s="28">
        <f>C35-DATE(YEAR(C35),1,1)+1</f>
        <v>112</v>
      </c>
      <c r="C35" s="157">
        <v>32620</v>
      </c>
      <c r="E35" s="28">
        <v>0.36499999999999999</v>
      </c>
      <c r="F35" s="156">
        <f>Z34</f>
        <v>81.481481481481495</v>
      </c>
      <c r="G35" s="158"/>
      <c r="O35" s="159"/>
      <c r="P35" s="158"/>
      <c r="X35" s="160"/>
      <c r="Z35" s="160"/>
      <c r="AA35" s="33">
        <f>((B35-B34)*F35)-((B35-B34)*(F35-F34)*0.5)</f>
        <v>3262.5185185185182</v>
      </c>
      <c r="AB35" s="162"/>
      <c r="AD35" s="180"/>
      <c r="AE35" s="163"/>
      <c r="AF35" s="74">
        <f t="shared" si="7"/>
        <v>148.14814814814815</v>
      </c>
      <c r="AG35" s="11">
        <f t="shared" si="0"/>
        <v>0.55000000000000004</v>
      </c>
      <c r="AI35" s="77">
        <f t="shared" si="1"/>
        <v>5931.8518518518513</v>
      </c>
      <c r="AJ35" s="164"/>
      <c r="AK35" s="77"/>
      <c r="AM35" s="77">
        <f t="shared" si="2"/>
        <v>0</v>
      </c>
      <c r="AN35" s="189"/>
      <c r="AO35" s="206"/>
      <c r="AP35" s="189"/>
      <c r="AQ35" s="206"/>
      <c r="AR35" s="189"/>
      <c r="AS35" s="206"/>
      <c r="AT35" s="165"/>
      <c r="AX35" s="161"/>
      <c r="AZ35" s="163"/>
      <c r="BA35" s="166"/>
      <c r="BB35" s="166"/>
      <c r="BC35" s="166"/>
      <c r="BD35" s="167"/>
      <c r="BE35" s="167"/>
      <c r="BF35" s="167"/>
      <c r="BG35" s="167"/>
      <c r="BH35" s="167"/>
      <c r="BI35" s="167"/>
      <c r="BJ35" s="167"/>
    </row>
    <row r="36" spans="1:72" s="11" customFormat="1" x14ac:dyDescent="0.25">
      <c r="A36" s="67">
        <v>1989</v>
      </c>
      <c r="B36">
        <f t="shared" si="8"/>
        <v>151</v>
      </c>
      <c r="C36" s="13">
        <v>32659</v>
      </c>
      <c r="E36"/>
      <c r="F36" s="29">
        <v>0</v>
      </c>
      <c r="G36" s="34"/>
      <c r="O36" s="35"/>
      <c r="P36" s="34"/>
      <c r="X36" s="71"/>
      <c r="Z36" s="71"/>
      <c r="AA36" s="33">
        <f>0.5*(B36-B35)*F35</f>
        <v>1588.8888888888891</v>
      </c>
      <c r="AB36" s="1"/>
      <c r="AD36" s="2"/>
      <c r="AE36" s="32"/>
      <c r="AF36" s="74">
        <f t="shared" si="7"/>
        <v>0</v>
      </c>
      <c r="AG36" s="11">
        <f t="shared" si="0"/>
        <v>0.55000000000000004</v>
      </c>
      <c r="AI36" s="77">
        <f t="shared" si="1"/>
        <v>2888.8888888888891</v>
      </c>
      <c r="AJ36" s="151"/>
      <c r="AK36" s="77"/>
      <c r="AM36" s="77">
        <f>AE36/AG36</f>
        <v>0</v>
      </c>
      <c r="AN36" s="189"/>
      <c r="AO36" s="206"/>
      <c r="AP36" s="189"/>
      <c r="AQ36" s="206"/>
      <c r="AR36" s="189"/>
      <c r="AS36" s="206"/>
      <c r="AT36" s="31"/>
      <c r="AX36" s="33"/>
      <c r="AZ36" s="32"/>
      <c r="BA36" s="21"/>
      <c r="BB36" s="22"/>
      <c r="BC36" s="21"/>
      <c r="BD36" s="16"/>
      <c r="BE36" s="17"/>
      <c r="BF36" s="16"/>
      <c r="BG36" s="17"/>
      <c r="BH36" s="16"/>
      <c r="BI36" s="17"/>
      <c r="BJ36" s="16"/>
      <c r="BK36" s="27"/>
      <c r="BL36" s="27"/>
      <c r="BM36" s="27"/>
      <c r="BN36" s="27"/>
      <c r="BO36" s="27"/>
      <c r="BP36" s="27"/>
      <c r="BQ36" s="27"/>
      <c r="BR36" s="27"/>
      <c r="BS36" s="27"/>
      <c r="BT36" s="27"/>
    </row>
    <row r="37" spans="1:72" s="77" customFormat="1" x14ac:dyDescent="0.25">
      <c r="A37" s="90">
        <v>1990</v>
      </c>
      <c r="B37" s="75">
        <f t="shared" si="8"/>
        <v>1</v>
      </c>
      <c r="C37" s="76">
        <v>32874</v>
      </c>
      <c r="E37" s="75"/>
      <c r="F37" s="74">
        <f>Z37</f>
        <v>0</v>
      </c>
      <c r="G37" s="78"/>
      <c r="O37" s="79"/>
      <c r="P37" s="78"/>
      <c r="X37" s="80"/>
      <c r="Z37" s="80"/>
      <c r="AA37" s="81"/>
      <c r="AB37" s="86"/>
      <c r="AD37" s="109"/>
      <c r="AE37" s="82"/>
      <c r="AF37" s="74">
        <f t="shared" si="7"/>
        <v>0</v>
      </c>
      <c r="AG37" s="11">
        <f t="shared" si="0"/>
        <v>0.55000000000000004</v>
      </c>
      <c r="AI37" s="77">
        <f t="shared" si="1"/>
        <v>0</v>
      </c>
      <c r="AJ37" s="151"/>
      <c r="AM37" s="77">
        <f t="shared" si="2"/>
        <v>0</v>
      </c>
      <c r="AN37" s="189"/>
      <c r="AO37" s="206"/>
      <c r="AP37" s="189"/>
      <c r="AQ37" s="206"/>
      <c r="AR37" s="189"/>
      <c r="AS37" s="206"/>
      <c r="AT37" s="83"/>
      <c r="AX37" s="81"/>
      <c r="AZ37" s="82"/>
      <c r="BB37" s="84"/>
      <c r="BD37" s="84"/>
      <c r="BF37" s="84"/>
      <c r="BH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</row>
    <row r="38" spans="1:72" s="77" customFormat="1" x14ac:dyDescent="0.25">
      <c r="A38" s="90">
        <v>1990</v>
      </c>
      <c r="B38" s="75">
        <f t="shared" si="8"/>
        <v>50</v>
      </c>
      <c r="C38" s="85">
        <v>32923</v>
      </c>
      <c r="E38" s="75">
        <v>0.5</v>
      </c>
      <c r="F38" s="74">
        <f>U38</f>
        <v>88</v>
      </c>
      <c r="G38" s="78"/>
      <c r="J38" s="77">
        <v>44</v>
      </c>
      <c r="K38" s="77">
        <f>VLOOKUP(B38,$CI$101:$CQ$256, 4)</f>
        <v>0.65280000000000005</v>
      </c>
      <c r="L38" s="77">
        <f>J38/K38</f>
        <v>67.401960784313715</v>
      </c>
      <c r="O38" s="79"/>
      <c r="P38" s="78"/>
      <c r="S38" s="77">
        <v>44</v>
      </c>
      <c r="T38" s="77">
        <f>VLOOKUP(B38,CI104:CU259, 10)</f>
        <v>0.5</v>
      </c>
      <c r="U38" s="77">
        <f>S38/T38</f>
        <v>88</v>
      </c>
      <c r="X38" s="80"/>
      <c r="Y38" s="77">
        <f>VLOOKUP(B38,$CF$86:$CH$241,2)</f>
        <v>0.44999999999999996</v>
      </c>
      <c r="Z38" s="217">
        <f>U38/Y38</f>
        <v>195.55555555555557</v>
      </c>
      <c r="AA38" s="81">
        <f>0.5*(B38-B37)*F38</f>
        <v>2156</v>
      </c>
      <c r="AB38" s="86">
        <f>AE38/$AE$1</f>
        <v>295.19111111111113</v>
      </c>
      <c r="AC38" s="77">
        <f>F39</f>
        <v>195.55555555555557</v>
      </c>
      <c r="AD38" s="109">
        <f>AB38/AC38</f>
        <v>1.5095000000000001</v>
      </c>
      <c r="AE38" s="82">
        <f>SUM(AA37:AA40)</f>
        <v>14759.555555555557</v>
      </c>
      <c r="AF38" s="74">
        <f t="shared" si="7"/>
        <v>160</v>
      </c>
      <c r="AG38" s="11">
        <f t="shared" si="0"/>
        <v>0.55000000000000004</v>
      </c>
      <c r="AI38" s="77">
        <f t="shared" si="1"/>
        <v>3919.9999999999995</v>
      </c>
      <c r="AJ38" s="151">
        <f>AM38/$AE$1</f>
        <v>536.71111111111111</v>
      </c>
      <c r="AK38" s="77">
        <f t="shared" si="4"/>
        <v>355.55555555555554</v>
      </c>
      <c r="AL38" s="77">
        <f>AJ38/AK38</f>
        <v>1.5095000000000001</v>
      </c>
      <c r="AM38" s="77">
        <f t="shared" si="2"/>
        <v>26835.555555555555</v>
      </c>
      <c r="AN38" s="189"/>
      <c r="AO38" s="206"/>
      <c r="AP38" s="189">
        <f>AK38*$AO$188</f>
        <v>0</v>
      </c>
      <c r="AQ38" s="206"/>
      <c r="AR38" s="189"/>
      <c r="AS38" s="206">
        <f>AK38*$AR$177</f>
        <v>0</v>
      </c>
      <c r="AT38" s="83"/>
      <c r="AX38" s="81"/>
      <c r="AZ38" s="82"/>
      <c r="BB38" s="84"/>
      <c r="BD38" s="84"/>
      <c r="BF38" s="84"/>
      <c r="BH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</row>
    <row r="39" spans="1:72" s="87" customFormat="1" x14ac:dyDescent="0.25">
      <c r="A39" s="168">
        <v>1990</v>
      </c>
      <c r="B39" s="89">
        <f t="shared" si="8"/>
        <v>112</v>
      </c>
      <c r="C39" s="169">
        <v>32985</v>
      </c>
      <c r="E39" s="89">
        <v>0.5</v>
      </c>
      <c r="F39" s="168">
        <f>Z38</f>
        <v>195.55555555555557</v>
      </c>
      <c r="G39" s="170"/>
      <c r="O39" s="171"/>
      <c r="P39" s="170"/>
      <c r="X39" s="172"/>
      <c r="Z39" s="172"/>
      <c r="AA39" s="81">
        <f>((B39-B38)*F39)-((B39-B38)*(F39-F38)*0.5)</f>
        <v>8790.2222222222226</v>
      </c>
      <c r="AB39" s="174"/>
      <c r="AD39" s="181"/>
      <c r="AE39" s="175"/>
      <c r="AF39" s="74">
        <f t="shared" si="7"/>
        <v>355.55555555555554</v>
      </c>
      <c r="AG39" s="11">
        <f t="shared" si="0"/>
        <v>0.55000000000000004</v>
      </c>
      <c r="AI39" s="77">
        <f t="shared" si="1"/>
        <v>15982.222222222221</v>
      </c>
      <c r="AJ39" s="164"/>
      <c r="AK39" s="77"/>
      <c r="AM39" s="77">
        <f t="shared" si="2"/>
        <v>0</v>
      </c>
      <c r="AN39" s="189"/>
      <c r="AO39" s="206"/>
      <c r="AP39" s="189"/>
      <c r="AQ39" s="206"/>
      <c r="AR39" s="189"/>
      <c r="AS39" s="206"/>
      <c r="AT39" s="176"/>
      <c r="AX39" s="173"/>
      <c r="AZ39" s="175"/>
    </row>
    <row r="40" spans="1:72" s="77" customFormat="1" x14ac:dyDescent="0.25">
      <c r="A40" s="90">
        <v>1990</v>
      </c>
      <c r="B40" s="75">
        <f t="shared" si="8"/>
        <v>151</v>
      </c>
      <c r="C40" s="76">
        <v>33024</v>
      </c>
      <c r="E40" s="75"/>
      <c r="F40" s="74">
        <f>Z40</f>
        <v>0</v>
      </c>
      <c r="G40" s="78"/>
      <c r="O40" s="79"/>
      <c r="P40" s="78"/>
      <c r="X40" s="80"/>
      <c r="Z40" s="80"/>
      <c r="AA40" s="177">
        <f>0.5*(B40-B39)*F39</f>
        <v>3813.3333333333335</v>
      </c>
      <c r="AB40" s="86"/>
      <c r="AD40" s="109"/>
      <c r="AE40" s="82"/>
      <c r="AF40" s="74">
        <f t="shared" si="7"/>
        <v>0</v>
      </c>
      <c r="AG40" s="11">
        <f t="shared" si="0"/>
        <v>0.55000000000000004</v>
      </c>
      <c r="AI40" s="77">
        <f t="shared" si="1"/>
        <v>6933.333333333333</v>
      </c>
      <c r="AJ40" s="151"/>
      <c r="AM40" s="77">
        <f t="shared" si="2"/>
        <v>0</v>
      </c>
      <c r="AN40" s="189"/>
      <c r="AO40" s="206"/>
      <c r="AP40" s="189"/>
      <c r="AQ40" s="206"/>
      <c r="AR40" s="189"/>
      <c r="AS40" s="206"/>
      <c r="AT40" s="83"/>
      <c r="AX40" s="81"/>
      <c r="AZ40" s="82"/>
      <c r="BB40" s="84"/>
      <c r="BD40" s="84"/>
      <c r="BF40" s="84"/>
      <c r="BH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</row>
    <row r="41" spans="1:72" s="11" customFormat="1" x14ac:dyDescent="0.25">
      <c r="A41" s="29">
        <v>1991</v>
      </c>
      <c r="B41">
        <f>C41-DATE(YEAR(C41),1,1)+1</f>
        <v>1</v>
      </c>
      <c r="C41" s="13">
        <v>33239</v>
      </c>
      <c r="E41"/>
      <c r="F41" s="29">
        <v>0</v>
      </c>
      <c r="G41" s="34"/>
      <c r="O41" s="35"/>
      <c r="P41" s="34"/>
      <c r="X41" s="71"/>
      <c r="Z41" s="71"/>
      <c r="AA41" s="33">
        <f>0.5*(B41-B40)*F41</f>
        <v>0</v>
      </c>
      <c r="AB41" s="1">
        <f>AE41/$AE$1</f>
        <v>131.21449487045732</v>
      </c>
      <c r="AC41" s="11">
        <f>F44</f>
        <v>81.14530806236597</v>
      </c>
      <c r="AD41" s="2">
        <f>AB41/AC41</f>
        <v>1.6170312</v>
      </c>
      <c r="AE41" s="32">
        <f>SUM(AA41:AA45)</f>
        <v>6560.7247435228655</v>
      </c>
      <c r="AF41" s="74">
        <f t="shared" si="7"/>
        <v>0</v>
      </c>
      <c r="AG41" s="11">
        <f t="shared" si="0"/>
        <v>0.55000000000000004</v>
      </c>
      <c r="AI41" s="77">
        <f t="shared" si="1"/>
        <v>0</v>
      </c>
      <c r="AJ41" s="150"/>
      <c r="AK41" s="77">
        <f>AC41/AG41</f>
        <v>147.53692374975628</v>
      </c>
      <c r="AL41" s="11">
        <f>AJ42/AK41</f>
        <v>1.6170312</v>
      </c>
      <c r="AM41" s="77">
        <f t="shared" si="2"/>
        <v>11928.590442768846</v>
      </c>
      <c r="AN41" s="189"/>
      <c r="AO41" s="206"/>
      <c r="AP41" s="189">
        <f>AK41*$AO$188</f>
        <v>0</v>
      </c>
      <c r="AQ41" s="206"/>
      <c r="AR41" s="189"/>
      <c r="AS41" s="206">
        <f>AK41*$AR$177</f>
        <v>0</v>
      </c>
      <c r="AT41" s="31"/>
      <c r="AX41" s="33"/>
      <c r="AZ41" s="32"/>
      <c r="BA41" s="21"/>
      <c r="BB41" s="22"/>
      <c r="BC41" s="21"/>
      <c r="BD41" s="16"/>
      <c r="BE41" s="17"/>
      <c r="BF41" s="16"/>
      <c r="BG41" s="17"/>
      <c r="BH41" s="16"/>
      <c r="BI41" s="17"/>
      <c r="BJ41" s="16"/>
      <c r="BK41" s="27"/>
      <c r="BL41" s="27"/>
      <c r="BM41" s="27"/>
      <c r="BN41" s="27"/>
      <c r="BO41" s="27"/>
      <c r="BP41" s="27"/>
      <c r="BQ41" s="27"/>
      <c r="BR41" s="27"/>
      <c r="BS41" s="27"/>
      <c r="BT41" s="27"/>
    </row>
    <row r="42" spans="1:72" s="11" customFormat="1" x14ac:dyDescent="0.25">
      <c r="A42" s="29">
        <v>1991</v>
      </c>
      <c r="B42">
        <f>C42-DATE(YEAR(C42),1,1)+1</f>
        <v>29</v>
      </c>
      <c r="C42" s="13">
        <v>33267</v>
      </c>
      <c r="E42">
        <v>0.5</v>
      </c>
      <c r="F42" s="29">
        <f>U42</f>
        <v>34</v>
      </c>
      <c r="G42" s="34"/>
      <c r="J42" s="11">
        <v>17</v>
      </c>
      <c r="K42" s="11">
        <f>VLOOKUP(B42,$CI$101:$CQ$256, 4)</f>
        <v>0.73470000000000002</v>
      </c>
      <c r="L42" s="11">
        <f>J42/K42</f>
        <v>23.138696066421669</v>
      </c>
      <c r="O42" s="35"/>
      <c r="P42" s="34"/>
      <c r="S42" s="11">
        <v>17</v>
      </c>
      <c r="T42" s="11">
        <f>VLOOKUP(B42,CI107:CU262, 10)</f>
        <v>0.5</v>
      </c>
      <c r="U42" s="11">
        <f>S42/T42</f>
        <v>34</v>
      </c>
      <c r="X42" s="71"/>
      <c r="Y42" s="11">
        <f>VLOOKUP(B42,$CF$86:$CH$241,2)</f>
        <v>0.26099999999999995</v>
      </c>
      <c r="Z42" s="71">
        <f>U42/Y42</f>
        <v>130.2681992337165</v>
      </c>
      <c r="AA42" s="33">
        <f>0.5*(B42-B41)*F42</f>
        <v>476</v>
      </c>
      <c r="AB42" s="1"/>
      <c r="AD42" s="2"/>
      <c r="AE42" s="32"/>
      <c r="AF42" s="74">
        <f t="shared" si="7"/>
        <v>61.818181818181813</v>
      </c>
      <c r="AG42" s="11">
        <f t="shared" si="0"/>
        <v>0.55000000000000004</v>
      </c>
      <c r="AI42" s="77">
        <f t="shared" si="1"/>
        <v>865.45454545454538</v>
      </c>
      <c r="AJ42" s="151">
        <f>AM41/$AM$1</f>
        <v>238.5718088553769</v>
      </c>
      <c r="AK42" s="77"/>
      <c r="AM42" s="77">
        <f t="shared" si="2"/>
        <v>0</v>
      </c>
      <c r="AN42" s="189"/>
      <c r="AO42" s="206"/>
      <c r="AP42" s="189"/>
      <c r="AQ42" s="206"/>
      <c r="AR42" s="189"/>
      <c r="AS42" s="206"/>
      <c r="AT42" s="31"/>
      <c r="AX42" s="33"/>
      <c r="AZ42" s="32"/>
      <c r="BA42" s="21"/>
      <c r="BB42" s="22"/>
      <c r="BC42" s="21"/>
      <c r="BD42" s="16"/>
      <c r="BE42" s="17"/>
      <c r="BF42" s="16"/>
      <c r="BG42" s="17"/>
      <c r="BH42" s="16"/>
      <c r="BI42" s="17"/>
      <c r="BJ42" s="16"/>
      <c r="BK42" s="27"/>
      <c r="BL42" s="27"/>
      <c r="BM42" s="27"/>
      <c r="BN42" s="27"/>
      <c r="BO42" s="27"/>
      <c r="BP42" s="27"/>
      <c r="BQ42" s="27"/>
      <c r="BR42" s="27"/>
      <c r="BS42" s="27"/>
      <c r="BT42" s="27"/>
    </row>
    <row r="43" spans="1:72" s="11" customFormat="1" x14ac:dyDescent="0.25">
      <c r="A43" s="29">
        <v>1991</v>
      </c>
      <c r="B43">
        <f>C43-DATE(YEAR(C43),1,1)+1</f>
        <v>85</v>
      </c>
      <c r="C43" s="30">
        <v>33323</v>
      </c>
      <c r="E43">
        <v>0.5</v>
      </c>
      <c r="F43" s="29">
        <f>R43</f>
        <v>59.154929577464792</v>
      </c>
      <c r="G43" s="34">
        <v>42</v>
      </c>
      <c r="H43" s="11">
        <f>VLOOKUP(B43,$CI$97:$CO$252, 6)</f>
        <v>0.77490000000000003</v>
      </c>
      <c r="I43" s="11">
        <f>G43/H43</f>
        <v>54.200542005420054</v>
      </c>
      <c r="O43" s="35"/>
      <c r="P43" s="34">
        <v>42</v>
      </c>
      <c r="Q43" s="11">
        <f>VLOOKUP(B43,CI78:CU235, 12)</f>
        <v>0.71</v>
      </c>
      <c r="R43" s="11">
        <f>P43/Q43</f>
        <v>59.154929577464792</v>
      </c>
      <c r="X43" s="71"/>
      <c r="Y43" s="11">
        <f>VLOOKUP(B43,$CF$86:$CH$241,2)</f>
        <v>0.72899999999999998</v>
      </c>
      <c r="Z43" s="71">
        <f>R43/Y43</f>
        <v>81.14530806236597</v>
      </c>
      <c r="AA43" s="33">
        <f>((B43-B42)*F43)-((B43-B42)*(F43-F42)*0.5)</f>
        <v>2608.3380281690143</v>
      </c>
      <c r="AB43" s="1"/>
      <c r="AD43" s="2"/>
      <c r="AE43" s="32"/>
      <c r="AF43" s="74">
        <f t="shared" si="7"/>
        <v>107.55441741357234</v>
      </c>
      <c r="AG43" s="11">
        <f t="shared" si="0"/>
        <v>0.55000000000000004</v>
      </c>
      <c r="AI43" s="77">
        <f t="shared" si="1"/>
        <v>4742.4327784891166</v>
      </c>
      <c r="AJ43" s="151"/>
      <c r="AK43" s="77"/>
      <c r="AM43" s="77">
        <f>AE43/AG43</f>
        <v>0</v>
      </c>
      <c r="AN43" s="189"/>
      <c r="AO43" s="206"/>
      <c r="AP43" s="189"/>
      <c r="AQ43" s="206"/>
      <c r="AR43" s="189"/>
      <c r="AS43" s="206"/>
      <c r="AT43" s="31"/>
      <c r="AX43" s="33"/>
      <c r="AZ43" s="32"/>
      <c r="BA43" s="21"/>
      <c r="BB43" s="22"/>
      <c r="BC43" s="21"/>
      <c r="BD43" s="16"/>
      <c r="BE43" s="17"/>
      <c r="BF43" s="16"/>
      <c r="BG43" s="17"/>
      <c r="BH43" s="16"/>
      <c r="BI43" s="17"/>
      <c r="BJ43" s="16"/>
      <c r="BK43" s="27"/>
      <c r="BL43" s="27"/>
      <c r="BM43" s="27"/>
      <c r="BN43" s="27"/>
      <c r="BO43" s="27"/>
      <c r="BP43" s="27"/>
      <c r="BQ43" s="27"/>
      <c r="BR43" s="27"/>
      <c r="BS43" s="27"/>
      <c r="BT43" s="27"/>
    </row>
    <row r="44" spans="1:72" s="66" customFormat="1" x14ac:dyDescent="0.25">
      <c r="A44" s="156">
        <v>1991</v>
      </c>
      <c r="B44" s="28">
        <f>C44-DATE(YEAR(C44),1,1)+1</f>
        <v>112</v>
      </c>
      <c r="C44" s="157">
        <v>33350</v>
      </c>
      <c r="E44" s="28">
        <v>0.5</v>
      </c>
      <c r="F44" s="156">
        <f>Z43</f>
        <v>81.14530806236597</v>
      </c>
      <c r="G44" s="158"/>
      <c r="O44" s="159"/>
      <c r="P44" s="158"/>
      <c r="X44" s="160"/>
      <c r="Z44" s="160"/>
      <c r="AA44" s="178">
        <f>((B44-B43)*F44)-((B44-B43)*(F44-F43)*0.5)</f>
        <v>1894.0532081377153</v>
      </c>
      <c r="AB44" s="162"/>
      <c r="AD44" s="180"/>
      <c r="AE44" s="163"/>
      <c r="AF44" s="74">
        <f t="shared" si="7"/>
        <v>147.53692374975628</v>
      </c>
      <c r="AG44" s="11">
        <f t="shared" si="0"/>
        <v>0.55000000000000004</v>
      </c>
      <c r="AI44" s="77">
        <f t="shared" si="1"/>
        <v>3443.7331057049364</v>
      </c>
      <c r="AJ44" s="164"/>
      <c r="AK44" s="77"/>
      <c r="AM44" s="77">
        <f t="shared" si="2"/>
        <v>0</v>
      </c>
      <c r="AN44" s="189"/>
      <c r="AO44" s="206"/>
      <c r="AP44" s="189"/>
      <c r="AQ44" s="206"/>
      <c r="AR44" s="189"/>
      <c r="AS44" s="206"/>
      <c r="AT44" s="165"/>
      <c r="AX44" s="161"/>
      <c r="AZ44" s="163"/>
      <c r="BA44" s="166"/>
      <c r="BB44" s="166"/>
      <c r="BC44" s="166"/>
      <c r="BD44" s="167"/>
      <c r="BE44" s="167"/>
      <c r="BF44" s="167"/>
      <c r="BG44" s="167"/>
      <c r="BH44" s="167"/>
      <c r="BI44" s="167"/>
      <c r="BJ44" s="167"/>
    </row>
    <row r="45" spans="1:72" s="11" customFormat="1" x14ac:dyDescent="0.25">
      <c r="A45" s="29">
        <v>1991</v>
      </c>
      <c r="B45">
        <f>C45-DATE(YEAR(C45),1,1)+1</f>
        <v>151</v>
      </c>
      <c r="C45" s="13">
        <v>33389</v>
      </c>
      <c r="E45"/>
      <c r="F45" s="29">
        <v>0</v>
      </c>
      <c r="G45" s="34"/>
      <c r="O45" s="35"/>
      <c r="P45" s="34"/>
      <c r="X45" s="71"/>
      <c r="Z45" s="71"/>
      <c r="AA45" s="33">
        <f>0.5*(B45-B44)*F44</f>
        <v>1582.3335072161365</v>
      </c>
      <c r="AB45" s="1"/>
      <c r="AD45" s="2"/>
      <c r="AE45" s="32"/>
      <c r="AF45" s="74">
        <f t="shared" si="7"/>
        <v>0</v>
      </c>
      <c r="AG45" s="11">
        <f t="shared" si="0"/>
        <v>0.55000000000000004</v>
      </c>
      <c r="AI45" s="77">
        <f t="shared" si="1"/>
        <v>2876.970013120248</v>
      </c>
      <c r="AJ45" s="151"/>
      <c r="AK45" s="77"/>
      <c r="AM45" s="77">
        <f t="shared" si="2"/>
        <v>0</v>
      </c>
      <c r="AN45" s="189"/>
      <c r="AO45" s="206"/>
      <c r="AP45" s="189"/>
      <c r="AQ45" s="206"/>
      <c r="AR45" s="189"/>
      <c r="AS45" s="206"/>
      <c r="AT45" s="31"/>
      <c r="AX45" s="33"/>
      <c r="AZ45" s="32"/>
      <c r="BA45" s="21"/>
      <c r="BB45" s="22"/>
      <c r="BC45" s="21"/>
      <c r="BD45" s="16"/>
      <c r="BE45" s="17"/>
      <c r="BF45" s="16"/>
      <c r="BG45" s="17"/>
      <c r="BH45" s="16"/>
      <c r="BI45" s="17"/>
      <c r="BJ45" s="16"/>
      <c r="BK45" s="27"/>
      <c r="BL45" s="27"/>
      <c r="BM45" s="27"/>
      <c r="BN45" s="27"/>
      <c r="BO45" s="27"/>
      <c r="BP45" s="27"/>
      <c r="BQ45" s="27"/>
      <c r="BR45" s="27"/>
      <c r="BS45" s="27"/>
      <c r="BT45" s="27"/>
    </row>
    <row r="46" spans="1:72" s="77" customFormat="1" x14ac:dyDescent="0.25">
      <c r="A46" s="74">
        <v>1992</v>
      </c>
      <c r="B46" s="75">
        <f t="shared" ref="B46:B51" si="9">C46-DATE(YEAR(C46),1,1)+1</f>
        <v>1</v>
      </c>
      <c r="C46" s="76">
        <v>33604</v>
      </c>
      <c r="E46" s="75"/>
      <c r="F46" s="74">
        <f>Z46</f>
        <v>0</v>
      </c>
      <c r="G46" s="78"/>
      <c r="O46" s="79"/>
      <c r="P46" s="78"/>
      <c r="X46" s="80"/>
      <c r="Z46" s="80"/>
      <c r="AA46" s="81"/>
      <c r="AB46" s="86"/>
      <c r="AD46" s="109"/>
      <c r="AE46" s="82"/>
      <c r="AF46" s="74">
        <f t="shared" si="7"/>
        <v>0</v>
      </c>
      <c r="AG46" s="11">
        <f t="shared" si="0"/>
        <v>0.55000000000000004</v>
      </c>
      <c r="AI46" s="77">
        <f t="shared" si="1"/>
        <v>0</v>
      </c>
      <c r="AJ46" s="151"/>
      <c r="AM46" s="77">
        <f t="shared" si="2"/>
        <v>0</v>
      </c>
      <c r="AN46" s="189"/>
      <c r="AO46" s="206"/>
      <c r="AP46" s="189"/>
      <c r="AQ46" s="206"/>
      <c r="AR46" s="189"/>
      <c r="AS46" s="206"/>
      <c r="AT46" s="83"/>
      <c r="AX46" s="81"/>
      <c r="AZ46" s="82"/>
      <c r="BB46" s="84"/>
      <c r="BD46" s="84"/>
      <c r="BF46" s="84"/>
      <c r="BH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</row>
    <row r="47" spans="1:72" s="77" customFormat="1" x14ac:dyDescent="0.25">
      <c r="A47" s="74">
        <v>1992</v>
      </c>
      <c r="B47" s="75">
        <f t="shared" si="9"/>
        <v>71</v>
      </c>
      <c r="C47" s="76">
        <v>33674</v>
      </c>
      <c r="E47" s="75">
        <v>0.48</v>
      </c>
      <c r="F47" s="74">
        <f>R47</f>
        <v>116.90140845070422</v>
      </c>
      <c r="G47" s="78">
        <v>83</v>
      </c>
      <c r="H47" s="77">
        <f>VLOOKUP(B47,$CI$97:$CO$252, 6)</f>
        <v>0.78389999999999993</v>
      </c>
      <c r="I47" s="77">
        <f>G47/H47</f>
        <v>105.88085214950887</v>
      </c>
      <c r="O47" s="79"/>
      <c r="P47" s="78">
        <v>83</v>
      </c>
      <c r="Q47" s="77">
        <f>VLOOKUP(B47,CI83:CU238, 12)</f>
        <v>0.71</v>
      </c>
      <c r="R47" s="77">
        <f>P47/Q47</f>
        <v>116.90140845070422</v>
      </c>
      <c r="X47" s="80"/>
      <c r="Y47" s="77">
        <f>VLOOKUP(B47,$CF$86:$CH$241,2)</f>
        <v>0.6389999999999999</v>
      </c>
      <c r="Z47" s="80">
        <f>R47/Y47</f>
        <v>182.94430117481102</v>
      </c>
      <c r="AA47" s="81">
        <f>0.5*($B49-$B46)*$F47</f>
        <v>8826.0563380281692</v>
      </c>
      <c r="AB47" s="86">
        <f>AE47/$AE$1</f>
        <v>373.80460226145607</v>
      </c>
      <c r="AC47" s="77">
        <f>F48</f>
        <v>182.94430117481102</v>
      </c>
      <c r="AD47" s="109">
        <f>AB47/AC47</f>
        <v>2.0432699999999997</v>
      </c>
      <c r="AE47" s="82">
        <f>SUM(AA47:AA49)</f>
        <v>18690.230113072805</v>
      </c>
      <c r="AF47" s="74">
        <f t="shared" si="7"/>
        <v>212.54801536491675</v>
      </c>
      <c r="AG47" s="11">
        <f t="shared" si="0"/>
        <v>0.55000000000000004</v>
      </c>
      <c r="AI47" s="77">
        <f t="shared" si="1"/>
        <v>16047.375160051215</v>
      </c>
      <c r="AJ47" s="151">
        <f>AM47/$AE$1</f>
        <v>679.64473138446556</v>
      </c>
      <c r="AK47" s="77">
        <f t="shared" si="4"/>
        <v>332.62600213602002</v>
      </c>
      <c r="AL47" s="77">
        <f>AJ47/AK47</f>
        <v>2.0432699999999997</v>
      </c>
      <c r="AM47" s="77">
        <f t="shared" si="2"/>
        <v>33982.236569223278</v>
      </c>
      <c r="AN47" s="189"/>
      <c r="AO47" s="206"/>
      <c r="AP47" s="189">
        <f>AK47*$AO$188</f>
        <v>0</v>
      </c>
      <c r="AQ47" s="206"/>
      <c r="AR47" s="189"/>
      <c r="AS47" s="206">
        <f>AK47*$AR$177</f>
        <v>0</v>
      </c>
      <c r="AT47" s="83"/>
      <c r="AX47" s="81"/>
      <c r="AZ47" s="82"/>
      <c r="BB47" s="84"/>
      <c r="BD47" s="84"/>
      <c r="BF47" s="84"/>
      <c r="BH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</row>
    <row r="48" spans="1:72" s="87" customFormat="1" x14ac:dyDescent="0.25">
      <c r="A48" s="168">
        <v>1992</v>
      </c>
      <c r="B48" s="89">
        <f>C48-DATE(YEAR(C48),1,1)+1</f>
        <v>113</v>
      </c>
      <c r="C48" s="169">
        <v>33716</v>
      </c>
      <c r="E48" s="89">
        <v>0.48</v>
      </c>
      <c r="F48" s="168">
        <f>Z47</f>
        <v>182.94430117481102</v>
      </c>
      <c r="G48" s="170"/>
      <c r="O48" s="171"/>
      <c r="P48" s="170"/>
      <c r="X48" s="172"/>
      <c r="Z48" s="172"/>
      <c r="AA48" s="81">
        <f>((B48-B47)*F48)-((B48-B47)*(F48-F47)*0.5)</f>
        <v>6296.7599021358201</v>
      </c>
      <c r="AB48" s="174"/>
      <c r="AD48" s="181"/>
      <c r="AE48" s="175"/>
      <c r="AF48" s="74">
        <f t="shared" si="7"/>
        <v>332.62600213602002</v>
      </c>
      <c r="AG48" s="11">
        <f t="shared" si="0"/>
        <v>0.55000000000000004</v>
      </c>
      <c r="AI48" s="77">
        <f t="shared" si="1"/>
        <v>11448.654367519672</v>
      </c>
      <c r="AJ48" s="164"/>
      <c r="AK48" s="77"/>
      <c r="AM48" s="77">
        <f t="shared" si="2"/>
        <v>0</v>
      </c>
      <c r="AN48" s="189"/>
      <c r="AO48" s="206"/>
      <c r="AP48" s="189"/>
      <c r="AQ48" s="206"/>
      <c r="AR48" s="189"/>
      <c r="AS48" s="206"/>
      <c r="AT48" s="176"/>
      <c r="AX48" s="173"/>
      <c r="AZ48" s="175"/>
    </row>
    <row r="49" spans="1:72" s="77" customFormat="1" x14ac:dyDescent="0.25">
      <c r="A49" s="74">
        <v>1992</v>
      </c>
      <c r="B49" s="75">
        <f t="shared" si="9"/>
        <v>152</v>
      </c>
      <c r="C49" s="76">
        <v>33755</v>
      </c>
      <c r="E49" s="75"/>
      <c r="F49" s="74">
        <f>Z49</f>
        <v>0</v>
      </c>
      <c r="G49" s="78"/>
      <c r="O49" s="79"/>
      <c r="P49" s="78"/>
      <c r="X49" s="80"/>
      <c r="Z49" s="80"/>
      <c r="AA49" s="177">
        <f>0.5*(B49-B48)*F48</f>
        <v>3567.4138729088149</v>
      </c>
      <c r="AB49" s="86"/>
      <c r="AD49" s="109"/>
      <c r="AE49" s="82"/>
      <c r="AF49" s="74">
        <f t="shared" si="7"/>
        <v>0</v>
      </c>
      <c r="AG49" s="11">
        <f t="shared" si="0"/>
        <v>0.55000000000000004</v>
      </c>
      <c r="AI49" s="77">
        <f t="shared" si="1"/>
        <v>6486.2070416523902</v>
      </c>
      <c r="AJ49" s="151"/>
      <c r="AM49" s="77">
        <f>AE49/AG49</f>
        <v>0</v>
      </c>
      <c r="AN49" s="189"/>
      <c r="AO49" s="206"/>
      <c r="AP49" s="189"/>
      <c r="AQ49" s="206"/>
      <c r="AR49" s="189"/>
      <c r="AS49" s="206"/>
      <c r="AT49" s="83"/>
      <c r="AX49" s="81"/>
      <c r="AZ49" s="82"/>
      <c r="BB49" s="84"/>
      <c r="BD49" s="84"/>
      <c r="BF49" s="84"/>
      <c r="BH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</row>
    <row r="50" spans="1:72" s="11" customFormat="1" x14ac:dyDescent="0.25">
      <c r="A50" s="29">
        <v>1993</v>
      </c>
      <c r="B50">
        <f t="shared" si="9"/>
        <v>1</v>
      </c>
      <c r="C50" s="13">
        <v>33970</v>
      </c>
      <c r="E50"/>
      <c r="F50" s="29">
        <v>0</v>
      </c>
      <c r="G50" s="34"/>
      <c r="O50" s="35"/>
      <c r="P50" s="34"/>
      <c r="X50" s="71"/>
      <c r="Z50" s="71"/>
      <c r="AA50" s="33"/>
      <c r="AB50" s="1"/>
      <c r="AD50" s="2"/>
      <c r="AE50" s="32"/>
      <c r="AF50" s="74">
        <f t="shared" si="7"/>
        <v>0</v>
      </c>
      <c r="AG50" s="11">
        <f t="shared" si="0"/>
        <v>0.55000000000000004</v>
      </c>
      <c r="AI50" s="77">
        <f t="shared" si="1"/>
        <v>0</v>
      </c>
      <c r="AJ50" s="151"/>
      <c r="AK50" s="77"/>
      <c r="AM50" s="77">
        <f t="shared" si="2"/>
        <v>0</v>
      </c>
      <c r="AN50" s="189"/>
      <c r="AO50" s="206"/>
      <c r="AP50" s="189"/>
      <c r="AQ50" s="206"/>
      <c r="AR50" s="189"/>
      <c r="AS50" s="206"/>
      <c r="AT50" s="31"/>
      <c r="AX50" s="33"/>
      <c r="AZ50" s="32"/>
      <c r="BA50" s="21"/>
      <c r="BB50" s="22"/>
      <c r="BC50" s="21"/>
      <c r="BD50" s="16"/>
      <c r="BE50" s="17"/>
      <c r="BF50" s="16"/>
      <c r="BG50" s="17"/>
      <c r="BH50" s="16"/>
      <c r="BI50" s="17"/>
      <c r="BJ50" s="16"/>
      <c r="BK50" s="27"/>
      <c r="BL50" s="27"/>
      <c r="BM50" s="27"/>
      <c r="BN50" s="27"/>
      <c r="BO50" s="27"/>
      <c r="BP50" s="27"/>
      <c r="BQ50" s="27"/>
      <c r="BR50" s="27"/>
      <c r="BS50" s="27"/>
      <c r="BT50" s="27"/>
    </row>
    <row r="51" spans="1:72" s="11" customFormat="1" x14ac:dyDescent="0.25">
      <c r="A51" s="29">
        <v>1993</v>
      </c>
      <c r="B51">
        <f t="shared" si="9"/>
        <v>56</v>
      </c>
      <c r="C51" s="13">
        <v>34025</v>
      </c>
      <c r="E51">
        <v>0.33</v>
      </c>
      <c r="F51" s="29">
        <f>R51</f>
        <v>101.40845070422536</v>
      </c>
      <c r="G51" s="34">
        <v>72</v>
      </c>
      <c r="H51" s="11">
        <f>VLOOKUP(B51,$CI$97:$CO$252, 6)</f>
        <v>0.7974</v>
      </c>
      <c r="I51" s="11">
        <f>G51/H51</f>
        <v>90.293453724604973</v>
      </c>
      <c r="O51" s="35"/>
      <c r="P51" s="34">
        <v>72</v>
      </c>
      <c r="Q51" s="11">
        <f>VLOOKUP(B51,CI80:CU237, 12)</f>
        <v>0.71</v>
      </c>
      <c r="R51" s="11">
        <f>P51/Q51</f>
        <v>101.40845070422536</v>
      </c>
      <c r="X51" s="71"/>
      <c r="Y51" s="11">
        <f>VLOOKUP(B51,$CF$86:$CH$241,2)</f>
        <v>0.504</v>
      </c>
      <c r="Z51" s="71">
        <f>R51/Y51</f>
        <v>201.2072434607646</v>
      </c>
      <c r="AA51" s="33">
        <f>0.5*(B51-B50)*F51</f>
        <v>2788.7323943661972</v>
      </c>
      <c r="AB51" s="1">
        <f>AE51/$AE$1</f>
        <v>123.96955470194908</v>
      </c>
      <c r="AC51" s="11">
        <f>F51</f>
        <v>101.40845070422536</v>
      </c>
      <c r="AD51" s="2">
        <f>AB51/AC51</f>
        <v>1.2224775533108867</v>
      </c>
      <c r="AE51" s="32">
        <f>SUM(AA51:AA53)</f>
        <v>6198.4777350974537</v>
      </c>
      <c r="AF51" s="74">
        <f t="shared" si="7"/>
        <v>184.37900128040974</v>
      </c>
      <c r="AG51" s="11">
        <f t="shared" si="0"/>
        <v>0.55000000000000004</v>
      </c>
      <c r="AI51" s="77">
        <f t="shared" si="1"/>
        <v>5070.4225352112671</v>
      </c>
      <c r="AJ51" s="151">
        <f>AM51/$AM$1</f>
        <v>225.39919036718013</v>
      </c>
      <c r="AK51" s="77">
        <f t="shared" si="4"/>
        <v>184.37900128040974</v>
      </c>
      <c r="AL51" s="11">
        <f>AJ51/AK51</f>
        <v>1.2224775533108867</v>
      </c>
      <c r="AM51" s="77">
        <f t="shared" si="2"/>
        <v>11269.959518359006</v>
      </c>
      <c r="AN51" s="189"/>
      <c r="AO51" s="206"/>
      <c r="AP51" s="189">
        <f>AK51*$AO$188</f>
        <v>0</v>
      </c>
      <c r="AQ51" s="206"/>
      <c r="AR51" s="189"/>
      <c r="AS51" s="206">
        <f>AK51*$AR$177</f>
        <v>0</v>
      </c>
      <c r="AT51" s="31"/>
      <c r="AX51" s="33"/>
      <c r="AZ51" s="32"/>
      <c r="BA51" s="21"/>
      <c r="BB51" s="22"/>
      <c r="BC51" s="21"/>
      <c r="BD51" s="16"/>
      <c r="BE51" s="17"/>
      <c r="BF51" s="16"/>
      <c r="BG51" s="17"/>
      <c r="BH51" s="16"/>
      <c r="BI51" s="17"/>
      <c r="BJ51" s="16"/>
      <c r="BK51" s="27"/>
      <c r="BL51" s="27"/>
      <c r="BM51" s="27"/>
      <c r="BN51" s="27"/>
      <c r="BO51" s="27"/>
      <c r="BP51" s="27"/>
      <c r="BQ51" s="27"/>
      <c r="BR51" s="27"/>
      <c r="BS51" s="27"/>
      <c r="BT51" s="27"/>
    </row>
    <row r="52" spans="1:72" s="11" customFormat="1" x14ac:dyDescent="0.25">
      <c r="A52" s="29">
        <v>1993</v>
      </c>
      <c r="B52">
        <f t="shared" ref="B52:B57" si="10">C52-DATE(YEAR(C52),1,1)+1</f>
        <v>110</v>
      </c>
      <c r="C52" s="13">
        <v>34079</v>
      </c>
      <c r="E52">
        <v>0.33</v>
      </c>
      <c r="F52" s="29">
        <f>Z52</f>
        <v>14.141414141414144</v>
      </c>
      <c r="G52" s="34"/>
      <c r="J52" s="11">
        <v>7</v>
      </c>
      <c r="K52" s="11">
        <f>VLOOKUP(B52,$CI$101:$CQ$256, 4)</f>
        <v>0.41880000000000001</v>
      </c>
      <c r="L52" s="11">
        <f>J52/K52</f>
        <v>16.714422158548231</v>
      </c>
      <c r="O52" s="35"/>
      <c r="P52" s="34"/>
      <c r="S52" s="11">
        <v>7</v>
      </c>
      <c r="T52" s="11">
        <f>VLOOKUP(B52,CI114:CU269, 10)</f>
        <v>0.5</v>
      </c>
      <c r="U52" s="11">
        <f>S52/T52</f>
        <v>14</v>
      </c>
      <c r="X52" s="71"/>
      <c r="Y52" s="11">
        <f>VLOOKUP(B52,$CF$86:$CH$241,2)</f>
        <v>0.98999999999999988</v>
      </c>
      <c r="Z52" s="71">
        <f>U52/Y52</f>
        <v>14.141414141414144</v>
      </c>
      <c r="AA52" s="33">
        <f>((B52-B51)*F52)-((B52-B51)*(F52-F51)*0.5)</f>
        <v>3119.8463508322666</v>
      </c>
      <c r="AB52" s="1"/>
      <c r="AD52" s="2"/>
      <c r="AE52" s="32"/>
      <c r="AF52" s="74">
        <f t="shared" si="7"/>
        <v>25.711662075298442</v>
      </c>
      <c r="AG52" s="11">
        <f t="shared" si="0"/>
        <v>0.55000000000000004</v>
      </c>
      <c r="AI52" s="77">
        <f t="shared" si="1"/>
        <v>5672.4479106041208</v>
      </c>
      <c r="AJ52" s="151"/>
      <c r="AK52" s="77"/>
      <c r="AM52" s="77">
        <f t="shared" si="2"/>
        <v>0</v>
      </c>
      <c r="AN52" s="189"/>
      <c r="AO52" s="206"/>
      <c r="AP52" s="189"/>
      <c r="AQ52" s="206"/>
      <c r="AR52" s="189"/>
      <c r="AS52" s="206"/>
      <c r="AT52" s="31"/>
      <c r="AX52" s="33"/>
      <c r="AZ52" s="32"/>
      <c r="BA52" s="21"/>
      <c r="BB52" s="22"/>
      <c r="BC52" s="21"/>
      <c r="BD52" s="16"/>
      <c r="BE52" s="17"/>
      <c r="BF52" s="16"/>
      <c r="BG52" s="17"/>
      <c r="BH52" s="16"/>
      <c r="BI52" s="17"/>
      <c r="BJ52" s="16"/>
      <c r="BK52" s="27"/>
      <c r="BL52" s="27"/>
      <c r="BM52" s="27"/>
      <c r="BN52" s="27"/>
      <c r="BO52" s="27"/>
      <c r="BP52" s="27"/>
      <c r="BQ52" s="27"/>
      <c r="BR52" s="27"/>
      <c r="BS52" s="27"/>
      <c r="BT52" s="27"/>
    </row>
    <row r="53" spans="1:72" s="11" customFormat="1" x14ac:dyDescent="0.25">
      <c r="A53" s="29">
        <v>1993</v>
      </c>
      <c r="B53">
        <f t="shared" si="10"/>
        <v>151</v>
      </c>
      <c r="C53" s="13">
        <v>34120</v>
      </c>
      <c r="E53"/>
      <c r="F53" s="29">
        <v>0</v>
      </c>
      <c r="G53" s="34"/>
      <c r="O53" s="35"/>
      <c r="P53" s="34"/>
      <c r="X53" s="71"/>
      <c r="Z53" s="71"/>
      <c r="AA53" s="33">
        <f>0.5*(B53-B52)*F52</f>
        <v>289.89898989898995</v>
      </c>
      <c r="AB53" s="1"/>
      <c r="AD53" s="2"/>
      <c r="AE53" s="32"/>
      <c r="AF53" s="74">
        <f t="shared" si="7"/>
        <v>0</v>
      </c>
      <c r="AG53" s="11">
        <f t="shared" si="0"/>
        <v>0.55000000000000004</v>
      </c>
      <c r="AI53" s="77">
        <f t="shared" si="1"/>
        <v>527.08907254361804</v>
      </c>
      <c r="AJ53" s="151"/>
      <c r="AK53" s="77"/>
      <c r="AM53" s="77">
        <f t="shared" si="2"/>
        <v>0</v>
      </c>
      <c r="AN53" s="189"/>
      <c r="AO53" s="206"/>
      <c r="AP53" s="189"/>
      <c r="AQ53" s="206"/>
      <c r="AR53" s="189"/>
      <c r="AS53" s="206"/>
      <c r="AT53" s="31"/>
      <c r="AX53" s="33"/>
      <c r="AZ53" s="32"/>
      <c r="BA53" s="21"/>
      <c r="BB53" s="22"/>
      <c r="BC53" s="21"/>
      <c r="BD53" s="16"/>
      <c r="BE53" s="17"/>
      <c r="BF53" s="16"/>
      <c r="BG53" s="17"/>
      <c r="BH53" s="16"/>
      <c r="BI53" s="17"/>
      <c r="BJ53" s="16"/>
      <c r="BK53" s="27"/>
      <c r="BL53" s="27"/>
      <c r="BM53" s="27"/>
      <c r="BN53" s="27"/>
      <c r="BO53" s="27"/>
      <c r="BP53" s="27"/>
      <c r="BQ53" s="27"/>
      <c r="BR53" s="27"/>
      <c r="BS53" s="27"/>
      <c r="BT53" s="27"/>
    </row>
    <row r="54" spans="1:72" s="77" customFormat="1" x14ac:dyDescent="0.25">
      <c r="A54" s="74">
        <v>1994</v>
      </c>
      <c r="B54" s="75">
        <f t="shared" si="10"/>
        <v>1</v>
      </c>
      <c r="C54" s="76">
        <v>34335</v>
      </c>
      <c r="E54" s="75"/>
      <c r="F54" s="74">
        <f>Z54</f>
        <v>0</v>
      </c>
      <c r="G54" s="78"/>
      <c r="O54" s="79"/>
      <c r="P54" s="78"/>
      <c r="X54" s="80"/>
      <c r="Z54" s="80"/>
      <c r="AA54" s="81"/>
      <c r="AB54" s="86"/>
      <c r="AD54" s="109"/>
      <c r="AE54" s="82"/>
      <c r="AF54" s="74">
        <f t="shared" si="7"/>
        <v>0</v>
      </c>
      <c r="AG54" s="11">
        <f t="shared" si="0"/>
        <v>0.55000000000000004</v>
      </c>
      <c r="AI54" s="77">
        <f t="shared" si="1"/>
        <v>0</v>
      </c>
      <c r="AJ54" s="151"/>
      <c r="AM54" s="77">
        <f t="shared" si="2"/>
        <v>0</v>
      </c>
      <c r="AN54" s="189"/>
      <c r="AO54" s="206"/>
      <c r="AP54" s="189"/>
      <c r="AQ54" s="206"/>
      <c r="AR54" s="189"/>
      <c r="AS54" s="206"/>
      <c r="AT54" s="83"/>
      <c r="AX54" s="81"/>
      <c r="AZ54" s="82"/>
      <c r="BB54" s="84"/>
      <c r="BD54" s="84"/>
      <c r="BF54" s="84"/>
      <c r="BH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</row>
    <row r="55" spans="1:72" s="77" customFormat="1" x14ac:dyDescent="0.25">
      <c r="A55" s="74">
        <v>1994</v>
      </c>
      <c r="B55" s="75">
        <f t="shared" si="10"/>
        <v>87</v>
      </c>
      <c r="C55" s="76">
        <v>34421</v>
      </c>
      <c r="E55" s="75">
        <v>0.25</v>
      </c>
      <c r="F55" s="74">
        <f>R55</f>
        <v>23.943661971830988</v>
      </c>
      <c r="G55" s="78">
        <v>17</v>
      </c>
      <c r="H55" s="77">
        <f>VLOOKUP(B55,$CI$97:$CO$252, 6)</f>
        <v>0.77490000000000003</v>
      </c>
      <c r="I55" s="77">
        <f>G55/H55</f>
        <v>21.938314621241449</v>
      </c>
      <c r="O55" s="79"/>
      <c r="P55" s="78">
        <v>17</v>
      </c>
      <c r="Q55" s="77">
        <f>VLOOKUP(B55,CI86:CU241, 12)</f>
        <v>0.71</v>
      </c>
      <c r="R55" s="77">
        <f>P55/Q55</f>
        <v>23.943661971830988</v>
      </c>
      <c r="X55" s="80"/>
      <c r="Y55" s="77">
        <f>VLOOKUP(B55,$CF$86:$CH$241,2)</f>
        <v>0.72899999999999998</v>
      </c>
      <c r="Z55" s="80">
        <f>R55/Y55</f>
        <v>32.8445294538148</v>
      </c>
      <c r="AA55" s="81">
        <f>0.5*($B55-$B54)*$F55</f>
        <v>1029.5774647887324</v>
      </c>
      <c r="AB55" s="86">
        <f>AE55/$AE$1</f>
        <v>47.597963639173869</v>
      </c>
      <c r="AC55" s="77">
        <f>F56</f>
        <v>32.8445294538148</v>
      </c>
      <c r="AD55" s="109">
        <f>AB55/AC55</f>
        <v>1.44919</v>
      </c>
      <c r="AE55" s="82">
        <f>SUM(AA55:AA57)</f>
        <v>2379.8981819586934</v>
      </c>
      <c r="AF55" s="74">
        <f t="shared" si="7"/>
        <v>43.533930857874523</v>
      </c>
      <c r="AG55" s="11">
        <f t="shared" si="0"/>
        <v>0.55000000000000004</v>
      </c>
      <c r="AI55" s="77">
        <f t="shared" si="1"/>
        <v>1871.9590268886043</v>
      </c>
      <c r="AJ55" s="151">
        <f>AM55/$AE$1</f>
        <v>86.541752071225204</v>
      </c>
      <c r="AK55" s="77">
        <f t="shared" si="4"/>
        <v>59.717326279663268</v>
      </c>
      <c r="AL55" s="77">
        <f>AJ55/AK55</f>
        <v>1.44919</v>
      </c>
      <c r="AM55" s="77">
        <f t="shared" si="2"/>
        <v>4327.08760356126</v>
      </c>
      <c r="AN55" s="189"/>
      <c r="AO55" s="206"/>
      <c r="AP55" s="189">
        <f>AK55*$AO$188</f>
        <v>0</v>
      </c>
      <c r="AQ55" s="206"/>
      <c r="AR55" s="189"/>
      <c r="AS55" s="206">
        <f>AK55*$AR$177</f>
        <v>0</v>
      </c>
      <c r="AT55" s="83"/>
      <c r="AX55" s="81"/>
      <c r="AZ55" s="82"/>
      <c r="BB55" s="84"/>
      <c r="BD55" s="84"/>
      <c r="BF55" s="84"/>
      <c r="BH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</row>
    <row r="56" spans="1:72" s="87" customFormat="1" x14ac:dyDescent="0.25">
      <c r="A56" s="168">
        <v>1994</v>
      </c>
      <c r="B56" s="89">
        <f>C56-DATE(YEAR(C56),1,1)+1</f>
        <v>112</v>
      </c>
      <c r="C56" s="169">
        <v>34446</v>
      </c>
      <c r="E56" s="89">
        <v>0.25</v>
      </c>
      <c r="F56" s="168">
        <f>Z55</f>
        <v>32.8445294538148</v>
      </c>
      <c r="G56" s="170"/>
      <c r="O56" s="171"/>
      <c r="P56" s="170"/>
      <c r="X56" s="172"/>
      <c r="Z56" s="172"/>
      <c r="AA56" s="81">
        <f>((B56-B55)*F56)-((B56-B55)*(F56-F55)*0.5)</f>
        <v>709.85239282057239</v>
      </c>
      <c r="AB56" s="174"/>
      <c r="AD56" s="181"/>
      <c r="AE56" s="175"/>
      <c r="AF56" s="74">
        <f t="shared" si="7"/>
        <v>59.717326279663268</v>
      </c>
      <c r="AG56" s="11">
        <f t="shared" si="0"/>
        <v>0.55000000000000004</v>
      </c>
      <c r="AI56" s="77">
        <f t="shared" si="1"/>
        <v>1290.6407142192224</v>
      </c>
      <c r="AJ56" s="164"/>
      <c r="AK56" s="77"/>
      <c r="AM56" s="77">
        <f t="shared" si="2"/>
        <v>0</v>
      </c>
      <c r="AN56" s="189"/>
      <c r="AO56" s="206"/>
      <c r="AP56" s="189"/>
      <c r="AQ56" s="206"/>
      <c r="AR56" s="189"/>
      <c r="AS56" s="206"/>
      <c r="AT56" s="176"/>
      <c r="AX56" s="173"/>
      <c r="AZ56" s="175"/>
    </row>
    <row r="57" spans="1:72" s="77" customFormat="1" x14ac:dyDescent="0.25">
      <c r="A57" s="74">
        <v>1994</v>
      </c>
      <c r="B57" s="75">
        <f t="shared" si="10"/>
        <v>151</v>
      </c>
      <c r="C57" s="76">
        <v>34485</v>
      </c>
      <c r="E57" s="75"/>
      <c r="F57" s="74">
        <f>Z57</f>
        <v>0</v>
      </c>
      <c r="G57" s="78"/>
      <c r="O57" s="79"/>
      <c r="P57" s="78"/>
      <c r="X57" s="80"/>
      <c r="Z57" s="80"/>
      <c r="AA57" s="177">
        <f>0.5*(B57-B56)*F56</f>
        <v>640.46832434938858</v>
      </c>
      <c r="AB57" s="86"/>
      <c r="AD57" s="109"/>
      <c r="AE57" s="82"/>
      <c r="AF57" s="74">
        <f t="shared" si="7"/>
        <v>0</v>
      </c>
      <c r="AG57" s="11">
        <f t="shared" si="0"/>
        <v>0.55000000000000004</v>
      </c>
      <c r="AI57" s="77">
        <f t="shared" si="1"/>
        <v>1164.4878624534338</v>
      </c>
      <c r="AJ57" s="151"/>
      <c r="AM57" s="77">
        <f t="shared" si="2"/>
        <v>0</v>
      </c>
      <c r="AN57" s="189"/>
      <c r="AO57" s="206"/>
      <c r="AP57" s="189"/>
      <c r="AQ57" s="206"/>
      <c r="AR57" s="189"/>
      <c r="AS57" s="206"/>
      <c r="AT57" s="83"/>
      <c r="AX57" s="81"/>
      <c r="AZ57" s="82"/>
      <c r="BB57" s="84"/>
      <c r="BD57" s="84"/>
      <c r="BF57" s="84"/>
      <c r="BH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</row>
    <row r="58" spans="1:72" s="11" customFormat="1" x14ac:dyDescent="0.25">
      <c r="A58" s="29">
        <v>1995</v>
      </c>
      <c r="B58">
        <f>C58-DATE(YEAR(C58),1,1)+1</f>
        <v>1</v>
      </c>
      <c r="C58" s="13">
        <v>34700</v>
      </c>
      <c r="E58"/>
      <c r="F58" s="29">
        <v>0</v>
      </c>
      <c r="G58" s="34"/>
      <c r="O58" s="35"/>
      <c r="P58" s="34"/>
      <c r="X58" s="71"/>
      <c r="Z58" s="71"/>
      <c r="AA58" s="33"/>
      <c r="AB58" s="1"/>
      <c r="AD58" s="2"/>
      <c r="AE58" s="32"/>
      <c r="AF58" s="74">
        <f t="shared" si="7"/>
        <v>0</v>
      </c>
      <c r="AG58" s="11">
        <f t="shared" si="0"/>
        <v>0.55000000000000004</v>
      </c>
      <c r="AI58" s="77">
        <f t="shared" si="1"/>
        <v>0</v>
      </c>
      <c r="AJ58" s="151"/>
      <c r="AK58" s="77"/>
      <c r="AM58" s="77">
        <f t="shared" si="2"/>
        <v>0</v>
      </c>
      <c r="AN58" s="189"/>
      <c r="AO58" s="206"/>
      <c r="AP58" s="189"/>
      <c r="AQ58" s="206"/>
      <c r="AR58" s="189"/>
      <c r="AS58" s="206"/>
      <c r="AT58" s="31"/>
      <c r="AX58" s="33"/>
      <c r="AZ58" s="32"/>
      <c r="BA58" s="21"/>
      <c r="BB58" s="22"/>
      <c r="BC58" s="21"/>
      <c r="BD58" s="16"/>
      <c r="BE58" s="17"/>
      <c r="BF58" s="16"/>
      <c r="BG58" s="17"/>
      <c r="BH58" s="16"/>
      <c r="BI58" s="17"/>
      <c r="BJ58" s="16"/>
      <c r="BK58" s="27"/>
      <c r="BL58" s="27"/>
      <c r="BM58" s="27"/>
      <c r="BN58" s="27"/>
      <c r="BO58" s="27"/>
      <c r="BP58" s="27"/>
      <c r="BQ58" s="27"/>
      <c r="BR58" s="27"/>
      <c r="BS58" s="27"/>
      <c r="BT58" s="27"/>
    </row>
    <row r="59" spans="1:72" s="11" customFormat="1" x14ac:dyDescent="0.25">
      <c r="A59" s="29">
        <v>1995</v>
      </c>
      <c r="B59">
        <f>C59-DATE(YEAR(C59),1,1)+1</f>
        <v>60</v>
      </c>
      <c r="C59" s="13">
        <v>34759</v>
      </c>
      <c r="E59">
        <v>0.27</v>
      </c>
      <c r="F59" s="29">
        <f>R59</f>
        <v>50.70422535211268</v>
      </c>
      <c r="G59" s="65">
        <v>36</v>
      </c>
      <c r="H59" s="11">
        <f>VLOOKUP(B59,$CI$97:$CO$252, 6)</f>
        <v>0.79380000000000006</v>
      </c>
      <c r="I59" s="11">
        <f>G59/H59</f>
        <v>45.351473922902493</v>
      </c>
      <c r="O59" s="35"/>
      <c r="P59" s="34">
        <v>36</v>
      </c>
      <c r="Q59" s="11">
        <f>VLOOKUP(B59,CI89:CU244, 12)</f>
        <v>0.71</v>
      </c>
      <c r="R59" s="11">
        <f>P59/Q59</f>
        <v>50.70422535211268</v>
      </c>
      <c r="X59" s="71"/>
      <c r="Y59" s="11">
        <f>VLOOKUP(B59,CF89:CH244,2)</f>
        <v>0.53999999999999992</v>
      </c>
      <c r="Z59" s="71">
        <f>R59/Y59</f>
        <v>93.896713615023501</v>
      </c>
      <c r="AA59" s="33">
        <f>0.5*($B61-$B58)*$F59</f>
        <v>3802.816901408451</v>
      </c>
      <c r="AB59" s="1">
        <f>AE59/$AE$1</f>
        <v>187.86854460093898</v>
      </c>
      <c r="AC59" s="11">
        <f>F60</f>
        <v>93.896713615023501</v>
      </c>
      <c r="AD59" s="2">
        <f>AB59/AC59</f>
        <v>2.0007999999999995</v>
      </c>
      <c r="AE59" s="32">
        <f>SUM(AA58:AA61)</f>
        <v>9393.4272300469493</v>
      </c>
      <c r="AF59" s="74">
        <f t="shared" si="7"/>
        <v>92.189500640204869</v>
      </c>
      <c r="AG59" s="11">
        <f t="shared" si="0"/>
        <v>0.55000000000000004</v>
      </c>
      <c r="AI59" s="77">
        <f t="shared" si="1"/>
        <v>6914.2125480153645</v>
      </c>
      <c r="AJ59" s="151">
        <f>AM59/$AM$1</f>
        <v>341.57917200170721</v>
      </c>
      <c r="AK59" s="77">
        <f t="shared" si="4"/>
        <v>170.72129748186089</v>
      </c>
      <c r="AL59" s="11">
        <f>AJ59/AK59</f>
        <v>2.0007999999999995</v>
      </c>
      <c r="AM59" s="77">
        <f t="shared" si="2"/>
        <v>17078.95860008536</v>
      </c>
      <c r="AN59" s="189"/>
      <c r="AO59" s="206"/>
      <c r="AP59" s="189">
        <f>AK59*$AO$188</f>
        <v>0</v>
      </c>
      <c r="AQ59" s="206"/>
      <c r="AR59" s="189"/>
      <c r="AS59" s="206">
        <f>AK59*$AR$177</f>
        <v>0</v>
      </c>
      <c r="AT59" s="31"/>
      <c r="AX59" s="33"/>
      <c r="AZ59" s="32"/>
      <c r="BA59" s="21"/>
      <c r="BB59" s="22"/>
      <c r="BC59" s="21"/>
      <c r="BD59" s="16"/>
      <c r="BE59" s="17"/>
      <c r="BF59" s="16"/>
      <c r="BG59" s="17"/>
      <c r="BH59" s="16"/>
      <c r="BI59" s="17"/>
      <c r="BJ59" s="16"/>
      <c r="BK59" s="27"/>
      <c r="BL59" s="27"/>
      <c r="BM59" s="27"/>
      <c r="BN59" s="27"/>
      <c r="BO59" s="27"/>
      <c r="BP59" s="27"/>
      <c r="BQ59" s="27"/>
      <c r="BR59" s="27"/>
      <c r="BS59" s="27"/>
      <c r="BT59" s="27"/>
    </row>
    <row r="60" spans="1:72" s="66" customFormat="1" x14ac:dyDescent="0.25">
      <c r="A60" s="156">
        <v>1995</v>
      </c>
      <c r="B60" s="28">
        <f>C60-DATE(YEAR(C60),1,1)+1</f>
        <v>112</v>
      </c>
      <c r="C60" s="157">
        <v>34811</v>
      </c>
      <c r="E60" s="28">
        <v>0.27</v>
      </c>
      <c r="F60" s="156">
        <f>Z59</f>
        <v>93.896713615023501</v>
      </c>
      <c r="G60" s="158"/>
      <c r="O60" s="159"/>
      <c r="P60" s="158"/>
      <c r="X60" s="160"/>
      <c r="Z60" s="160"/>
      <c r="AA60" s="178">
        <f>((B60-B59)*F60)-((B60-B59)*(F60-F59)*0.5)</f>
        <v>3759.6244131455405</v>
      </c>
      <c r="AB60" s="162"/>
      <c r="AD60" s="180"/>
      <c r="AE60" s="163"/>
      <c r="AF60" s="74">
        <f t="shared" si="7"/>
        <v>170.72129748186089</v>
      </c>
      <c r="AG60" s="11">
        <f t="shared" si="0"/>
        <v>0.55000000000000004</v>
      </c>
      <c r="AI60" s="77">
        <f t="shared" si="1"/>
        <v>6835.6807511737097</v>
      </c>
      <c r="AJ60" s="164"/>
      <c r="AK60" s="77"/>
      <c r="AM60" s="77">
        <f t="shared" si="2"/>
        <v>0</v>
      </c>
      <c r="AN60" s="189"/>
      <c r="AO60" s="206"/>
      <c r="AP60" s="189"/>
      <c r="AQ60" s="206"/>
      <c r="AR60" s="189"/>
      <c r="AS60" s="206"/>
      <c r="AT60" s="165"/>
      <c r="AX60" s="161"/>
      <c r="AZ60" s="163"/>
      <c r="BA60" s="166"/>
      <c r="BB60" s="166"/>
      <c r="BC60" s="166"/>
      <c r="BD60" s="167"/>
      <c r="BE60" s="167"/>
      <c r="BF60" s="167"/>
      <c r="BG60" s="167"/>
      <c r="BH60" s="167"/>
      <c r="BI60" s="167"/>
      <c r="BJ60" s="167"/>
    </row>
    <row r="61" spans="1:72" s="11" customFormat="1" x14ac:dyDescent="0.25">
      <c r="A61" s="29">
        <v>1995</v>
      </c>
      <c r="B61">
        <f>C61-DATE(YEAR(C61),1,1)+1</f>
        <v>151</v>
      </c>
      <c r="C61" s="13">
        <v>34850</v>
      </c>
      <c r="E61"/>
      <c r="F61" s="29">
        <v>0</v>
      </c>
      <c r="G61" s="34"/>
      <c r="O61" s="35"/>
      <c r="P61" s="34"/>
      <c r="X61" s="71"/>
      <c r="Z61" s="71"/>
      <c r="AA61" s="33">
        <f>0.5*(B61-B60)*F60</f>
        <v>1830.9859154929582</v>
      </c>
      <c r="AB61" s="1"/>
      <c r="AD61" s="2"/>
      <c r="AE61" s="32"/>
      <c r="AF61" s="74">
        <f t="shared" si="7"/>
        <v>0</v>
      </c>
      <c r="AG61" s="11">
        <f t="shared" si="0"/>
        <v>0.55000000000000004</v>
      </c>
      <c r="AI61" s="77">
        <f t="shared" si="1"/>
        <v>3329.0653008962872</v>
      </c>
      <c r="AJ61" s="151"/>
      <c r="AK61" s="77"/>
      <c r="AM61" s="77">
        <f t="shared" si="2"/>
        <v>0</v>
      </c>
      <c r="AN61" s="189"/>
      <c r="AO61" s="206"/>
      <c r="AP61" s="189"/>
      <c r="AQ61" s="206"/>
      <c r="AR61" s="189"/>
      <c r="AS61" s="206"/>
      <c r="AT61" s="31"/>
      <c r="AX61" s="33"/>
      <c r="AZ61" s="32"/>
      <c r="BA61" s="21"/>
      <c r="BB61" s="22"/>
      <c r="BC61" s="21"/>
      <c r="BD61" s="16"/>
      <c r="BE61" s="17"/>
      <c r="BF61" s="16"/>
      <c r="BG61" s="17"/>
      <c r="BH61" s="16"/>
      <c r="BI61" s="17"/>
      <c r="BJ61" s="16"/>
      <c r="BK61" s="27"/>
      <c r="BL61" s="27"/>
      <c r="BM61" s="27"/>
      <c r="BN61" s="27"/>
      <c r="BO61" s="27"/>
      <c r="BP61" s="27"/>
      <c r="BQ61" s="27"/>
      <c r="BR61" s="27"/>
      <c r="BS61" s="27"/>
      <c r="BT61" s="27"/>
    </row>
    <row r="62" spans="1:72" s="77" customFormat="1" x14ac:dyDescent="0.25">
      <c r="A62" s="74">
        <v>1996</v>
      </c>
      <c r="B62" s="75">
        <f t="shared" ref="B62:B78" si="11">C62-DATE(YEAR(C62),1,1)+1</f>
        <v>1</v>
      </c>
      <c r="C62" s="76">
        <v>35065</v>
      </c>
      <c r="E62" s="75"/>
      <c r="F62" s="74">
        <f>Z62</f>
        <v>0</v>
      </c>
      <c r="G62" s="78"/>
      <c r="O62" s="79"/>
      <c r="P62" s="78"/>
      <c r="X62" s="80"/>
      <c r="Z62" s="80"/>
      <c r="AA62" s="81"/>
      <c r="AB62" s="86"/>
      <c r="AD62" s="109"/>
      <c r="AE62" s="82"/>
      <c r="AF62" s="74">
        <f t="shared" si="7"/>
        <v>0</v>
      </c>
      <c r="AG62" s="11">
        <f t="shared" si="0"/>
        <v>0.55000000000000004</v>
      </c>
      <c r="AI62" s="77">
        <f t="shared" si="1"/>
        <v>0</v>
      </c>
      <c r="AJ62" s="151"/>
      <c r="AM62" s="77">
        <f t="shared" si="2"/>
        <v>0</v>
      </c>
      <c r="AN62" s="189"/>
      <c r="AO62" s="206"/>
      <c r="AP62" s="189"/>
      <c r="AQ62" s="206"/>
      <c r="AR62" s="189"/>
      <c r="AS62" s="206"/>
      <c r="AT62" s="83"/>
      <c r="AX62" s="81"/>
      <c r="AZ62" s="82"/>
      <c r="BB62" s="84"/>
      <c r="BD62" s="84"/>
      <c r="BF62" s="84"/>
      <c r="BH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</row>
    <row r="63" spans="1:72" s="77" customFormat="1" x14ac:dyDescent="0.25">
      <c r="A63" s="74">
        <v>1996</v>
      </c>
      <c r="B63" s="75">
        <f>C63-DATE(YEAR(C63),1,1)+1</f>
        <v>88</v>
      </c>
      <c r="C63" s="76">
        <v>35152</v>
      </c>
      <c r="E63" s="75">
        <v>0.15</v>
      </c>
      <c r="F63" s="74">
        <f>R63</f>
        <v>42.253521126760567</v>
      </c>
      <c r="G63" s="78">
        <v>30</v>
      </c>
      <c r="H63" s="77">
        <f>VLOOKUP(B63,$CI$97:$CO$252, 6)</f>
        <v>0.77490000000000003</v>
      </c>
      <c r="I63" s="77">
        <f>G63/H63</f>
        <v>38.714672861014321</v>
      </c>
      <c r="O63" s="79"/>
      <c r="P63" s="78">
        <v>30</v>
      </c>
      <c r="Q63" s="77">
        <f>VLOOKUP(B63,CI92:CU247, 12)</f>
        <v>0.71</v>
      </c>
      <c r="R63" s="77">
        <f>P63/Q63</f>
        <v>42.253521126760567</v>
      </c>
      <c r="X63" s="80"/>
      <c r="Y63" s="77">
        <f>VLOOKUP(B63,CF92:CH247,2)</f>
        <v>0.72899999999999998</v>
      </c>
      <c r="Z63" s="80">
        <f>R63/Y63</f>
        <v>57.960934330261409</v>
      </c>
      <c r="AA63" s="81">
        <f>0.5*($B65-$B62)*$F63</f>
        <v>3190.140845070423</v>
      </c>
      <c r="AB63" s="86">
        <f>AE63/$AE$1</f>
        <v>111.4611951544659</v>
      </c>
      <c r="AC63" s="77">
        <f>F64</f>
        <v>57.960934330261409</v>
      </c>
      <c r="AD63" s="109">
        <f>AB63/AC63</f>
        <v>1.9230399999999999</v>
      </c>
      <c r="AE63" s="82">
        <f>SUM(AA63:AA65)</f>
        <v>5573.0597577232948</v>
      </c>
      <c r="AF63" s="74">
        <f t="shared" si="7"/>
        <v>76.824583866837386</v>
      </c>
      <c r="AG63" s="11">
        <f t="shared" si="0"/>
        <v>0.55000000000000004</v>
      </c>
      <c r="AI63" s="77">
        <f t="shared" si="1"/>
        <v>5800.2560819462233</v>
      </c>
      <c r="AJ63" s="151">
        <f>AM63/$AE$1</f>
        <v>202.65671846266522</v>
      </c>
      <c r="AK63" s="77">
        <f t="shared" si="4"/>
        <v>105.38351696411165</v>
      </c>
      <c r="AL63" s="77">
        <f>AJ63/AK63</f>
        <v>1.9230399999999996</v>
      </c>
      <c r="AM63" s="77">
        <f t="shared" si="2"/>
        <v>10132.835923133262</v>
      </c>
      <c r="AN63" s="189"/>
      <c r="AO63" s="206"/>
      <c r="AP63" s="189">
        <f>AK63*$AO$188</f>
        <v>0</v>
      </c>
      <c r="AQ63" s="206"/>
      <c r="AR63" s="189"/>
      <c r="AS63" s="206">
        <f>AK63*$AR$177</f>
        <v>0</v>
      </c>
      <c r="AT63" s="83"/>
      <c r="AX63" s="81"/>
      <c r="AZ63" s="82"/>
      <c r="BB63" s="84"/>
      <c r="BD63" s="84"/>
      <c r="BF63" s="84"/>
      <c r="BH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</row>
    <row r="64" spans="1:72" s="87" customFormat="1" x14ac:dyDescent="0.25">
      <c r="A64" s="168">
        <v>1996</v>
      </c>
      <c r="B64" s="89">
        <f>C64-DATE(YEAR(C64),1,1)+1</f>
        <v>113</v>
      </c>
      <c r="C64" s="169">
        <v>35177</v>
      </c>
      <c r="E64" s="89">
        <v>0.15</v>
      </c>
      <c r="F64" s="168">
        <f>Z63</f>
        <v>57.960934330261409</v>
      </c>
      <c r="G64" s="170"/>
      <c r="O64" s="171"/>
      <c r="P64" s="170"/>
      <c r="X64" s="172"/>
      <c r="Z64" s="172"/>
      <c r="AA64" s="81">
        <f>((B64-B63)*F64)-((B64-B63)*(F64-F63)*0.5)</f>
        <v>1252.6806932127747</v>
      </c>
      <c r="AB64" s="174"/>
      <c r="AD64" s="181"/>
      <c r="AE64" s="175"/>
      <c r="AF64" s="74">
        <f t="shared" si="7"/>
        <v>105.38351696411165</v>
      </c>
      <c r="AG64" s="11">
        <f t="shared" si="0"/>
        <v>0.55000000000000004</v>
      </c>
      <c r="AI64" s="77">
        <f t="shared" si="1"/>
        <v>2277.601260386863</v>
      </c>
      <c r="AJ64" s="164"/>
      <c r="AK64" s="77"/>
      <c r="AM64" s="77">
        <f t="shared" si="2"/>
        <v>0</v>
      </c>
      <c r="AN64" s="189"/>
      <c r="AO64" s="206"/>
      <c r="AP64" s="189"/>
      <c r="AQ64" s="206"/>
      <c r="AR64" s="189"/>
      <c r="AS64" s="206"/>
      <c r="AT64" s="176"/>
      <c r="AX64" s="173"/>
      <c r="AZ64" s="175"/>
    </row>
    <row r="65" spans="1:72" s="77" customFormat="1" x14ac:dyDescent="0.25">
      <c r="A65" s="74">
        <v>1996</v>
      </c>
      <c r="B65" s="75">
        <f t="shared" si="11"/>
        <v>152</v>
      </c>
      <c r="C65" s="76">
        <v>35216</v>
      </c>
      <c r="E65" s="75"/>
      <c r="F65" s="74">
        <f>Z65</f>
        <v>0</v>
      </c>
      <c r="G65" s="78"/>
      <c r="O65" s="79"/>
      <c r="P65" s="78"/>
      <c r="X65" s="80"/>
      <c r="Z65" s="80"/>
      <c r="AA65" s="177">
        <f>0.5*(B65-B64)*F64</f>
        <v>1130.2382194400975</v>
      </c>
      <c r="AB65" s="86"/>
      <c r="AD65" s="109"/>
      <c r="AE65" s="82"/>
      <c r="AF65" s="74">
        <f t="shared" si="7"/>
        <v>0</v>
      </c>
      <c r="AG65" s="11">
        <f t="shared" si="0"/>
        <v>0.55000000000000004</v>
      </c>
      <c r="AI65" s="77">
        <f t="shared" si="1"/>
        <v>2054.978580800177</v>
      </c>
      <c r="AJ65" s="151"/>
      <c r="AM65" s="77">
        <f t="shared" si="2"/>
        <v>0</v>
      </c>
      <c r="AN65" s="189"/>
      <c r="AO65" s="206"/>
      <c r="AP65" s="189"/>
      <c r="AQ65" s="206"/>
      <c r="AR65" s="189"/>
      <c r="AS65" s="206"/>
      <c r="AT65" s="83"/>
      <c r="AX65" s="81"/>
      <c r="AZ65" s="82"/>
      <c r="BB65" s="84"/>
      <c r="BD65" s="84"/>
      <c r="BF65" s="84"/>
      <c r="BH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</row>
    <row r="66" spans="1:72" s="11" customFormat="1" x14ac:dyDescent="0.25">
      <c r="A66" s="29">
        <v>1998</v>
      </c>
      <c r="B66">
        <f t="shared" si="11"/>
        <v>1</v>
      </c>
      <c r="C66" s="13">
        <v>72321</v>
      </c>
      <c r="E66"/>
      <c r="F66" s="29">
        <v>0</v>
      </c>
      <c r="G66" s="34"/>
      <c r="O66" s="35"/>
      <c r="P66" s="34"/>
      <c r="X66" s="71"/>
      <c r="Z66" s="71"/>
      <c r="AA66" s="33"/>
      <c r="AB66" s="1"/>
      <c r="AD66" s="2"/>
      <c r="AE66" s="32"/>
      <c r="AF66" s="74">
        <f t="shared" si="7"/>
        <v>0</v>
      </c>
      <c r="AG66" s="11">
        <f t="shared" si="0"/>
        <v>0.55000000000000004</v>
      </c>
      <c r="AI66" s="77">
        <f t="shared" si="1"/>
        <v>0</v>
      </c>
      <c r="AJ66" s="151"/>
      <c r="AK66" s="77"/>
      <c r="AM66" s="77">
        <f t="shared" si="2"/>
        <v>0</v>
      </c>
      <c r="AN66" s="189"/>
      <c r="AO66" s="206"/>
      <c r="AP66" s="189"/>
      <c r="AQ66" s="206"/>
      <c r="AR66" s="189"/>
      <c r="AS66" s="206"/>
      <c r="AT66" s="31"/>
      <c r="AX66" s="33"/>
      <c r="AZ66" s="32"/>
      <c r="BA66" s="21"/>
      <c r="BB66" s="22"/>
      <c r="BC66" s="21"/>
      <c r="BD66" s="16"/>
      <c r="BE66" s="17"/>
      <c r="BF66" s="16"/>
      <c r="BG66" s="17"/>
      <c r="BH66" s="16"/>
      <c r="BI66" s="17"/>
      <c r="BJ66" s="16"/>
      <c r="BK66" s="27"/>
      <c r="BL66" s="27"/>
      <c r="BM66" s="27"/>
      <c r="BN66" s="27"/>
      <c r="BO66" s="27"/>
      <c r="BP66" s="27"/>
      <c r="BQ66" s="27"/>
      <c r="BR66" s="27"/>
      <c r="BS66" s="27"/>
      <c r="BT66" s="27"/>
    </row>
    <row r="67" spans="1:72" s="11" customFormat="1" x14ac:dyDescent="0.25">
      <c r="A67" s="29">
        <v>1998</v>
      </c>
      <c r="B67">
        <f t="shared" si="11"/>
        <v>63</v>
      </c>
      <c r="C67" s="13">
        <v>35858</v>
      </c>
      <c r="E67">
        <v>0.25</v>
      </c>
      <c r="F67" s="29">
        <f>R67</f>
        <v>5.6338028169014089</v>
      </c>
      <c r="G67" s="34">
        <v>4</v>
      </c>
      <c r="O67" s="35"/>
      <c r="P67" s="34">
        <v>4</v>
      </c>
      <c r="Q67" s="11">
        <f>VLOOKUP(B67,CI95:CU250, 12)</f>
        <v>0.71</v>
      </c>
      <c r="R67" s="11">
        <f>P67/Q67</f>
        <v>5.6338028169014089</v>
      </c>
      <c r="X67" s="71"/>
      <c r="Y67" s="11">
        <f>VLOOKUP(B67,CF92:CH247,2)</f>
        <v>0.56699999999999995</v>
      </c>
      <c r="Z67" s="71">
        <f>R67/Y67</f>
        <v>9.9361601709019567</v>
      </c>
      <c r="AA67" s="33">
        <f>0.5*($B69-$B66)*$F67</f>
        <v>422.53521126760569</v>
      </c>
      <c r="AB67" s="1">
        <f>AE67/$AE$1</f>
        <v>19.955088556027526</v>
      </c>
      <c r="AC67" s="11">
        <f>F68</f>
        <v>9.9361601709019567</v>
      </c>
      <c r="AD67" s="2">
        <f>AB67/AC67</f>
        <v>2.0083299999999999</v>
      </c>
      <c r="AE67" s="32">
        <f>SUM(AA67:AA69)</f>
        <v>997.75442780137632</v>
      </c>
      <c r="AF67" s="74">
        <f t="shared" si="7"/>
        <v>10.243277848911651</v>
      </c>
      <c r="AG67" s="11">
        <f t="shared" si="0"/>
        <v>0.55000000000000004</v>
      </c>
      <c r="AI67" s="77">
        <f t="shared" si="1"/>
        <v>768.24583866837395</v>
      </c>
      <c r="AJ67" s="151">
        <f>AM67/$AM$1</f>
        <v>36.281979192777314</v>
      </c>
      <c r="AK67" s="77">
        <f t="shared" si="4"/>
        <v>18.065745765276283</v>
      </c>
      <c r="AL67" s="11">
        <f>AJ67/AK67</f>
        <v>2.0083299999999999</v>
      </c>
      <c r="AM67" s="77">
        <f t="shared" si="2"/>
        <v>1814.0989596388658</v>
      </c>
      <c r="AN67" s="189"/>
      <c r="AO67" s="206"/>
      <c r="AP67" s="189">
        <f>AK67*$AO$188</f>
        <v>0</v>
      </c>
      <c r="AQ67" s="206"/>
      <c r="AR67" s="189"/>
      <c r="AS67" s="206">
        <f>AK67*$AR$177</f>
        <v>0</v>
      </c>
      <c r="AT67" s="31"/>
      <c r="AX67" s="33"/>
      <c r="AZ67" s="32"/>
      <c r="BA67" s="21"/>
      <c r="BB67" s="22"/>
      <c r="BC67" s="21"/>
      <c r="BD67" s="16"/>
      <c r="BE67" s="17"/>
      <c r="BF67" s="16"/>
      <c r="BG67" s="17"/>
      <c r="BH67" s="16"/>
      <c r="BI67" s="17"/>
      <c r="BJ67" s="16"/>
      <c r="BK67" s="27"/>
      <c r="BL67" s="27"/>
      <c r="BM67" s="27"/>
      <c r="BN67" s="27"/>
      <c r="BO67" s="27"/>
      <c r="BP67" s="27"/>
      <c r="BQ67" s="27"/>
      <c r="BR67" s="27"/>
      <c r="BS67" s="27"/>
      <c r="BT67" s="27"/>
    </row>
    <row r="68" spans="1:72" s="66" customFormat="1" x14ac:dyDescent="0.25">
      <c r="A68" s="156">
        <v>1998</v>
      </c>
      <c r="B68" s="28">
        <f>C68-DATE(YEAR(C68),1,1)+1</f>
        <v>112</v>
      </c>
      <c r="C68" s="157">
        <v>35907</v>
      </c>
      <c r="E68" s="28">
        <v>0.25</v>
      </c>
      <c r="F68" s="156">
        <f>Z67</f>
        <v>9.9361601709019567</v>
      </c>
      <c r="G68" s="158"/>
      <c r="O68" s="159"/>
      <c r="P68" s="158"/>
      <c r="X68" s="160"/>
      <c r="Z68" s="160"/>
      <c r="AA68" s="178">
        <f>((B68-B67)*F68)-((B68-B67)*(F68-F67)*0.5)</f>
        <v>381.46409320118249</v>
      </c>
      <c r="AB68" s="162"/>
      <c r="AD68" s="180"/>
      <c r="AE68" s="163"/>
      <c r="AF68" s="74">
        <f t="shared" si="7"/>
        <v>18.065745765276283</v>
      </c>
      <c r="AG68" s="11">
        <f t="shared" si="0"/>
        <v>0.55000000000000004</v>
      </c>
      <c r="AI68" s="77">
        <f t="shared" si="1"/>
        <v>693.57107854760443</v>
      </c>
      <c r="AJ68" s="164"/>
      <c r="AK68" s="77"/>
      <c r="AM68" s="77">
        <f t="shared" si="2"/>
        <v>0</v>
      </c>
      <c r="AN68" s="189"/>
      <c r="AO68" s="206"/>
      <c r="AP68" s="189"/>
      <c r="AQ68" s="206"/>
      <c r="AR68" s="189"/>
      <c r="AS68" s="206"/>
      <c r="AT68" s="165"/>
      <c r="AX68" s="161"/>
      <c r="AZ68" s="163"/>
      <c r="BA68" s="166"/>
      <c r="BB68" s="166"/>
      <c r="BC68" s="166"/>
      <c r="BD68" s="167"/>
      <c r="BE68" s="167"/>
      <c r="BF68" s="167"/>
      <c r="BG68" s="167"/>
      <c r="BH68" s="167"/>
      <c r="BI68" s="167"/>
      <c r="BJ68" s="167"/>
    </row>
    <row r="69" spans="1:72" s="11" customFormat="1" x14ac:dyDescent="0.25">
      <c r="A69" s="29">
        <v>1998</v>
      </c>
      <c r="B69">
        <f t="shared" si="11"/>
        <v>151</v>
      </c>
      <c r="C69" s="30">
        <v>35946</v>
      </c>
      <c r="E69"/>
      <c r="F69" s="29">
        <v>0</v>
      </c>
      <c r="G69" s="34"/>
      <c r="O69" s="35"/>
      <c r="P69" s="34"/>
      <c r="X69" s="71"/>
      <c r="Z69" s="71"/>
      <c r="AA69" s="33">
        <f>0.5*(B69-B68)*F68</f>
        <v>193.75512333258814</v>
      </c>
      <c r="AB69" s="1"/>
      <c r="AD69" s="2"/>
      <c r="AE69" s="32"/>
      <c r="AF69" s="74">
        <f t="shared" si="7"/>
        <v>0</v>
      </c>
      <c r="AG69" s="11">
        <f t="shared" si="0"/>
        <v>0.55000000000000004</v>
      </c>
      <c r="AI69" s="77">
        <f t="shared" si="1"/>
        <v>352.28204242288751</v>
      </c>
      <c r="AJ69" s="151"/>
      <c r="AK69" s="77"/>
      <c r="AM69" s="77">
        <f t="shared" si="2"/>
        <v>0</v>
      </c>
      <c r="AN69" s="189"/>
      <c r="AO69" s="206"/>
      <c r="AP69" s="189"/>
      <c r="AQ69" s="206"/>
      <c r="AR69" s="189"/>
      <c r="AS69" s="206"/>
      <c r="AT69" s="31"/>
      <c r="AX69" s="33"/>
      <c r="AZ69" s="32"/>
      <c r="BA69" s="21"/>
      <c r="BB69" s="22"/>
      <c r="BC69" s="21"/>
      <c r="BD69" s="16"/>
      <c r="BE69" s="17"/>
      <c r="BF69" s="16"/>
      <c r="BG69" s="17"/>
      <c r="BH69" s="16"/>
      <c r="BI69" s="17"/>
      <c r="BJ69" s="16"/>
      <c r="BK69" s="27"/>
      <c r="BL69" s="27"/>
      <c r="BM69" s="27"/>
      <c r="BN69" s="27"/>
      <c r="BO69" s="27"/>
      <c r="BP69" s="27"/>
      <c r="BQ69" s="27"/>
      <c r="BR69" s="27"/>
      <c r="BS69" s="27"/>
      <c r="BT69" s="27"/>
    </row>
    <row r="70" spans="1:72" s="77" customFormat="1" x14ac:dyDescent="0.25">
      <c r="A70" s="74">
        <v>1999</v>
      </c>
      <c r="B70" s="75">
        <f t="shared" si="11"/>
        <v>1</v>
      </c>
      <c r="C70" s="76">
        <v>72686</v>
      </c>
      <c r="E70" s="75"/>
      <c r="F70" s="74">
        <v>0</v>
      </c>
      <c r="G70" s="78"/>
      <c r="O70" s="79"/>
      <c r="P70" s="78"/>
      <c r="X70" s="80"/>
      <c r="Z70" s="80"/>
      <c r="AA70" s="81"/>
      <c r="AB70" s="86"/>
      <c r="AD70" s="109"/>
      <c r="AE70" s="82"/>
      <c r="AF70" s="74">
        <f t="shared" si="7"/>
        <v>0</v>
      </c>
      <c r="AG70" s="11">
        <f t="shared" si="0"/>
        <v>0.55000000000000004</v>
      </c>
      <c r="AI70" s="77">
        <f t="shared" ref="AI70:AI83" si="12">AA70/AG70</f>
        <v>0</v>
      </c>
      <c r="AJ70" s="151"/>
      <c r="AM70" s="77">
        <f t="shared" ref="AM70:AM83" si="13">AE70/AG70</f>
        <v>0</v>
      </c>
      <c r="AN70" s="189"/>
      <c r="AO70" s="206"/>
      <c r="AP70" s="189"/>
      <c r="AQ70" s="206"/>
      <c r="AR70" s="189"/>
      <c r="AS70" s="206"/>
      <c r="AT70" s="83"/>
      <c r="AX70" s="81"/>
      <c r="AZ70" s="82"/>
      <c r="BB70" s="84"/>
      <c r="BD70" s="84"/>
      <c r="BF70" s="84"/>
      <c r="BH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</row>
    <row r="71" spans="1:72" s="77" customFormat="1" x14ac:dyDescent="0.25">
      <c r="A71" s="74">
        <v>1999</v>
      </c>
      <c r="B71" s="75">
        <f t="shared" si="11"/>
        <v>67</v>
      </c>
      <c r="C71" s="76">
        <v>36227</v>
      </c>
      <c r="E71" s="75"/>
      <c r="F71" s="74">
        <f>Z71</f>
        <v>39.70756545908953</v>
      </c>
      <c r="G71" s="78">
        <v>17</v>
      </c>
      <c r="H71" s="77">
        <f>VLOOKUP(B71,CI95:CO250, 6)</f>
        <v>0.78750000000000009</v>
      </c>
      <c r="I71" s="77">
        <f>G71/H71</f>
        <v>21.587301587301585</v>
      </c>
      <c r="O71" s="79"/>
      <c r="P71" s="78">
        <v>17</v>
      </c>
      <c r="Q71" s="77">
        <f>VLOOKUP(B71,CI95:CU250, 12)</f>
        <v>0.71</v>
      </c>
      <c r="R71" s="77">
        <f>P71/Q71</f>
        <v>23.943661971830988</v>
      </c>
      <c r="X71" s="80"/>
      <c r="Y71" s="77">
        <f>VLOOKUP(B71,CF95:CH250,2)</f>
        <v>0.60299999999999998</v>
      </c>
      <c r="Z71" s="80">
        <f>R71/Y71</f>
        <v>39.70756545908953</v>
      </c>
      <c r="AA71" s="81">
        <f>0.5*($B74-$B70)*$F71</f>
        <v>2978.0674094317146</v>
      </c>
      <c r="AB71" s="86">
        <f>AE71/$AE$1</f>
        <v>176.96139642879788</v>
      </c>
      <c r="AC71" s="77">
        <f>F73</f>
        <v>113.37868480725625</v>
      </c>
      <c r="AD71" s="109">
        <f>AB71/AC71</f>
        <v>1.5607995165019972</v>
      </c>
      <c r="AE71" s="82">
        <f>SUM(AA71:AA74)</f>
        <v>8848.0698214398944</v>
      </c>
      <c r="AF71" s="74">
        <f t="shared" si="7"/>
        <v>72.19557356198095</v>
      </c>
      <c r="AG71" s="11">
        <f t="shared" si="0"/>
        <v>0.55000000000000004</v>
      </c>
      <c r="AI71" s="77">
        <f t="shared" si="12"/>
        <v>5414.6680171485714</v>
      </c>
      <c r="AJ71" s="151">
        <f>AM71/$AE$1</f>
        <v>321.74799350690523</v>
      </c>
      <c r="AK71" s="77">
        <f t="shared" ref="AK70:AK82" si="14">AC71/AG71</f>
        <v>206.14306328592045</v>
      </c>
      <c r="AL71" s="77">
        <f>AJ71/AK71</f>
        <v>1.5607995165019972</v>
      </c>
      <c r="AM71" s="77">
        <f t="shared" si="13"/>
        <v>16087.399675345261</v>
      </c>
      <c r="AN71" s="189"/>
      <c r="AO71" s="206"/>
      <c r="AP71" s="189">
        <f>AK71*$AO$188</f>
        <v>0</v>
      </c>
      <c r="AQ71" s="206"/>
      <c r="AR71" s="189"/>
      <c r="AS71" s="206">
        <f>AK71*$AR$177</f>
        <v>0</v>
      </c>
      <c r="AT71" s="83"/>
      <c r="AX71" s="81"/>
      <c r="AZ71" s="82"/>
      <c r="BB71" s="84"/>
      <c r="BD71" s="84"/>
      <c r="BF71" s="84"/>
      <c r="BH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</row>
    <row r="72" spans="1:72" s="77" customFormat="1" x14ac:dyDescent="0.25">
      <c r="A72" s="74">
        <v>1999</v>
      </c>
      <c r="B72" s="75">
        <f t="shared" si="11"/>
        <v>98</v>
      </c>
      <c r="C72" s="85">
        <v>36258</v>
      </c>
      <c r="E72" s="75">
        <v>0.15</v>
      </c>
      <c r="F72" s="74">
        <f>U72</f>
        <v>100</v>
      </c>
      <c r="G72" s="78"/>
      <c r="J72" s="77">
        <v>50</v>
      </c>
      <c r="K72" s="77">
        <f>VLOOKUP(B72,$CI$101:$CQ$256, 4)</f>
        <v>0.46560000000000001</v>
      </c>
      <c r="L72" s="77">
        <f>J72/K72</f>
        <v>107.38831615120274</v>
      </c>
      <c r="O72" s="79"/>
      <c r="P72" s="78"/>
      <c r="S72" s="77">
        <v>50</v>
      </c>
      <c r="T72" s="77">
        <f>VLOOKUP(B72,$CI$101:$CU$256, 10)</f>
        <v>0.5</v>
      </c>
      <c r="U72" s="77">
        <f>S72/T72</f>
        <v>100</v>
      </c>
      <c r="X72" s="80"/>
      <c r="Y72" s="77">
        <f>VLOOKUP(B72,CF96:CH251,2)</f>
        <v>0.8819999999999999</v>
      </c>
      <c r="Z72" s="80">
        <f>U72/Y72</f>
        <v>113.37868480725625</v>
      </c>
      <c r="AA72" s="81">
        <f>((B72-B71)*F72)-((B72-B71)*(F72-F71)*0.5)</f>
        <v>2165.4672646158879</v>
      </c>
      <c r="AB72" s="86"/>
      <c r="AD72" s="109"/>
      <c r="AE72" s="82"/>
      <c r="AF72" s="74">
        <f t="shared" si="7"/>
        <v>181.81818181818181</v>
      </c>
      <c r="AG72" s="11">
        <f t="shared" si="0"/>
        <v>0.55000000000000004</v>
      </c>
      <c r="AI72" s="77">
        <f t="shared" si="12"/>
        <v>3937.213208392523</v>
      </c>
      <c r="AJ72" s="151"/>
      <c r="AM72" s="77">
        <f t="shared" si="13"/>
        <v>0</v>
      </c>
      <c r="AN72" s="189"/>
      <c r="AO72" s="206"/>
      <c r="AP72" s="189"/>
      <c r="AQ72" s="206"/>
      <c r="AR72" s="189"/>
      <c r="AS72" s="206"/>
      <c r="AT72" s="83"/>
      <c r="AX72" s="81"/>
      <c r="AZ72" s="82"/>
      <c r="BB72" s="84"/>
      <c r="BD72" s="84"/>
      <c r="BF72" s="84"/>
      <c r="BH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</row>
    <row r="73" spans="1:72" s="87" customFormat="1" x14ac:dyDescent="0.25">
      <c r="A73" s="168">
        <v>1999</v>
      </c>
      <c r="B73" s="89">
        <f>C73-DATE(YEAR(C73),1,1)+1</f>
        <v>112</v>
      </c>
      <c r="C73" s="169">
        <v>36272</v>
      </c>
      <c r="E73" s="89">
        <v>0.15</v>
      </c>
      <c r="F73" s="168">
        <f>Z72</f>
        <v>113.37868480725625</v>
      </c>
      <c r="G73" s="170"/>
      <c r="O73" s="171"/>
      <c r="P73" s="170"/>
      <c r="X73" s="172"/>
      <c r="Z73" s="172"/>
      <c r="AA73" s="81">
        <f>((B73-B72)*F73)-((B73-B72)*(F73-F72)*0.5)</f>
        <v>1493.6507936507937</v>
      </c>
      <c r="AB73" s="174"/>
      <c r="AD73" s="181"/>
      <c r="AE73" s="175"/>
      <c r="AF73" s="74">
        <f t="shared" si="7"/>
        <v>206.14306328592045</v>
      </c>
      <c r="AG73" s="11">
        <f t="shared" si="0"/>
        <v>0.55000000000000004</v>
      </c>
      <c r="AI73" s="77">
        <f t="shared" si="12"/>
        <v>2715.7287157287155</v>
      </c>
      <c r="AJ73" s="164"/>
      <c r="AK73" s="77"/>
      <c r="AM73" s="77">
        <f t="shared" si="13"/>
        <v>0</v>
      </c>
      <c r="AN73" s="189"/>
      <c r="AO73" s="206"/>
      <c r="AP73" s="189"/>
      <c r="AQ73" s="206"/>
      <c r="AR73" s="189"/>
      <c r="AS73" s="206"/>
      <c r="AT73" s="176"/>
      <c r="AX73" s="173"/>
      <c r="AZ73" s="175"/>
    </row>
    <row r="74" spans="1:72" s="77" customFormat="1" x14ac:dyDescent="0.25">
      <c r="A74" s="74">
        <v>1999</v>
      </c>
      <c r="B74" s="75">
        <f t="shared" si="11"/>
        <v>151</v>
      </c>
      <c r="C74" s="85">
        <v>36311</v>
      </c>
      <c r="E74" s="75"/>
      <c r="F74" s="74">
        <v>0</v>
      </c>
      <c r="G74" s="78"/>
      <c r="O74" s="79"/>
      <c r="P74" s="78"/>
      <c r="X74" s="80"/>
      <c r="Z74" s="80"/>
      <c r="AA74" s="177">
        <f>0.5*(B74-B73)*F73</f>
        <v>2210.8843537414969</v>
      </c>
      <c r="AB74" s="86"/>
      <c r="AD74" s="109"/>
      <c r="AE74" s="82"/>
      <c r="AF74" s="74">
        <f t="shared" si="7"/>
        <v>0</v>
      </c>
      <c r="AG74" s="11">
        <f t="shared" si="0"/>
        <v>0.55000000000000004</v>
      </c>
      <c r="AI74" s="77">
        <f t="shared" si="12"/>
        <v>4019.7897340754485</v>
      </c>
      <c r="AJ74" s="151"/>
      <c r="AM74" s="77">
        <f t="shared" si="13"/>
        <v>0</v>
      </c>
      <c r="AN74" s="189"/>
      <c r="AO74" s="206"/>
      <c r="AP74" s="189"/>
      <c r="AQ74" s="206"/>
      <c r="AR74" s="189"/>
      <c r="AS74" s="206"/>
      <c r="AT74" s="83"/>
      <c r="AX74" s="81"/>
      <c r="AZ74" s="82"/>
      <c r="BB74" s="84"/>
      <c r="BD74" s="84"/>
      <c r="BF74" s="84"/>
      <c r="BH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</row>
    <row r="75" spans="1:72" s="11" customFormat="1" x14ac:dyDescent="0.25">
      <c r="A75" s="29">
        <v>2000</v>
      </c>
      <c r="B75">
        <f t="shared" si="11"/>
        <v>1</v>
      </c>
      <c r="C75" s="13">
        <v>36526</v>
      </c>
      <c r="E75"/>
      <c r="F75" s="29">
        <v>0</v>
      </c>
      <c r="G75" s="34"/>
      <c r="O75" s="35"/>
      <c r="P75" s="34"/>
      <c r="X75" s="71"/>
      <c r="Z75" s="71"/>
      <c r="AA75" s="33"/>
      <c r="AB75" s="1"/>
      <c r="AD75" s="2"/>
      <c r="AE75" s="32"/>
      <c r="AF75" s="74">
        <f t="shared" si="7"/>
        <v>0</v>
      </c>
      <c r="AG75" s="11">
        <f t="shared" si="0"/>
        <v>0.55000000000000004</v>
      </c>
      <c r="AI75" s="77">
        <f t="shared" si="12"/>
        <v>0</v>
      </c>
      <c r="AJ75" s="151"/>
      <c r="AK75" s="77"/>
      <c r="AM75" s="77">
        <f>AE75/AG75</f>
        <v>0</v>
      </c>
      <c r="AN75" s="189"/>
      <c r="AO75" s="206"/>
      <c r="AP75" s="189"/>
      <c r="AQ75" s="206"/>
      <c r="AR75" s="189"/>
      <c r="AS75" s="206"/>
      <c r="AT75" s="31"/>
      <c r="AX75" s="33"/>
      <c r="AZ75" s="32"/>
      <c r="BA75" s="21"/>
      <c r="BB75" s="22"/>
      <c r="BC75" s="21"/>
      <c r="BD75" s="16"/>
      <c r="BE75" s="17"/>
      <c r="BF75" s="16"/>
      <c r="BG75" s="17"/>
      <c r="BH75" s="16"/>
      <c r="BI75" s="17"/>
      <c r="BJ75" s="16"/>
      <c r="BK75" s="27"/>
      <c r="BL75" s="27"/>
      <c r="BM75" s="27"/>
      <c r="BN75" s="27"/>
      <c r="BO75" s="27"/>
      <c r="BP75" s="27"/>
      <c r="BQ75" s="27"/>
      <c r="BR75" s="27"/>
      <c r="BS75" s="27"/>
      <c r="BT75" s="27"/>
    </row>
    <row r="76" spans="1:72" s="11" customFormat="1" x14ac:dyDescent="0.25">
      <c r="A76" s="29">
        <v>2000</v>
      </c>
      <c r="B76">
        <f t="shared" si="11"/>
        <v>88</v>
      </c>
      <c r="C76" s="13">
        <v>36613</v>
      </c>
      <c r="D76" s="11">
        <v>4.67</v>
      </c>
      <c r="E76"/>
      <c r="F76" s="29">
        <f>U76</f>
        <v>14</v>
      </c>
      <c r="G76" s="34"/>
      <c r="J76" s="11">
        <v>7</v>
      </c>
      <c r="K76" s="11">
        <f>VLOOKUP(B76,$CI$101:$CQ$256, 4)</f>
        <v>0.53190000000000004</v>
      </c>
      <c r="L76" s="11">
        <f>J76/K76</f>
        <v>13.160368490317728</v>
      </c>
      <c r="O76" s="35"/>
      <c r="P76" s="34"/>
      <c r="S76" s="11">
        <v>7</v>
      </c>
      <c r="T76" s="11">
        <f>VLOOKUP(B76,$CI$101:$CU$256, 10)</f>
        <v>0.5</v>
      </c>
      <c r="U76" s="11">
        <f>S76/T76</f>
        <v>14</v>
      </c>
      <c r="X76" s="71"/>
      <c r="Y76" s="11">
        <f>VLOOKUP(B76,$CF$98:$CH$253,2)</f>
        <v>0.72899999999999998</v>
      </c>
      <c r="Z76" s="71">
        <f>L76/Y76</f>
        <v>18.052631673961219</v>
      </c>
      <c r="AA76" s="33">
        <f>0.5*($B78-$B75)*$F76</f>
        <v>1057</v>
      </c>
      <c r="AB76" s="1">
        <f>AE76/$AE$1</f>
        <v>36.193684271335179</v>
      </c>
      <c r="AC76" s="11">
        <f>F77</f>
        <v>18.052631673961219</v>
      </c>
      <c r="AD76" s="2">
        <f>AB76/AC76</f>
        <v>2.0048979519999999</v>
      </c>
      <c r="AE76" s="32">
        <f>SUM(AA76:AA78)</f>
        <v>1809.6842135667591</v>
      </c>
      <c r="AF76" s="74">
        <f t="shared" si="7"/>
        <v>25.454545454545453</v>
      </c>
      <c r="AG76" s="11">
        <f t="shared" si="0"/>
        <v>0.55000000000000004</v>
      </c>
      <c r="AI76" s="77">
        <f t="shared" si="12"/>
        <v>1921.8181818181818</v>
      </c>
      <c r="AJ76" s="151">
        <f>AM76/$AM$1</f>
        <v>65.806698675154877</v>
      </c>
      <c r="AK76" s="77">
        <f>AC76/AG76</f>
        <v>32.822966679929486</v>
      </c>
      <c r="AL76" s="11">
        <f>AJ76/AK76</f>
        <v>2.0048979520000003</v>
      </c>
      <c r="AM76" s="77">
        <f t="shared" si="13"/>
        <v>3290.3349337577438</v>
      </c>
      <c r="AN76" s="189"/>
      <c r="AO76" s="206"/>
      <c r="AP76" s="189">
        <f>AK76*$AO$188</f>
        <v>0</v>
      </c>
      <c r="AQ76" s="206"/>
      <c r="AR76" s="189"/>
      <c r="AS76" s="206">
        <f>AK76*$AR$177</f>
        <v>0</v>
      </c>
      <c r="AT76" s="31" t="e">
        <f>AC76/AV76</f>
        <v>#N/A</v>
      </c>
      <c r="AU76">
        <f>B76/D76</f>
        <v>18.843683083511777</v>
      </c>
      <c r="AV76" t="e">
        <f>VLOOKUP(AU76,$CA$102:$CB$270,2)</f>
        <v>#N/A</v>
      </c>
      <c r="AW76" s="11" t="e">
        <f>AY76/$AZ$1</f>
        <v>#N/A</v>
      </c>
      <c r="AX76" s="1" t="e">
        <f>AW76/AC76</f>
        <v>#N/A</v>
      </c>
      <c r="AY76" t="e">
        <f>0.5*(B78-B75)*AT76</f>
        <v>#N/A</v>
      </c>
      <c r="AZ76" s="32" t="e">
        <f>AY76</f>
        <v>#N/A</v>
      </c>
      <c r="BA76" s="21"/>
      <c r="BB76" s="22"/>
      <c r="BC76" s="21"/>
      <c r="BD76" s="16"/>
      <c r="BE76" s="17"/>
      <c r="BF76" s="16"/>
      <c r="BG76" s="17"/>
      <c r="BH76" s="16"/>
      <c r="BI76" s="17"/>
      <c r="BJ76" s="16"/>
      <c r="BK76" s="27"/>
      <c r="BL76" s="27"/>
      <c r="BM76" s="27"/>
      <c r="BN76" s="27"/>
      <c r="BO76" s="27"/>
      <c r="BP76" s="27"/>
      <c r="BQ76" s="27"/>
      <c r="BR76" s="27"/>
      <c r="BS76" s="27"/>
      <c r="BT76" s="27"/>
    </row>
    <row r="77" spans="1:72" s="66" customFormat="1" x14ac:dyDescent="0.25">
      <c r="A77" s="156">
        <v>2000</v>
      </c>
      <c r="B77" s="28">
        <f>C77-DATE(YEAR(C77),1,1)+1</f>
        <v>113</v>
      </c>
      <c r="C77" s="157">
        <v>36638</v>
      </c>
      <c r="D77" s="66">
        <v>5.67</v>
      </c>
      <c r="E77" s="28"/>
      <c r="F77" s="156">
        <f>Z76</f>
        <v>18.052631673961219</v>
      </c>
      <c r="G77" s="158"/>
      <c r="O77" s="159"/>
      <c r="P77" s="158"/>
      <c r="X77" s="160"/>
      <c r="Z77" s="160"/>
      <c r="AA77" s="178">
        <f>((B77-B76)*F77)-((B77-B76)*(F77-F76)*0.5)</f>
        <v>400.65789592451523</v>
      </c>
      <c r="AB77" s="162"/>
      <c r="AD77" s="180"/>
      <c r="AE77" s="163"/>
      <c r="AF77" s="74">
        <f t="shared" si="7"/>
        <v>32.822966679929486</v>
      </c>
      <c r="AG77" s="11">
        <f t="shared" si="0"/>
        <v>0.55000000000000004</v>
      </c>
      <c r="AI77" s="77">
        <f t="shared" si="12"/>
        <v>728.46890168093671</v>
      </c>
      <c r="AJ77" s="164"/>
      <c r="AK77" s="77"/>
      <c r="AM77" s="77">
        <f t="shared" si="13"/>
        <v>0</v>
      </c>
      <c r="AN77" s="189"/>
      <c r="AO77" s="206"/>
      <c r="AP77" s="189"/>
      <c r="AQ77" s="206"/>
      <c r="AR77" s="189"/>
      <c r="AS77" s="206"/>
      <c r="AT77" s="165"/>
      <c r="AU77" s="28"/>
      <c r="AV77" s="28"/>
      <c r="AX77" s="162"/>
      <c r="AY77" s="28"/>
      <c r="AZ77" s="163"/>
      <c r="BA77" s="166"/>
      <c r="BB77" s="166"/>
      <c r="BC77" s="166"/>
      <c r="BD77" s="167"/>
      <c r="BE77" s="167"/>
      <c r="BF77" s="167"/>
      <c r="BG77" s="167"/>
      <c r="BH77" s="167"/>
      <c r="BI77" s="167"/>
      <c r="BJ77" s="167"/>
    </row>
    <row r="78" spans="1:72" s="11" customFormat="1" x14ac:dyDescent="0.25">
      <c r="A78" s="29">
        <v>2000</v>
      </c>
      <c r="B78">
        <f t="shared" si="11"/>
        <v>152</v>
      </c>
      <c r="C78" s="30">
        <v>36677</v>
      </c>
      <c r="E78"/>
      <c r="F78" s="29">
        <v>0</v>
      </c>
      <c r="G78" s="34"/>
      <c r="O78" s="35"/>
      <c r="P78" s="34"/>
      <c r="X78" s="71"/>
      <c r="Z78" s="71"/>
      <c r="AA78" s="33">
        <f>0.5*(B78-B77)*F77</f>
        <v>352.02631764224378</v>
      </c>
      <c r="AB78" s="1"/>
      <c r="AD78" s="2"/>
      <c r="AE78" s="32"/>
      <c r="AF78" s="74">
        <f t="shared" si="7"/>
        <v>0</v>
      </c>
      <c r="AG78" s="11">
        <f t="shared" si="0"/>
        <v>0.55000000000000004</v>
      </c>
      <c r="AI78" s="77">
        <f t="shared" si="12"/>
        <v>640.04785025862498</v>
      </c>
      <c r="AJ78" s="151"/>
      <c r="AK78" s="77"/>
      <c r="AM78" s="77">
        <f t="shared" si="13"/>
        <v>0</v>
      </c>
      <c r="AN78" s="189"/>
      <c r="AO78" s="206"/>
      <c r="AP78" s="189"/>
      <c r="AQ78" s="206"/>
      <c r="AR78" s="189"/>
      <c r="AS78" s="206"/>
      <c r="AT78" s="31"/>
      <c r="AU78"/>
      <c r="AV78"/>
      <c r="AX78" s="1"/>
      <c r="AY78"/>
      <c r="AZ78" s="32"/>
      <c r="BA78" s="21"/>
      <c r="BB78" s="22"/>
      <c r="BC78" s="21"/>
      <c r="BD78" s="16"/>
      <c r="BE78" s="17"/>
      <c r="BF78" s="16"/>
      <c r="BG78" s="17"/>
      <c r="BH78" s="16"/>
      <c r="BI78" s="17"/>
      <c r="BJ78" s="16"/>
      <c r="BK78" s="27"/>
      <c r="BL78" s="27"/>
      <c r="BM78" s="27"/>
      <c r="BN78" s="27"/>
      <c r="BO78" s="27"/>
      <c r="BP78" s="27"/>
      <c r="BQ78" s="27"/>
      <c r="BR78" s="27"/>
      <c r="BS78" s="27"/>
      <c r="BT78" s="27"/>
    </row>
    <row r="79" spans="1:72" s="77" customFormat="1" x14ac:dyDescent="0.25">
      <c r="A79" s="75">
        <v>2001</v>
      </c>
      <c r="B79" s="75">
        <f t="shared" ref="B79:B84" si="15">C79-DATE(YEAR(C79),1,1)+1</f>
        <v>1</v>
      </c>
      <c r="C79" s="76">
        <v>36892</v>
      </c>
      <c r="E79" s="75"/>
      <c r="F79" s="74">
        <v>0</v>
      </c>
      <c r="G79" s="78"/>
      <c r="O79" s="79"/>
      <c r="P79" s="78"/>
      <c r="X79" s="80"/>
      <c r="Z79" s="80"/>
      <c r="AF79" s="74">
        <f t="shared" si="7"/>
        <v>0</v>
      </c>
      <c r="AG79" s="11">
        <f t="shared" si="0"/>
        <v>0.55000000000000004</v>
      </c>
      <c r="AI79" s="77">
        <f t="shared" si="12"/>
        <v>0</v>
      </c>
      <c r="AJ79" s="151"/>
      <c r="AM79" s="77">
        <f t="shared" si="13"/>
        <v>0</v>
      </c>
      <c r="AN79" s="189"/>
      <c r="AO79" s="206"/>
      <c r="AP79" s="189"/>
      <c r="AQ79" s="206"/>
      <c r="AR79" s="189"/>
      <c r="AS79" s="206"/>
      <c r="AT79" s="83"/>
      <c r="AU79" s="75"/>
      <c r="AV79" s="75"/>
      <c r="AX79" s="86"/>
      <c r="AY79" s="75"/>
      <c r="AZ79" s="82"/>
      <c r="BB79" s="84"/>
      <c r="BD79" s="84"/>
      <c r="BF79" s="84"/>
      <c r="BH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</row>
    <row r="80" spans="1:72" s="77" customFormat="1" x14ac:dyDescent="0.25">
      <c r="A80" s="75">
        <v>2001</v>
      </c>
      <c r="B80" s="75">
        <f t="shared" si="15"/>
        <v>71</v>
      </c>
      <c r="C80" s="85">
        <v>36962</v>
      </c>
      <c r="D80" s="77">
        <v>4.67</v>
      </c>
      <c r="E80" s="75"/>
      <c r="F80" s="74">
        <f>R80</f>
        <v>76.056338028169023</v>
      </c>
      <c r="G80" s="78">
        <v>54</v>
      </c>
      <c r="H80" s="77">
        <f>VLOOKUP(B80,CI101:CO256, 6)</f>
        <v>0.78389999999999993</v>
      </c>
      <c r="I80" s="77">
        <f>G80/H80</f>
        <v>68.886337543053969</v>
      </c>
      <c r="P80" s="78">
        <v>54</v>
      </c>
      <c r="Q80" s="77">
        <f>VLOOKUP(B80,CI101:CU256, 12)</f>
        <v>0.71</v>
      </c>
      <c r="R80" s="77">
        <f>P80/Q80</f>
        <v>76.056338028169023</v>
      </c>
      <c r="X80" s="80"/>
      <c r="Y80" s="77">
        <f>VLOOKUP(B80,CF101:CH256,2)</f>
        <v>0.6389999999999999</v>
      </c>
      <c r="Z80" s="80">
        <f>R80/Y80</f>
        <v>119.02400317397345</v>
      </c>
      <c r="AA80" s="86">
        <f>0.5*(B80-B79)*F80</f>
        <v>2661.9718309859159</v>
      </c>
      <c r="AB80" s="86">
        <f>AE80/$AE$1</f>
        <v>122.63354199269692</v>
      </c>
      <c r="AC80" s="77">
        <f>F80</f>
        <v>76.056338028169023</v>
      </c>
      <c r="AD80" s="109">
        <f>AB80/AC80</f>
        <v>1.612403978052126</v>
      </c>
      <c r="AE80" s="82">
        <f>SUM(AA80:AA83)</f>
        <v>6131.6770996348459</v>
      </c>
      <c r="AF80" s="74">
        <f t="shared" si="7"/>
        <v>138.2842509603073</v>
      </c>
      <c r="AG80" s="11">
        <f t="shared" si="0"/>
        <v>0.55000000000000004</v>
      </c>
      <c r="AI80" s="77">
        <f t="shared" si="12"/>
        <v>4839.9487836107555</v>
      </c>
      <c r="AJ80" s="151">
        <f>AM80/$AE$1</f>
        <v>222.97007635035803</v>
      </c>
      <c r="AK80" s="77">
        <f>AC80/AG80</f>
        <v>138.2842509603073</v>
      </c>
      <c r="AL80" s="77">
        <f>AJ80/AK80</f>
        <v>1.612403978052126</v>
      </c>
      <c r="AM80" s="77">
        <f>AE80/AG80</f>
        <v>11148.503817517902</v>
      </c>
      <c r="AN80" s="189"/>
      <c r="AO80" s="206"/>
      <c r="AP80" s="189">
        <f>AK80*$AO$188</f>
        <v>0</v>
      </c>
      <c r="AQ80" s="206"/>
      <c r="AR80" s="189"/>
      <c r="AS80" s="206">
        <f>AK80*$AR$177</f>
        <v>0</v>
      </c>
      <c r="AT80" s="83" t="e">
        <f>AC81/AV80</f>
        <v>#N/A</v>
      </c>
      <c r="AU80" s="75">
        <f>B80/D80</f>
        <v>15.203426124197003</v>
      </c>
      <c r="AV80" s="75" t="e">
        <f>VLOOKUP(AU80,$CA$102:$CB$270,2)</f>
        <v>#N/A</v>
      </c>
      <c r="AW80" s="77" t="e">
        <f>AY80/$AZ$1</f>
        <v>#N/A</v>
      </c>
      <c r="AX80" s="86" t="e">
        <f>AW80/AC81</f>
        <v>#N/A</v>
      </c>
      <c r="AY80" s="75" t="e">
        <f>0.5*(B83-B79)*AT80</f>
        <v>#N/A</v>
      </c>
      <c r="AZ80" s="82" t="e">
        <f>AY80</f>
        <v>#N/A</v>
      </c>
      <c r="BB80" s="84"/>
      <c r="BD80" s="84"/>
      <c r="BF80" s="84"/>
      <c r="BH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</row>
    <row r="81" spans="1:95" s="77" customFormat="1" x14ac:dyDescent="0.25">
      <c r="A81" s="74">
        <v>2001</v>
      </c>
      <c r="B81" s="75">
        <f>C81-DATE(YEAR(C81),1,1)+1</f>
        <v>96</v>
      </c>
      <c r="C81" s="85">
        <v>36987</v>
      </c>
      <c r="D81" s="77">
        <v>7</v>
      </c>
      <c r="E81" s="75"/>
      <c r="F81" s="74">
        <f>R81</f>
        <v>53.521126760563384</v>
      </c>
      <c r="G81" s="78">
        <v>38</v>
      </c>
      <c r="H81" s="77">
        <f>VLOOKUP(B81,CI102:CO257, 6)</f>
        <v>0.76140000000000008</v>
      </c>
      <c r="I81" s="77">
        <f>G81/H81</f>
        <v>49.908064092461252</v>
      </c>
      <c r="P81" s="78">
        <v>38</v>
      </c>
      <c r="Q81" s="77">
        <f>VLOOKUP(B81,CI102:CU257, 12)</f>
        <v>0.71</v>
      </c>
      <c r="R81" s="77">
        <f>P81/Q81</f>
        <v>53.521126760563384</v>
      </c>
      <c r="X81" s="80"/>
      <c r="Y81" s="77">
        <f>VLOOKUP(B81,CF102:CH257,2)</f>
        <v>0.86399999999999988</v>
      </c>
      <c r="Z81" s="80">
        <f>R81/Y81</f>
        <v>61.945748565466886</v>
      </c>
      <c r="AA81" s="86">
        <f>((B81-B80)*F81)-((B80-B80)*(F80-F80)*0.5)</f>
        <v>1338.0281690140846</v>
      </c>
      <c r="AB81" s="86"/>
      <c r="AD81" s="109"/>
      <c r="AE81" s="82"/>
      <c r="AF81" s="74">
        <f>F81/AG81</f>
        <v>97.311139564660692</v>
      </c>
      <c r="AG81" s="11">
        <f t="shared" si="0"/>
        <v>0.55000000000000004</v>
      </c>
      <c r="AI81" s="77">
        <f t="shared" si="12"/>
        <v>2432.7784891165174</v>
      </c>
      <c r="AJ81" s="151"/>
      <c r="AM81" s="77">
        <f t="shared" si="13"/>
        <v>0</v>
      </c>
      <c r="AN81" s="189"/>
      <c r="AO81" s="206"/>
      <c r="AP81" s="189"/>
      <c r="AQ81" s="206"/>
      <c r="AR81" s="189"/>
      <c r="AS81" s="206"/>
      <c r="AT81" s="83"/>
      <c r="AU81" s="75"/>
      <c r="AV81" s="75"/>
      <c r="AX81" s="86"/>
      <c r="AY81" s="75"/>
      <c r="AZ81" s="82"/>
      <c r="BB81" s="84"/>
      <c r="BD81" s="84"/>
      <c r="BF81" s="84"/>
      <c r="BH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</row>
    <row r="82" spans="1:95" s="87" customFormat="1" x14ac:dyDescent="0.25">
      <c r="A82" s="168">
        <v>2001</v>
      </c>
      <c r="B82" s="89">
        <f>C82-DATE(YEAR(C82),1,1)+1</f>
        <v>112</v>
      </c>
      <c r="C82" s="169">
        <v>37003</v>
      </c>
      <c r="D82" s="87">
        <v>8</v>
      </c>
      <c r="E82" s="89"/>
      <c r="F82" s="168">
        <f>Z81</f>
        <v>61.945748565466886</v>
      </c>
      <c r="G82" s="170"/>
      <c r="P82" s="170"/>
      <c r="X82" s="172"/>
      <c r="Z82" s="172"/>
      <c r="AA82" s="81">
        <f>((B82-B81)*F82)-((B82-B81)*(F82-F81)*0.5)</f>
        <v>923.73500260824221</v>
      </c>
      <c r="AB82" s="174"/>
      <c r="AD82" s="181"/>
      <c r="AE82" s="175"/>
      <c r="AF82" s="74">
        <f>F82/AG82</f>
        <v>112.62863375539433</v>
      </c>
      <c r="AG82" s="11">
        <f t="shared" si="0"/>
        <v>0.55000000000000004</v>
      </c>
      <c r="AI82" s="77">
        <f t="shared" si="12"/>
        <v>1679.5181865604402</v>
      </c>
      <c r="AJ82" s="164"/>
      <c r="AK82" s="77"/>
      <c r="AM82" s="77">
        <f t="shared" si="13"/>
        <v>0</v>
      </c>
      <c r="AN82" s="189"/>
      <c r="AO82" s="206"/>
      <c r="AP82" s="189"/>
      <c r="AQ82" s="206"/>
      <c r="AR82" s="189"/>
      <c r="AS82" s="206"/>
      <c r="AT82" s="176"/>
      <c r="AU82" s="89"/>
      <c r="AV82" s="89"/>
      <c r="AX82" s="174"/>
      <c r="AY82" s="89"/>
      <c r="AZ82" s="175"/>
    </row>
    <row r="83" spans="1:95" s="77" customFormat="1" x14ac:dyDescent="0.25">
      <c r="A83" s="75">
        <v>2001</v>
      </c>
      <c r="B83" s="75">
        <f>C83-DATE(YEAR(C83),1,1)+1</f>
        <v>151</v>
      </c>
      <c r="C83" s="85">
        <v>37042</v>
      </c>
      <c r="E83" s="75"/>
      <c r="F83" s="74">
        <v>0</v>
      </c>
      <c r="G83" s="91"/>
      <c r="H83" s="74"/>
      <c r="I83" s="74"/>
      <c r="J83" s="74"/>
      <c r="K83" s="74"/>
      <c r="L83" s="74"/>
      <c r="M83" s="74"/>
      <c r="N83" s="74"/>
      <c r="O83" s="92"/>
      <c r="P83" s="91"/>
      <c r="Q83" s="74"/>
      <c r="R83" s="74"/>
      <c r="S83" s="74"/>
      <c r="T83" s="74"/>
      <c r="U83" s="74"/>
      <c r="V83" s="74"/>
      <c r="W83" s="74"/>
      <c r="X83" s="93"/>
      <c r="Y83" s="74"/>
      <c r="Z83" s="93"/>
      <c r="AA83" s="86">
        <f>0.5*(B83-B82)*F82</f>
        <v>1207.9420970266042</v>
      </c>
      <c r="AB83" s="86"/>
      <c r="AD83" s="109"/>
      <c r="AE83" s="82"/>
      <c r="AF83" s="74">
        <f t="shared" ref="AF83:AF114" si="16">F83/AG83</f>
        <v>0</v>
      </c>
      <c r="AG83" s="77">
        <f t="shared" si="0"/>
        <v>0.55000000000000004</v>
      </c>
      <c r="AI83" s="77">
        <f t="shared" si="12"/>
        <v>2196.2583582301891</v>
      </c>
      <c r="AJ83" s="151"/>
      <c r="AM83" s="77">
        <f t="shared" si="13"/>
        <v>0</v>
      </c>
      <c r="AN83" s="189"/>
      <c r="AO83" s="206"/>
      <c r="AP83" s="189"/>
      <c r="AQ83" s="206"/>
      <c r="AR83" s="189"/>
      <c r="AS83" s="206"/>
      <c r="AT83" s="83"/>
      <c r="AU83" s="75"/>
      <c r="AV83" s="75"/>
      <c r="AX83" s="86"/>
      <c r="AY83" s="75"/>
      <c r="AZ83" s="82"/>
      <c r="BB83" s="84"/>
      <c r="BD83" s="84"/>
      <c r="BF83" s="84"/>
      <c r="BH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</row>
    <row r="84" spans="1:95" x14ac:dyDescent="0.25">
      <c r="A84">
        <v>2002</v>
      </c>
      <c r="B84">
        <f t="shared" si="15"/>
        <v>1</v>
      </c>
      <c r="C84" s="12">
        <v>37257</v>
      </c>
      <c r="F84" s="4">
        <v>0</v>
      </c>
      <c r="G84" s="9"/>
      <c r="H84" s="4"/>
      <c r="I84" s="4"/>
      <c r="J84" s="4"/>
      <c r="K84" s="4"/>
      <c r="L84" s="4"/>
      <c r="M84" s="4"/>
      <c r="N84" s="4"/>
      <c r="O84" s="10"/>
      <c r="P84" s="9"/>
      <c r="Q84" s="4"/>
      <c r="R84" s="4"/>
      <c r="S84" s="4"/>
      <c r="T84" s="4"/>
      <c r="U84" s="4"/>
      <c r="V84" s="4"/>
      <c r="W84" s="4"/>
      <c r="X84" s="72"/>
      <c r="Y84" s="4"/>
      <c r="Z84" s="72"/>
      <c r="AB84" s="1"/>
      <c r="AC84">
        <f t="shared" ref="AC84:AC89" si="17">AC85</f>
        <v>73</v>
      </c>
      <c r="AF84" s="74">
        <f t="shared" si="16"/>
        <v>0</v>
      </c>
      <c r="AG84" s="11">
        <f t="shared" si="0"/>
        <v>0.55000000000000004</v>
      </c>
      <c r="AH84" s="11"/>
      <c r="AI84" s="11"/>
      <c r="AJ84" s="152"/>
      <c r="AK84" s="4">
        <f>MAX($F$84:$F$91)/AG84</f>
        <v>132.72727272727272</v>
      </c>
      <c r="AM84" s="11"/>
      <c r="AN84" s="189"/>
      <c r="AO84" s="206"/>
      <c r="AP84" s="189"/>
      <c r="AQ84" s="206"/>
      <c r="AR84" s="189"/>
      <c r="AS84" s="206">
        <f>AK84*$AR$177</f>
        <v>0</v>
      </c>
      <c r="AT84" s="6">
        <v>0</v>
      </c>
      <c r="BB84" s="23" t="s">
        <v>25</v>
      </c>
      <c r="BC84" s="23" t="s">
        <v>26</v>
      </c>
      <c r="BD84" s="18"/>
      <c r="BE84" s="18"/>
      <c r="BF84" s="18"/>
      <c r="BG84" s="18"/>
      <c r="BH84" s="18"/>
      <c r="BI84" s="18"/>
      <c r="BJ84" s="18"/>
      <c r="BK84" s="19"/>
      <c r="BL84" s="19"/>
      <c r="BM84" s="19"/>
      <c r="BN84" s="19"/>
      <c r="BO84" s="19"/>
      <c r="BP84" s="19"/>
      <c r="BQ84" s="19"/>
      <c r="BR84" s="19"/>
      <c r="BS84" s="19"/>
      <c r="BT84" s="19"/>
    </row>
    <row r="85" spans="1:95" x14ac:dyDescent="0.25">
      <c r="A85">
        <v>2002</v>
      </c>
      <c r="B85">
        <f>C85-DATE(YEAR(C85),1,1)+1</f>
        <v>18</v>
      </c>
      <c r="C85" s="12">
        <v>37274</v>
      </c>
      <c r="D85">
        <v>15</v>
      </c>
      <c r="F85" s="4">
        <v>17</v>
      </c>
      <c r="AA85" s="1">
        <f>0.5*($B85-$B84)*$F85</f>
        <v>144.5</v>
      </c>
      <c r="AC85">
        <f t="shared" si="17"/>
        <v>73</v>
      </c>
      <c r="AF85" s="74">
        <f t="shared" si="16"/>
        <v>30.909090909090907</v>
      </c>
      <c r="AG85" s="11">
        <f t="shared" si="0"/>
        <v>0.55000000000000004</v>
      </c>
      <c r="AH85" s="11"/>
      <c r="AI85" s="11">
        <f>0.5*($B85-$B84)*$AF85</f>
        <v>262.72727272727269</v>
      </c>
      <c r="AJ85" s="152"/>
      <c r="AK85" s="4">
        <f t="shared" ref="AK85:AK91" si="18">MAX($F$84:$F$91)/AG85</f>
        <v>132.72727272727272</v>
      </c>
      <c r="AL85" s="2"/>
      <c r="AM85" s="11"/>
      <c r="AN85" s="189"/>
      <c r="AO85" s="206"/>
      <c r="AP85" s="189"/>
      <c r="AQ85" s="206"/>
      <c r="AR85" s="189"/>
      <c r="AS85" s="206"/>
      <c r="AT85" s="6" t="e">
        <f t="shared" ref="AT85:AT90" si="19">F85/AV85</f>
        <v>#N/A</v>
      </c>
      <c r="AU85">
        <f t="shared" ref="AU85:AU90" si="20">B85/D85</f>
        <v>1.2</v>
      </c>
      <c r="AV85" t="e">
        <f t="shared" ref="AV85:AV90" si="21">VLOOKUP(AU85,$CA$102:$CB$270,2)</f>
        <v>#N/A</v>
      </c>
      <c r="AY85" t="e">
        <f>0.5*(B85-B84)*AT85</f>
        <v>#N/A</v>
      </c>
      <c r="BA85" s="20">
        <f t="shared" ref="BA85:BA90" si="22">B85</f>
        <v>18</v>
      </c>
      <c r="BB85" s="20">
        <f t="shared" ref="BB85:BB90" si="23">F85/AC85</f>
        <v>0.23287671232876711</v>
      </c>
      <c r="BC85" s="20">
        <v>0.23287671232876711</v>
      </c>
      <c r="BD85" s="15">
        <v>5</v>
      </c>
      <c r="BE85" s="15">
        <f>5/17</f>
        <v>0.29411764705882354</v>
      </c>
      <c r="BF85" s="15">
        <v>11</v>
      </c>
      <c r="BG85" s="15">
        <f>11/17</f>
        <v>0.6470588235294118</v>
      </c>
      <c r="BH85" s="15">
        <v>1</v>
      </c>
      <c r="BI85" s="15">
        <f>1/17</f>
        <v>5.8823529411764705E-2</v>
      </c>
      <c r="BJ85" s="15">
        <f>0/17</f>
        <v>0</v>
      </c>
    </row>
    <row r="86" spans="1:95" x14ac:dyDescent="0.25">
      <c r="A86">
        <v>2002</v>
      </c>
      <c r="B86">
        <f t="shared" ref="B86:B144" si="24">C86-DATE(YEAR(C86),1,1)+1</f>
        <v>44</v>
      </c>
      <c r="C86" s="12">
        <v>37300</v>
      </c>
      <c r="D86">
        <v>12.5</v>
      </c>
      <c r="F86" s="4">
        <v>16</v>
      </c>
      <c r="AA86" s="1">
        <f>((B86-B85)*F86)-((B86-B85)*(F86-F85)*0.5)</f>
        <v>429</v>
      </c>
      <c r="AC86">
        <f t="shared" si="17"/>
        <v>73</v>
      </c>
      <c r="AF86" s="74">
        <f t="shared" si="16"/>
        <v>29.09090909090909</v>
      </c>
      <c r="AG86" s="11">
        <f t="shared" si="0"/>
        <v>0.55000000000000004</v>
      </c>
      <c r="AH86" s="11"/>
      <c r="AI86" s="11">
        <f>((B86-B85)*AF86)-((B86-B85)*(AF86-AF85)*0.5)</f>
        <v>780</v>
      </c>
      <c r="AJ86" s="152"/>
      <c r="AK86" s="4">
        <f t="shared" si="18"/>
        <v>132.72727272727272</v>
      </c>
      <c r="AL86" s="2"/>
      <c r="AM86" s="11"/>
      <c r="AN86" s="189"/>
      <c r="AO86" s="206"/>
      <c r="AP86" s="189"/>
      <c r="AQ86" s="206"/>
      <c r="AR86" s="189"/>
      <c r="AS86" s="206"/>
      <c r="AT86" s="6" t="e">
        <f t="shared" si="19"/>
        <v>#N/A</v>
      </c>
      <c r="AU86">
        <f t="shared" si="20"/>
        <v>3.52</v>
      </c>
      <c r="AV86" t="e">
        <f t="shared" si="21"/>
        <v>#N/A</v>
      </c>
      <c r="AY86" t="e">
        <f>((B86-B85)*AT86)-((B86-B85)*(AT86-AT85)*0.5)</f>
        <v>#N/A</v>
      </c>
      <c r="BA86" s="20">
        <f t="shared" si="22"/>
        <v>44</v>
      </c>
      <c r="BB86" s="20">
        <f t="shared" si="23"/>
        <v>0.21917808219178081</v>
      </c>
      <c r="BC86" s="20">
        <v>0.21917808219178081</v>
      </c>
      <c r="BD86" s="15">
        <v>4</v>
      </c>
      <c r="BE86" s="15">
        <f>4/16</f>
        <v>0.25</v>
      </c>
      <c r="BF86" s="15">
        <v>12</v>
      </c>
      <c r="BG86" s="15">
        <f>12/16</f>
        <v>0.75</v>
      </c>
      <c r="BH86" s="15">
        <v>0</v>
      </c>
      <c r="BI86" s="15">
        <f>0/15</f>
        <v>0</v>
      </c>
      <c r="BJ86" s="15">
        <f>0/16</f>
        <v>0</v>
      </c>
      <c r="CA86" t="s">
        <v>9</v>
      </c>
    </row>
    <row r="87" spans="1:95" x14ac:dyDescent="0.25">
      <c r="A87">
        <v>2002</v>
      </c>
      <c r="B87">
        <f t="shared" si="24"/>
        <v>68</v>
      </c>
      <c r="C87" s="12">
        <v>37324</v>
      </c>
      <c r="D87">
        <v>9</v>
      </c>
      <c r="F87" s="4">
        <v>46</v>
      </c>
      <c r="AA87" s="1">
        <f>((B87-B86)*F87)-((B87-B86)*(F87-F86)*0.5)</f>
        <v>744</v>
      </c>
      <c r="AC87">
        <f t="shared" si="17"/>
        <v>73</v>
      </c>
      <c r="AF87" s="74">
        <f t="shared" si="16"/>
        <v>83.636363636363626</v>
      </c>
      <c r="AG87" s="11">
        <f t="shared" ref="AG87:AG150" si="25">$AH$1</f>
        <v>0.55000000000000004</v>
      </c>
      <c r="AH87" s="11"/>
      <c r="AI87" s="11">
        <f>((B87-B86)*AF87)-((B87-B86)*(AF87-AF86)*0.5)</f>
        <v>1352.7272727272725</v>
      </c>
      <c r="AJ87" s="152"/>
      <c r="AK87" s="4">
        <f t="shared" si="18"/>
        <v>132.72727272727272</v>
      </c>
      <c r="AL87" s="2"/>
      <c r="AM87" s="11"/>
      <c r="AN87" s="189"/>
      <c r="AO87" s="206"/>
      <c r="AP87" s="189"/>
      <c r="AQ87" s="206"/>
      <c r="AR87" s="189"/>
      <c r="AS87" s="206"/>
      <c r="AT87" s="6" t="e">
        <f t="shared" si="19"/>
        <v>#N/A</v>
      </c>
      <c r="AU87">
        <f t="shared" si="20"/>
        <v>7.5555555555555554</v>
      </c>
      <c r="AV87" t="e">
        <f t="shared" si="21"/>
        <v>#N/A</v>
      </c>
      <c r="AY87" t="e">
        <f>((B87-B86)*AT87)-((B87-B86)*(AT87-AT86)*0.5)</f>
        <v>#N/A</v>
      </c>
      <c r="BA87" s="20">
        <f t="shared" si="22"/>
        <v>68</v>
      </c>
      <c r="BB87" s="20">
        <f t="shared" si="23"/>
        <v>0.63013698630136983</v>
      </c>
      <c r="BC87" s="20">
        <v>0.63013698630136983</v>
      </c>
      <c r="BD87" s="15">
        <v>11</v>
      </c>
      <c r="BE87" s="15">
        <f>11/46</f>
        <v>0.2391304347826087</v>
      </c>
      <c r="BF87" s="15">
        <v>29</v>
      </c>
      <c r="BG87" s="15">
        <f>29/46</f>
        <v>0.63043478260869568</v>
      </c>
      <c r="BH87" s="15">
        <v>6</v>
      </c>
      <c r="BI87" s="15">
        <f>6/46</f>
        <v>0.13043478260869565</v>
      </c>
      <c r="BJ87" s="15">
        <v>0</v>
      </c>
    </row>
    <row r="88" spans="1:95" x14ac:dyDescent="0.25">
      <c r="A88">
        <v>2002</v>
      </c>
      <c r="B88">
        <f t="shared" si="24"/>
        <v>81</v>
      </c>
      <c r="C88" s="12">
        <v>37337</v>
      </c>
      <c r="D88">
        <v>10.5</v>
      </c>
      <c r="F88" s="4">
        <v>50</v>
      </c>
      <c r="AA88" s="1">
        <f>((B88-B87)*F88)-((B88-B87)*(F88-F87)*0.5)</f>
        <v>624</v>
      </c>
      <c r="AC88">
        <f t="shared" si="17"/>
        <v>73</v>
      </c>
      <c r="AF88" s="74">
        <f t="shared" si="16"/>
        <v>90.909090909090907</v>
      </c>
      <c r="AG88" s="11">
        <f t="shared" si="25"/>
        <v>0.55000000000000004</v>
      </c>
      <c r="AH88" s="11"/>
      <c r="AI88" s="11">
        <f>((B88-B87)*AF88)-((B88-B87)*(AF88-AF87)*0.5)</f>
        <v>1134.5454545454545</v>
      </c>
      <c r="AJ88" s="152"/>
      <c r="AK88" s="4">
        <f t="shared" si="18"/>
        <v>132.72727272727272</v>
      </c>
      <c r="AL88" s="2"/>
      <c r="AM88" s="11"/>
      <c r="AN88" s="189"/>
      <c r="AO88" s="206"/>
      <c r="AP88" s="189"/>
      <c r="AQ88" s="206"/>
      <c r="AR88" s="189"/>
      <c r="AS88" s="206"/>
      <c r="AT88" s="6" t="e">
        <f t="shared" si="19"/>
        <v>#N/A</v>
      </c>
      <c r="AU88">
        <f t="shared" si="20"/>
        <v>7.7142857142857144</v>
      </c>
      <c r="AV88" t="e">
        <f t="shared" si="21"/>
        <v>#N/A</v>
      </c>
      <c r="AY88" t="e">
        <f>((B88-B87)*AT88)-((B88-B87)*(AT88-AT87)*0.5)</f>
        <v>#N/A</v>
      </c>
      <c r="BA88" s="20">
        <f t="shared" si="22"/>
        <v>81</v>
      </c>
      <c r="BB88" s="20">
        <f t="shared" si="23"/>
        <v>0.68493150684931503</v>
      </c>
      <c r="BC88" s="20">
        <v>0.68493150684931503</v>
      </c>
      <c r="BD88" s="15">
        <v>9</v>
      </c>
      <c r="BE88" s="15">
        <f>9/50</f>
        <v>0.18</v>
      </c>
      <c r="BF88" s="15">
        <v>30</v>
      </c>
      <c r="BG88" s="14">
        <f>30/50</f>
        <v>0.6</v>
      </c>
      <c r="BH88" s="14">
        <v>11</v>
      </c>
      <c r="BI88" s="15">
        <f>11/50</f>
        <v>0.22</v>
      </c>
      <c r="BJ88" s="15">
        <f>0/72</f>
        <v>0</v>
      </c>
      <c r="CA88" t="s">
        <v>8</v>
      </c>
    </row>
    <row r="89" spans="1:95" x14ac:dyDescent="0.25">
      <c r="A89">
        <v>2002</v>
      </c>
      <c r="B89">
        <f t="shared" si="24"/>
        <v>116</v>
      </c>
      <c r="C89" s="12">
        <v>37372</v>
      </c>
      <c r="D89">
        <v>7.62</v>
      </c>
      <c r="F89" s="4">
        <v>73</v>
      </c>
      <c r="AA89" s="1">
        <f>((B89-B88)*F89)-((B89-B88)*(F89-F88)*0.5)</f>
        <v>2152.5</v>
      </c>
      <c r="AC89">
        <f t="shared" si="17"/>
        <v>73</v>
      </c>
      <c r="AF89" s="74">
        <f>F89/AG89</f>
        <v>132.72727272727272</v>
      </c>
      <c r="AG89" s="11">
        <f t="shared" si="25"/>
        <v>0.55000000000000004</v>
      </c>
      <c r="AH89" s="11"/>
      <c r="AI89" s="11">
        <f>((B89-B88)*AF89)-((B89-B88)*(AF89-AF88)*0.5)</f>
        <v>3913.6363636363631</v>
      </c>
      <c r="AJ89" s="152"/>
      <c r="AK89" s="4">
        <f t="shared" si="18"/>
        <v>132.72727272727272</v>
      </c>
      <c r="AL89" s="2"/>
      <c r="AM89" s="11"/>
      <c r="AN89" s="189"/>
      <c r="AO89" s="206"/>
      <c r="AP89" s="189"/>
      <c r="AQ89" s="206"/>
      <c r="AR89" s="189"/>
      <c r="AS89" s="206"/>
      <c r="AT89" s="6" t="e">
        <f t="shared" si="19"/>
        <v>#N/A</v>
      </c>
      <c r="AU89">
        <f t="shared" si="20"/>
        <v>15.223097112860891</v>
      </c>
      <c r="AV89" t="e">
        <f t="shared" si="21"/>
        <v>#N/A</v>
      </c>
      <c r="AY89" t="e">
        <f>((B89-B88)*AT89)-((B89-B88)*(AT89-AT88)*0.5)</f>
        <v>#N/A</v>
      </c>
      <c r="BA89" s="20">
        <f t="shared" si="22"/>
        <v>116</v>
      </c>
      <c r="BB89" s="20">
        <f t="shared" si="23"/>
        <v>1</v>
      </c>
      <c r="BC89" s="20">
        <v>1</v>
      </c>
      <c r="BD89" s="15">
        <v>10</v>
      </c>
      <c r="BE89" s="15">
        <f>10/72</f>
        <v>0.1388888888888889</v>
      </c>
      <c r="BF89" s="15">
        <v>23</v>
      </c>
      <c r="BG89" s="15">
        <f>23/72</f>
        <v>0.31944444444444442</v>
      </c>
      <c r="BH89" s="14">
        <v>34</v>
      </c>
      <c r="BI89" s="15">
        <f>34/72</f>
        <v>0.47222222222222221</v>
      </c>
      <c r="BJ89" s="15">
        <v>3</v>
      </c>
      <c r="CA89">
        <v>5.2299999999999999E-2</v>
      </c>
      <c r="CB89">
        <v>2.8E-3</v>
      </c>
    </row>
    <row r="90" spans="1:95" x14ac:dyDescent="0.25">
      <c r="A90">
        <v>2002</v>
      </c>
      <c r="B90">
        <f t="shared" si="24"/>
        <v>134</v>
      </c>
      <c r="C90" s="12">
        <v>37390</v>
      </c>
      <c r="D90">
        <v>10.6</v>
      </c>
      <c r="F90" s="4">
        <v>29</v>
      </c>
      <c r="AA90" s="1">
        <f>((B90-B89)*F90)-((B90-B89)*(F90-F89)*0.5)</f>
        <v>918</v>
      </c>
      <c r="AC90">
        <f>AC91</f>
        <v>73</v>
      </c>
      <c r="AF90" s="74">
        <f t="shared" si="16"/>
        <v>52.72727272727272</v>
      </c>
      <c r="AG90" s="11">
        <f t="shared" si="25"/>
        <v>0.55000000000000004</v>
      </c>
      <c r="AH90" s="11"/>
      <c r="AI90" s="11">
        <f>((B90-B89)*AF90)-((B90-B89)*(AF90-AF89)*0.5)</f>
        <v>1669.090909090909</v>
      </c>
      <c r="AJ90" s="152"/>
      <c r="AK90" s="4">
        <f t="shared" si="18"/>
        <v>132.72727272727272</v>
      </c>
      <c r="AL90" s="2"/>
      <c r="AM90" s="11"/>
      <c r="AN90" s="189"/>
      <c r="AO90" s="206"/>
      <c r="AP90" s="189"/>
      <c r="AQ90" s="206"/>
      <c r="AR90" s="189"/>
      <c r="AS90" s="206"/>
      <c r="AT90" s="6" t="e">
        <f t="shared" si="19"/>
        <v>#N/A</v>
      </c>
      <c r="AU90">
        <f t="shared" si="20"/>
        <v>12.641509433962264</v>
      </c>
      <c r="AV90" t="e">
        <f t="shared" si="21"/>
        <v>#N/A</v>
      </c>
      <c r="AY90" t="e">
        <f>((B90-B89)*AT90)-((B90-B89)*(AT90-AT89)*0.5)</f>
        <v>#N/A</v>
      </c>
      <c r="BA90" s="20">
        <f t="shared" si="22"/>
        <v>134</v>
      </c>
      <c r="BB90" s="20">
        <f t="shared" si="23"/>
        <v>0.39726027397260272</v>
      </c>
      <c r="BD90" s="15">
        <v>3</v>
      </c>
      <c r="BE90" s="15">
        <f>3/28</f>
        <v>0.10714285714285714</v>
      </c>
      <c r="BF90" s="15">
        <v>9</v>
      </c>
      <c r="BG90" s="15">
        <f>9/28</f>
        <v>0.32142857142857145</v>
      </c>
      <c r="BH90" s="14">
        <v>16</v>
      </c>
      <c r="BI90" s="15">
        <f>16/28</f>
        <v>0.5714285714285714</v>
      </c>
    </row>
    <row r="91" spans="1:95" x14ac:dyDescent="0.25">
      <c r="A91">
        <v>2002</v>
      </c>
      <c r="B91">
        <f t="shared" si="24"/>
        <v>151</v>
      </c>
      <c r="C91" s="12">
        <v>37407</v>
      </c>
      <c r="F91" s="4">
        <v>0</v>
      </c>
      <c r="AA91" s="1">
        <f>0.5*(B91-B90)*F90</f>
        <v>246.5</v>
      </c>
      <c r="AB91">
        <f>AE91/$AE$1</f>
        <v>6.8</v>
      </c>
      <c r="AC91">
        <f>MAX(F84:F91)</f>
        <v>73</v>
      </c>
      <c r="AD91" s="2">
        <f>AB91/AC91</f>
        <v>9.3150684931506841E-2</v>
      </c>
      <c r="AE91" s="182">
        <v>340</v>
      </c>
      <c r="AF91" s="74">
        <f t="shared" si="16"/>
        <v>0</v>
      </c>
      <c r="AG91" s="11">
        <f t="shared" si="25"/>
        <v>0.55000000000000004</v>
      </c>
      <c r="AH91" s="11"/>
      <c r="AI91" s="11">
        <f>0.5*(B91-B90)*AF90</f>
        <v>448.18181818181813</v>
      </c>
      <c r="AJ91" s="151">
        <f>AM91/$AM$1</f>
        <v>191.21818181818179</v>
      </c>
      <c r="AK91" s="4">
        <f t="shared" si="18"/>
        <v>132.72727272727272</v>
      </c>
      <c r="AL91" s="2">
        <f>AJ91/AK91</f>
        <v>1.4406849315068493</v>
      </c>
      <c r="AM91" s="11">
        <f>SUM(AI85:AI91)</f>
        <v>9560.9090909090901</v>
      </c>
      <c r="AN91" s="189">
        <v>340</v>
      </c>
      <c r="AO91" s="206">
        <v>4.57</v>
      </c>
      <c r="AP91" s="193">
        <f>AN91</f>
        <v>340</v>
      </c>
      <c r="AQ91" s="206">
        <v>340</v>
      </c>
      <c r="AR91" s="189">
        <v>4.6500000000000004</v>
      </c>
      <c r="AS91" s="206">
        <f>AK91*$AR$177</f>
        <v>0</v>
      </c>
      <c r="AT91" s="6">
        <v>0</v>
      </c>
      <c r="AW91" t="e">
        <f>AZ91/AZ1</f>
        <v>#N/A</v>
      </c>
      <c r="AX91" s="1" t="e">
        <f>AW91/AC91</f>
        <v>#N/A</v>
      </c>
      <c r="AY91" t="e">
        <f>0.5*(B91-B90)*AT90</f>
        <v>#N/A</v>
      </c>
      <c r="AZ91" s="5" t="e">
        <f>SUM(AY85:AY91)</f>
        <v>#N/A</v>
      </c>
    </row>
    <row r="92" spans="1:95" s="75" customFormat="1" x14ac:dyDescent="0.25">
      <c r="A92" s="75">
        <v>2003</v>
      </c>
      <c r="B92" s="75">
        <f t="shared" si="24"/>
        <v>1</v>
      </c>
      <c r="C92" s="94">
        <v>37622</v>
      </c>
      <c r="F92" s="95">
        <v>0</v>
      </c>
      <c r="G92" s="96"/>
      <c r="O92" s="97"/>
      <c r="P92" s="96"/>
      <c r="X92" s="98"/>
      <c r="Z92" s="98"/>
      <c r="AA92" s="86"/>
      <c r="AC92" s="75">
        <f t="shared" ref="AC92:AC97" si="26">AC93</f>
        <v>50</v>
      </c>
      <c r="AD92" s="109"/>
      <c r="AE92" s="99"/>
      <c r="AF92" s="74">
        <f t="shared" si="16"/>
        <v>0</v>
      </c>
      <c r="AG92" s="77">
        <f t="shared" si="25"/>
        <v>0.55000000000000004</v>
      </c>
      <c r="AH92" s="77"/>
      <c r="AI92" s="77"/>
      <c r="AJ92" s="152"/>
      <c r="AK92" s="95">
        <f>MAX($F$92:$F$99)/AG92</f>
        <v>90.909090909090907</v>
      </c>
      <c r="AL92" s="109"/>
      <c r="AM92" s="77"/>
      <c r="AN92" s="189"/>
      <c r="AO92" s="206"/>
      <c r="AP92" s="189"/>
      <c r="AQ92" s="206"/>
      <c r="AR92" s="189"/>
      <c r="AS92" s="206"/>
      <c r="AT92" s="100">
        <v>0</v>
      </c>
      <c r="AX92" s="86"/>
      <c r="AZ92" s="99"/>
    </row>
    <row r="93" spans="1:95" s="75" customFormat="1" x14ac:dyDescent="0.25">
      <c r="A93" s="75">
        <v>2003</v>
      </c>
      <c r="B93" s="75">
        <f t="shared" si="24"/>
        <v>20</v>
      </c>
      <c r="C93" s="94">
        <v>37641</v>
      </c>
      <c r="D93" s="75">
        <v>11</v>
      </c>
      <c r="F93" s="95">
        <v>5</v>
      </c>
      <c r="G93" s="96"/>
      <c r="O93" s="97"/>
      <c r="P93" s="96"/>
      <c r="X93" s="98"/>
      <c r="Z93" s="98"/>
      <c r="AA93" s="86">
        <f>0.5*(B93-B92)*F93</f>
        <v>47.5</v>
      </c>
      <c r="AC93" s="75">
        <f t="shared" si="26"/>
        <v>50</v>
      </c>
      <c r="AD93" s="109"/>
      <c r="AE93" s="99"/>
      <c r="AF93" s="74">
        <f t="shared" si="16"/>
        <v>9.0909090909090899</v>
      </c>
      <c r="AG93" s="77">
        <f t="shared" si="25"/>
        <v>0.55000000000000004</v>
      </c>
      <c r="AH93" s="77"/>
      <c r="AI93" s="77">
        <f>0.5*($B93-$B92)*$AF93</f>
        <v>86.36363636363636</v>
      </c>
      <c r="AJ93" s="152"/>
      <c r="AK93" s="95">
        <f t="shared" ref="AK93:AK99" si="27">MAX($F$92:$F$99)/AG93</f>
        <v>90.909090909090907</v>
      </c>
      <c r="AL93" s="109"/>
      <c r="AM93" s="77"/>
      <c r="AN93" s="189"/>
      <c r="AO93" s="206"/>
      <c r="AP93" s="189"/>
      <c r="AQ93" s="206"/>
      <c r="AR93" s="189"/>
      <c r="AS93" s="206"/>
      <c r="AT93" s="100" t="e">
        <f t="shared" ref="AT93:AT98" si="28">F93/AV93</f>
        <v>#N/A</v>
      </c>
      <c r="AU93" s="75">
        <f t="shared" ref="AU93:AU98" si="29">B93/D93</f>
        <v>1.8181818181818181</v>
      </c>
      <c r="AV93" s="75" t="e">
        <f t="shared" ref="AV93:AV98" si="30">VLOOKUP(AU93,$CA$102:$CB$270,2)</f>
        <v>#N/A</v>
      </c>
      <c r="AX93" s="86"/>
      <c r="AY93" s="75" t="e">
        <f>0.5*(B93-B92)*AT93</f>
        <v>#N/A</v>
      </c>
      <c r="AZ93" s="99"/>
      <c r="BA93" s="75">
        <f t="shared" ref="BA93:BA98" si="31">B93</f>
        <v>20</v>
      </c>
      <c r="BB93" s="75">
        <f t="shared" ref="BB93:BB98" si="32">F93/AC93</f>
        <v>0.1</v>
      </c>
      <c r="BC93" s="75">
        <v>0.1</v>
      </c>
      <c r="BG93" s="101"/>
      <c r="BH93" s="101"/>
      <c r="CE93" s="102" t="s">
        <v>27</v>
      </c>
      <c r="CK93" s="102" t="s">
        <v>45</v>
      </c>
    </row>
    <row r="94" spans="1:95" s="75" customFormat="1" x14ac:dyDescent="0.25">
      <c r="A94" s="75">
        <v>2003</v>
      </c>
      <c r="B94" s="75">
        <f t="shared" si="24"/>
        <v>43</v>
      </c>
      <c r="C94" s="94">
        <v>37664</v>
      </c>
      <c r="D94" s="75">
        <v>7.5</v>
      </c>
      <c r="F94" s="95">
        <v>19</v>
      </c>
      <c r="G94" s="96"/>
      <c r="O94" s="97"/>
      <c r="P94" s="96"/>
      <c r="X94" s="98"/>
      <c r="Z94" s="98"/>
      <c r="AA94" s="86">
        <f>((B94-B93)*F94)-((B94-B93)*(F94-F93)*0.5)</f>
        <v>276</v>
      </c>
      <c r="AC94" s="75">
        <f t="shared" si="26"/>
        <v>50</v>
      </c>
      <c r="AD94" s="109"/>
      <c r="AE94" s="99"/>
      <c r="AF94" s="74">
        <f t="shared" si="16"/>
        <v>34.54545454545454</v>
      </c>
      <c r="AG94" s="77">
        <f t="shared" si="25"/>
        <v>0.55000000000000004</v>
      </c>
      <c r="AH94" s="77"/>
      <c r="AI94" s="77">
        <f>((B94-B93)*AF94)-((B94-B93)*(AF94-AF93)*0.5)</f>
        <v>501.8181818181817</v>
      </c>
      <c r="AJ94" s="152"/>
      <c r="AK94" s="95">
        <f t="shared" si="27"/>
        <v>90.909090909090907</v>
      </c>
      <c r="AL94" s="109"/>
      <c r="AM94" s="77"/>
      <c r="AN94" s="189"/>
      <c r="AO94" s="206"/>
      <c r="AP94" s="189"/>
      <c r="AQ94" s="206"/>
      <c r="AR94" s="189"/>
      <c r="AS94" s="206"/>
      <c r="AT94" s="100" t="e">
        <f t="shared" si="28"/>
        <v>#N/A</v>
      </c>
      <c r="AU94" s="75">
        <f t="shared" si="29"/>
        <v>5.7333333333333334</v>
      </c>
      <c r="AV94" s="75" t="e">
        <f t="shared" si="30"/>
        <v>#N/A</v>
      </c>
      <c r="AX94" s="86"/>
      <c r="AY94" s="75" t="e">
        <f>((B94-B93)*AT94)-((B94-B93)*(AT94-AT93)*0.5)</f>
        <v>#N/A</v>
      </c>
      <c r="AZ94" s="99"/>
      <c r="BA94" s="75">
        <f t="shared" si="31"/>
        <v>43</v>
      </c>
      <c r="BB94" s="75">
        <f t="shared" si="32"/>
        <v>0.38</v>
      </c>
      <c r="BC94" s="75">
        <v>0.38</v>
      </c>
      <c r="BD94" s="75">
        <v>1</v>
      </c>
      <c r="BE94" s="75">
        <f>1/19</f>
        <v>5.2631578947368418E-2</v>
      </c>
      <c r="BF94" s="75">
        <v>15</v>
      </c>
      <c r="BG94" s="75">
        <f>15/19</f>
        <v>0.78947368421052633</v>
      </c>
      <c r="BH94" s="75">
        <v>3</v>
      </c>
      <c r="BI94" s="75">
        <f>3/19</f>
        <v>0.15789473684210525</v>
      </c>
    </row>
    <row r="95" spans="1:95" s="75" customFormat="1" x14ac:dyDescent="0.25">
      <c r="A95" s="75">
        <v>2003</v>
      </c>
      <c r="B95" s="75">
        <f t="shared" si="24"/>
        <v>66</v>
      </c>
      <c r="C95" s="94">
        <v>37687</v>
      </c>
      <c r="D95" s="75">
        <v>3.5</v>
      </c>
      <c r="F95" s="95">
        <v>21</v>
      </c>
      <c r="G95" s="96"/>
      <c r="O95" s="97"/>
      <c r="P95" s="96"/>
      <c r="X95" s="98"/>
      <c r="Z95" s="98"/>
      <c r="AA95" s="86">
        <f>((B95-B94)*F95)-((B95-B94)*(F95-F94)*0.5)</f>
        <v>460</v>
      </c>
      <c r="AC95" s="75">
        <f t="shared" si="26"/>
        <v>50</v>
      </c>
      <c r="AD95" s="109"/>
      <c r="AE95" s="99"/>
      <c r="AF95" s="74">
        <f t="shared" si="16"/>
        <v>38.18181818181818</v>
      </c>
      <c r="AG95" s="77">
        <f t="shared" si="25"/>
        <v>0.55000000000000004</v>
      </c>
      <c r="AH95" s="77"/>
      <c r="AI95" s="77">
        <f>((B95-B94)*AF95)-((B95-B94)*(AF95-AF94)*0.5)</f>
        <v>836.36363636363626</v>
      </c>
      <c r="AJ95" s="152"/>
      <c r="AK95" s="95">
        <f t="shared" si="27"/>
        <v>90.909090909090907</v>
      </c>
      <c r="AL95" s="109"/>
      <c r="AM95" s="77"/>
      <c r="AN95" s="189"/>
      <c r="AO95" s="206"/>
      <c r="AP95" s="189"/>
      <c r="AQ95" s="206"/>
      <c r="AR95" s="189"/>
      <c r="AS95" s="206"/>
      <c r="AT95" s="100" t="e">
        <f t="shared" si="28"/>
        <v>#N/A</v>
      </c>
      <c r="AU95" s="75">
        <f t="shared" si="29"/>
        <v>18.857142857142858</v>
      </c>
      <c r="AV95" s="75" t="e">
        <f t="shared" si="30"/>
        <v>#N/A</v>
      </c>
      <c r="AX95" s="86"/>
      <c r="AY95" s="75" t="e">
        <f>((B95-B94)*AT95)-((B95-B94)*(AT95-AT94)*0.5)</f>
        <v>#N/A</v>
      </c>
      <c r="AZ95" s="99"/>
      <c r="BA95" s="75">
        <f t="shared" si="31"/>
        <v>66</v>
      </c>
      <c r="BB95" s="75">
        <f t="shared" si="32"/>
        <v>0.42</v>
      </c>
      <c r="BC95" s="75">
        <v>0.42</v>
      </c>
      <c r="BD95" s="75">
        <v>6</v>
      </c>
      <c r="BE95" s="103">
        <f>6/21</f>
        <v>0.2857142857142857</v>
      </c>
      <c r="BF95" s="103">
        <v>13</v>
      </c>
      <c r="BG95" s="75">
        <f>13/21</f>
        <v>0.61904761904761907</v>
      </c>
      <c r="BH95" s="75">
        <v>2</v>
      </c>
      <c r="BI95" s="75">
        <f>2/21</f>
        <v>9.5238095238095233E-2</v>
      </c>
      <c r="BJ95" s="75">
        <f>0/21</f>
        <v>0</v>
      </c>
      <c r="CE95" s="102" t="s">
        <v>29</v>
      </c>
      <c r="CK95" s="102" t="s">
        <v>36</v>
      </c>
      <c r="CQ95" s="75" t="s">
        <v>36</v>
      </c>
    </row>
    <row r="96" spans="1:95" s="75" customFormat="1" x14ac:dyDescent="0.25">
      <c r="A96" s="75">
        <v>2003</v>
      </c>
      <c r="B96" s="75">
        <f t="shared" si="24"/>
        <v>97</v>
      </c>
      <c r="C96" s="94">
        <v>37718</v>
      </c>
      <c r="D96" s="75">
        <v>12.7</v>
      </c>
      <c r="F96" s="95">
        <v>46</v>
      </c>
      <c r="G96" s="96"/>
      <c r="O96" s="97"/>
      <c r="P96" s="96"/>
      <c r="X96" s="98"/>
      <c r="Z96" s="98"/>
      <c r="AA96" s="86">
        <f>((B96-B95)*F96)-((B96-B95)*(F96-F95)*0.5)</f>
        <v>1038.5</v>
      </c>
      <c r="AC96" s="75">
        <f t="shared" si="26"/>
        <v>50</v>
      </c>
      <c r="AD96" s="109"/>
      <c r="AE96" s="99"/>
      <c r="AF96" s="74">
        <f t="shared" si="16"/>
        <v>83.636363636363626</v>
      </c>
      <c r="AG96" s="77">
        <f t="shared" si="25"/>
        <v>0.55000000000000004</v>
      </c>
      <c r="AH96" s="77"/>
      <c r="AI96" s="77">
        <f>((B96-B95)*AF96)-((B96-B95)*(AF96-AF95)*0.5)</f>
        <v>1888.181818181818</v>
      </c>
      <c r="AJ96" s="152"/>
      <c r="AK96" s="95">
        <f t="shared" si="27"/>
        <v>90.909090909090907</v>
      </c>
      <c r="AL96" s="109"/>
      <c r="AM96" s="77"/>
      <c r="AN96" s="189"/>
      <c r="AO96" s="206"/>
      <c r="AP96" s="189"/>
      <c r="AQ96" s="206"/>
      <c r="AR96" s="189"/>
      <c r="AS96" s="206"/>
      <c r="AT96" s="100" t="e">
        <f t="shared" si="28"/>
        <v>#N/A</v>
      </c>
      <c r="AU96" s="75">
        <f t="shared" si="29"/>
        <v>7.6377952755905518</v>
      </c>
      <c r="AV96" s="75" t="e">
        <f t="shared" si="30"/>
        <v>#N/A</v>
      </c>
      <c r="AX96" s="86"/>
      <c r="AY96" s="75" t="e">
        <f>((B96-B95)*AT96)-((B96-B95)*(AT96-AT95)*0.5)</f>
        <v>#N/A</v>
      </c>
      <c r="AZ96" s="99"/>
      <c r="BA96" s="75">
        <f t="shared" si="31"/>
        <v>97</v>
      </c>
      <c r="BB96" s="75">
        <f t="shared" si="32"/>
        <v>0.92</v>
      </c>
      <c r="BC96" s="75">
        <v>0.92</v>
      </c>
      <c r="BD96" s="75">
        <v>10</v>
      </c>
      <c r="BE96" s="75">
        <f>10/46</f>
        <v>0.21739130434782608</v>
      </c>
      <c r="BF96" s="75">
        <v>16</v>
      </c>
      <c r="BG96" s="75">
        <f>16/46</f>
        <v>0.34782608695652173</v>
      </c>
      <c r="BH96" s="75">
        <v>20</v>
      </c>
      <c r="BI96" s="75">
        <f>20/46</f>
        <v>0.43478260869565216</v>
      </c>
      <c r="BJ96" s="75">
        <f>0/46</f>
        <v>0</v>
      </c>
      <c r="CE96" s="102" t="s">
        <v>30</v>
      </c>
    </row>
    <row r="97" spans="1:99" s="75" customFormat="1" x14ac:dyDescent="0.25">
      <c r="A97" s="75">
        <v>2003</v>
      </c>
      <c r="B97" s="75">
        <f t="shared" si="24"/>
        <v>113</v>
      </c>
      <c r="C97" s="94">
        <v>37734</v>
      </c>
      <c r="D97" s="75">
        <v>10.5</v>
      </c>
      <c r="F97" s="95">
        <v>50</v>
      </c>
      <c r="G97" s="96"/>
      <c r="O97" s="97"/>
      <c r="P97" s="96"/>
      <c r="X97" s="98"/>
      <c r="Z97" s="98"/>
      <c r="AA97" s="86">
        <f>((B97-B96)*F97)-((B97-B96)*(F97-F96)*0.5)</f>
        <v>768</v>
      </c>
      <c r="AC97" s="75">
        <f t="shared" si="26"/>
        <v>50</v>
      </c>
      <c r="AD97" s="109"/>
      <c r="AE97" s="99"/>
      <c r="AF97" s="74">
        <f t="shared" si="16"/>
        <v>90.909090909090907</v>
      </c>
      <c r="AG97" s="77">
        <f t="shared" si="25"/>
        <v>0.55000000000000004</v>
      </c>
      <c r="AH97" s="77"/>
      <c r="AI97" s="77">
        <f>((B97-B96)*AF97)-((B97-B96)*(AF97-AF96)*0.5)</f>
        <v>1396.3636363636363</v>
      </c>
      <c r="AJ97" s="152"/>
      <c r="AK97" s="95">
        <f t="shared" si="27"/>
        <v>90.909090909090907</v>
      </c>
      <c r="AL97" s="109"/>
      <c r="AM97" s="77"/>
      <c r="AN97" s="189"/>
      <c r="AO97" s="206"/>
      <c r="AP97" s="189"/>
      <c r="AQ97" s="206"/>
      <c r="AR97" s="189"/>
      <c r="AS97" s="206"/>
      <c r="AT97" s="100" t="e">
        <f t="shared" si="28"/>
        <v>#N/A</v>
      </c>
      <c r="AU97" s="75">
        <f t="shared" si="29"/>
        <v>10.761904761904763</v>
      </c>
      <c r="AV97" s="75" t="e">
        <f t="shared" si="30"/>
        <v>#N/A</v>
      </c>
      <c r="AX97" s="86"/>
      <c r="AY97" s="75" t="e">
        <f>((B97-B96)*AT97)-((B97-B96)*(AT97-AT96)*0.5)</f>
        <v>#N/A</v>
      </c>
      <c r="AZ97" s="99"/>
      <c r="BA97" s="75">
        <f t="shared" si="31"/>
        <v>113</v>
      </c>
      <c r="BB97" s="75">
        <f t="shared" si="32"/>
        <v>1</v>
      </c>
      <c r="BC97" s="75">
        <v>1</v>
      </c>
      <c r="BD97" s="75">
        <v>14</v>
      </c>
      <c r="BE97" s="75">
        <f>14/46</f>
        <v>0.30434782608695654</v>
      </c>
      <c r="BF97" s="75">
        <v>13</v>
      </c>
      <c r="BG97" s="75">
        <f>13/46</f>
        <v>0.28260869565217389</v>
      </c>
      <c r="BH97" s="75">
        <v>19</v>
      </c>
      <c r="BI97" s="75">
        <f>19/36</f>
        <v>0.52777777777777779</v>
      </c>
      <c r="BJ97" s="75">
        <f>4</f>
        <v>4</v>
      </c>
      <c r="CK97" s="104">
        <v>1</v>
      </c>
      <c r="CL97" s="104">
        <v>2</v>
      </c>
      <c r="CM97" s="104">
        <v>3</v>
      </c>
      <c r="CN97" s="104">
        <v>4</v>
      </c>
      <c r="CO97" s="104">
        <v>5</v>
      </c>
      <c r="CQ97" s="104">
        <v>1</v>
      </c>
      <c r="CR97" s="104">
        <v>2</v>
      </c>
      <c r="CS97" s="104">
        <v>3</v>
      </c>
      <c r="CT97" s="104">
        <v>4</v>
      </c>
      <c r="CU97" s="104">
        <v>5</v>
      </c>
    </row>
    <row r="98" spans="1:99" s="75" customFormat="1" x14ac:dyDescent="0.25">
      <c r="A98" s="75">
        <v>2003</v>
      </c>
      <c r="B98" s="75">
        <f t="shared" si="24"/>
        <v>134</v>
      </c>
      <c r="C98" s="94">
        <v>37755</v>
      </c>
      <c r="D98" s="75">
        <v>6.1</v>
      </c>
      <c r="F98" s="95">
        <v>20</v>
      </c>
      <c r="G98" s="96"/>
      <c r="O98" s="97"/>
      <c r="P98" s="96"/>
      <c r="X98" s="98"/>
      <c r="Z98" s="98"/>
      <c r="AA98" s="86">
        <f>((B98-B97)*F98)-((B98-B97)*(F98-F97)*0.5)</f>
        <v>735</v>
      </c>
      <c r="AC98" s="75">
        <f>AC99</f>
        <v>50</v>
      </c>
      <c r="AD98" s="109"/>
      <c r="AE98" s="99"/>
      <c r="AF98" s="74">
        <f t="shared" si="16"/>
        <v>36.36363636363636</v>
      </c>
      <c r="AG98" s="77">
        <f t="shared" si="25"/>
        <v>0.55000000000000004</v>
      </c>
      <c r="AH98" s="77"/>
      <c r="AI98" s="77">
        <f>((B98-B97)*AF98)-((B98-B97)*(AF98-AF97)*0.5)</f>
        <v>1336.3636363636363</v>
      </c>
      <c r="AJ98" s="152"/>
      <c r="AK98" s="95">
        <f t="shared" si="27"/>
        <v>90.909090909090907</v>
      </c>
      <c r="AL98" s="109"/>
      <c r="AM98" s="77"/>
      <c r="AN98" s="189"/>
      <c r="AO98" s="206"/>
      <c r="AP98" s="189"/>
      <c r="AQ98" s="206"/>
      <c r="AR98" s="189"/>
      <c r="AS98" s="206"/>
      <c r="AT98" s="100" t="e">
        <f t="shared" si="28"/>
        <v>#N/A</v>
      </c>
      <c r="AU98" s="75">
        <f t="shared" si="29"/>
        <v>21.967213114754099</v>
      </c>
      <c r="AV98" s="75" t="e">
        <f t="shared" si="30"/>
        <v>#N/A</v>
      </c>
      <c r="AX98" s="86"/>
      <c r="AY98" s="75" t="e">
        <f>((B98-B97)*AT98)-((B98-B97)*(AT98-AT97)*0.5)</f>
        <v>#N/A</v>
      </c>
      <c r="AZ98" s="99"/>
      <c r="BA98" s="75">
        <f t="shared" si="31"/>
        <v>134</v>
      </c>
      <c r="BB98" s="75">
        <f t="shared" si="32"/>
        <v>0.4</v>
      </c>
      <c r="BE98" s="75">
        <f>12/20</f>
        <v>0.6</v>
      </c>
      <c r="BF98" s="75">
        <v>0</v>
      </c>
      <c r="BG98" s="75">
        <f>0/20</f>
        <v>0</v>
      </c>
      <c r="BH98" s="75">
        <v>8</v>
      </c>
      <c r="BI98" s="75">
        <f>8/20</f>
        <v>0.4</v>
      </c>
      <c r="BJ98" s="75">
        <f>0/20</f>
        <v>0</v>
      </c>
      <c r="CK98" s="105" t="s">
        <v>46</v>
      </c>
      <c r="CL98" s="106"/>
      <c r="CM98" s="106"/>
      <c r="CN98" s="107"/>
      <c r="CO98" s="107"/>
      <c r="CQ98" s="105" t="s">
        <v>49</v>
      </c>
      <c r="CR98" s="106"/>
      <c r="CS98" s="106"/>
      <c r="CT98" s="107"/>
      <c r="CU98" s="107"/>
    </row>
    <row r="99" spans="1:99" s="75" customFormat="1" x14ac:dyDescent="0.25">
      <c r="A99" s="75">
        <v>2003</v>
      </c>
      <c r="B99" s="75">
        <f t="shared" si="24"/>
        <v>151</v>
      </c>
      <c r="C99" s="94">
        <v>37772</v>
      </c>
      <c r="F99" s="95">
        <v>0</v>
      </c>
      <c r="G99" s="96"/>
      <c r="O99" s="97"/>
      <c r="P99" s="96"/>
      <c r="X99" s="98"/>
      <c r="Z99" s="98"/>
      <c r="AA99" s="86">
        <f>0.5*(B99-B98)*F98</f>
        <v>170</v>
      </c>
      <c r="AB99" s="75">
        <f>AE99/$AE$1</f>
        <v>69.900000000000006</v>
      </c>
      <c r="AC99" s="75">
        <f>MAX(F92:F99)</f>
        <v>50</v>
      </c>
      <c r="AD99" s="109">
        <f>AB99/AC99</f>
        <v>1.3980000000000001</v>
      </c>
      <c r="AE99" s="183">
        <f>SUM(AA93:AA99)</f>
        <v>3495</v>
      </c>
      <c r="AF99" s="74">
        <f t="shared" si="16"/>
        <v>0</v>
      </c>
      <c r="AG99" s="77">
        <f t="shared" si="25"/>
        <v>0.55000000000000004</v>
      </c>
      <c r="AH99" s="77"/>
      <c r="AI99" s="77">
        <f>0.5*(B99-B98)*AF98</f>
        <v>309.09090909090907</v>
      </c>
      <c r="AJ99" s="151">
        <f>AM99/$AE$1</f>
        <v>127.09090909090907</v>
      </c>
      <c r="AK99" s="95">
        <f t="shared" si="27"/>
        <v>90.909090909090907</v>
      </c>
      <c r="AL99" s="109">
        <f>AJ99/AK99</f>
        <v>1.3979999999999997</v>
      </c>
      <c r="AM99" s="77">
        <f>SUM(AI93:AI99)</f>
        <v>6354.5454545454531</v>
      </c>
      <c r="AN99" s="189">
        <v>158</v>
      </c>
      <c r="AO99" s="206">
        <v>3.14</v>
      </c>
      <c r="AP99" s="193">
        <f>AN99</f>
        <v>158</v>
      </c>
      <c r="AQ99" s="206">
        <v>158</v>
      </c>
      <c r="AR99" s="189">
        <v>3.16</v>
      </c>
      <c r="AS99" s="206">
        <f>AK99*$AR$177</f>
        <v>0</v>
      </c>
      <c r="AT99" s="100">
        <v>0</v>
      </c>
      <c r="AW99" s="75" t="e">
        <f>AZ99/$AZ$1</f>
        <v>#N/A</v>
      </c>
      <c r="AX99" s="86" t="e">
        <f>AW99/AC99</f>
        <v>#N/A</v>
      </c>
      <c r="AY99" s="75" t="e">
        <f>0.5*(B99-B98)*AT98</f>
        <v>#N/A</v>
      </c>
      <c r="AZ99" s="99" t="e">
        <f>SUM(AY93:AY99)</f>
        <v>#N/A</v>
      </c>
      <c r="CG99" s="102" t="s">
        <v>28</v>
      </c>
      <c r="CK99" s="108" t="s">
        <v>37</v>
      </c>
      <c r="CL99" s="108" t="s">
        <v>39</v>
      </c>
      <c r="CM99" s="108" t="s">
        <v>41</v>
      </c>
      <c r="CN99" s="108" t="s">
        <v>43</v>
      </c>
      <c r="CO99" s="108" t="s">
        <v>47</v>
      </c>
      <c r="CP99" s="102"/>
      <c r="CQ99" s="108" t="s">
        <v>37</v>
      </c>
      <c r="CR99" s="108" t="s">
        <v>39</v>
      </c>
      <c r="CS99" s="108" t="s">
        <v>41</v>
      </c>
      <c r="CT99" s="108" t="s">
        <v>43</v>
      </c>
      <c r="CU99" s="108" t="s">
        <v>47</v>
      </c>
    </row>
    <row r="100" spans="1:99" x14ac:dyDescent="0.25">
      <c r="A100">
        <v>2004</v>
      </c>
      <c r="B100">
        <f t="shared" si="24"/>
        <v>1</v>
      </c>
      <c r="C100" s="12">
        <v>37987</v>
      </c>
      <c r="F100" s="4">
        <v>0</v>
      </c>
      <c r="AC100">
        <f t="shared" ref="AC100:AC105" si="33">AC101</f>
        <v>45</v>
      </c>
      <c r="AF100" s="74">
        <f t="shared" si="16"/>
        <v>0</v>
      </c>
      <c r="AG100" s="11">
        <f t="shared" si="25"/>
        <v>0.55000000000000004</v>
      </c>
      <c r="AH100" s="11"/>
      <c r="AI100" s="11"/>
      <c r="AJ100" s="152"/>
      <c r="AK100" s="4">
        <f>MAX($F$100:$F$107)/AG100</f>
        <v>81.818181818181813</v>
      </c>
      <c r="AL100" s="2"/>
      <c r="AM100" s="11"/>
      <c r="AN100" s="189"/>
      <c r="AO100" s="206"/>
      <c r="AP100" s="189"/>
      <c r="AQ100" s="206"/>
      <c r="AR100" s="189"/>
      <c r="AS100" s="206"/>
      <c r="AT100" s="6">
        <v>0</v>
      </c>
      <c r="CF100" s="3" t="s">
        <v>4</v>
      </c>
      <c r="CG100" s="3"/>
      <c r="CH100" s="3"/>
      <c r="CI100" s="3" t="s">
        <v>4</v>
      </c>
      <c r="CJ100" s="3"/>
      <c r="CK100" s="26" t="s">
        <v>38</v>
      </c>
      <c r="CL100" s="26" t="s">
        <v>40</v>
      </c>
      <c r="CM100" s="26" t="s">
        <v>42</v>
      </c>
      <c r="CN100" s="26" t="s">
        <v>44</v>
      </c>
      <c r="CO100" s="26" t="s">
        <v>48</v>
      </c>
      <c r="CP100" s="3"/>
      <c r="CQ100" s="26" t="s">
        <v>38</v>
      </c>
      <c r="CR100" s="26" t="s">
        <v>40</v>
      </c>
      <c r="CS100" s="26" t="s">
        <v>42</v>
      </c>
      <c r="CT100" s="26" t="s">
        <v>44</v>
      </c>
      <c r="CU100" s="26" t="s">
        <v>48</v>
      </c>
    </row>
    <row r="101" spans="1:99" x14ac:dyDescent="0.25">
      <c r="A101">
        <v>2004</v>
      </c>
      <c r="B101">
        <f t="shared" si="24"/>
        <v>36</v>
      </c>
      <c r="C101" s="12">
        <v>38022</v>
      </c>
      <c r="D101">
        <v>11</v>
      </c>
      <c r="F101" s="4">
        <v>6</v>
      </c>
      <c r="AA101" s="1">
        <f>0.5*(B101-B100)*F101</f>
        <v>105</v>
      </c>
      <c r="AC101">
        <f t="shared" si="33"/>
        <v>45</v>
      </c>
      <c r="AF101" s="74">
        <f t="shared" si="16"/>
        <v>10.909090909090908</v>
      </c>
      <c r="AG101" s="11">
        <f t="shared" si="25"/>
        <v>0.55000000000000004</v>
      </c>
      <c r="AH101" s="11"/>
      <c r="AI101" s="11">
        <f>0.5*($B101-$B100)*$AF101</f>
        <v>190.90909090909091</v>
      </c>
      <c r="AJ101" s="152"/>
      <c r="AK101" s="4">
        <f t="shared" ref="AK101:AK107" si="34">MAX($F$100:$F$107)/AG101</f>
        <v>81.818181818181813</v>
      </c>
      <c r="AL101" s="2"/>
      <c r="AM101" s="11"/>
      <c r="AN101" s="189"/>
      <c r="AO101" s="206"/>
      <c r="AP101" s="189"/>
      <c r="AQ101" s="206"/>
      <c r="AR101" s="189"/>
      <c r="AS101" s="206"/>
      <c r="AT101" s="6" t="e">
        <f t="shared" ref="AT101:AT106" si="35">F101/AV101</f>
        <v>#N/A</v>
      </c>
      <c r="AU101">
        <f t="shared" ref="AU101:AU106" si="36">B101/D101</f>
        <v>3.2727272727272729</v>
      </c>
      <c r="AV101" t="e">
        <f t="shared" ref="AV101:AV106" si="37">VLOOKUP(AU101,$CA$102:$CB$270,2)</f>
        <v>#N/A</v>
      </c>
      <c r="AY101" t="e">
        <f>0.5*(B101-B100)*AT101</f>
        <v>#N/A</v>
      </c>
      <c r="BA101" s="20">
        <f t="shared" ref="BA101:BA106" si="38">B101</f>
        <v>36</v>
      </c>
      <c r="BB101" s="20">
        <f t="shared" ref="BB101:BB106" si="39">F101/AC101</f>
        <v>0.13333333333333333</v>
      </c>
      <c r="BC101" s="20">
        <v>0.13333333333333333</v>
      </c>
      <c r="BD101" s="15">
        <v>2</v>
      </c>
      <c r="BE101" s="15">
        <f>2/5</f>
        <v>0.4</v>
      </c>
      <c r="BF101" s="15">
        <v>3</v>
      </c>
      <c r="BG101" s="15">
        <f>3/6</f>
        <v>0.5</v>
      </c>
      <c r="BH101" s="15">
        <v>1</v>
      </c>
      <c r="BI101" s="15">
        <f>1/6</f>
        <v>0.16666666666666666</v>
      </c>
      <c r="CF101">
        <v>1</v>
      </c>
      <c r="CG101">
        <f t="shared" ref="CG101:CG132" si="40">CF101*0.009</f>
        <v>8.9999999999999993E-3</v>
      </c>
      <c r="CI101">
        <v>1</v>
      </c>
      <c r="CK101">
        <f>((0.003)*CI101)</f>
        <v>3.0000000000000001E-3</v>
      </c>
      <c r="CL101">
        <f>((-0.0039)*CI101)+0.8478</f>
        <v>0.84389999999999998</v>
      </c>
      <c r="CM101">
        <f t="shared" ref="CM101:CM132" si="41">(0.0002*CI101)+0.1914</f>
        <v>0.19159999999999999</v>
      </c>
      <c r="CN101">
        <f>CK101+CL101</f>
        <v>0.84689999999999999</v>
      </c>
      <c r="CO101">
        <f>CL101+CM101</f>
        <v>1.0354999999999999</v>
      </c>
      <c r="CQ101">
        <v>0.21</v>
      </c>
      <c r="CR101">
        <v>0.5</v>
      </c>
      <c r="CS101">
        <v>0.28000000000000003</v>
      </c>
      <c r="CT101">
        <f>CQ101+CR101</f>
        <v>0.71</v>
      </c>
      <c r="CU101">
        <f>CR101+CS101</f>
        <v>0.78</v>
      </c>
    </row>
    <row r="102" spans="1:99" x14ac:dyDescent="0.25">
      <c r="A102">
        <v>2004</v>
      </c>
      <c r="B102">
        <f t="shared" si="24"/>
        <v>62</v>
      </c>
      <c r="C102" s="12">
        <v>38048</v>
      </c>
      <c r="D102">
        <v>6.6</v>
      </c>
      <c r="F102" s="4">
        <v>21</v>
      </c>
      <c r="AA102" s="1">
        <f>((B102-B101)*F102)-((B102-B101)*(F102-F101)*0.5)</f>
        <v>351</v>
      </c>
      <c r="AC102">
        <f t="shared" si="33"/>
        <v>45</v>
      </c>
      <c r="AF102" s="74">
        <f t="shared" si="16"/>
        <v>38.18181818181818</v>
      </c>
      <c r="AG102" s="11">
        <f t="shared" si="25"/>
        <v>0.55000000000000004</v>
      </c>
      <c r="AH102" s="11"/>
      <c r="AI102" s="11">
        <f>((B102-B101)*AF102)-((B102-B101)*(AF102-AF101)*0.5)</f>
        <v>638.18181818181802</v>
      </c>
      <c r="AJ102" s="152"/>
      <c r="AK102" s="4">
        <f t="shared" si="34"/>
        <v>81.818181818181813</v>
      </c>
      <c r="AL102" s="2"/>
      <c r="AM102" s="11"/>
      <c r="AN102" s="189"/>
      <c r="AO102" s="206"/>
      <c r="AP102" s="189"/>
      <c r="AQ102" s="206"/>
      <c r="AR102" s="189"/>
      <c r="AS102" s="206"/>
      <c r="AT102" s="6" t="e">
        <f t="shared" si="35"/>
        <v>#N/A</v>
      </c>
      <c r="AU102">
        <f t="shared" si="36"/>
        <v>9.3939393939393945</v>
      </c>
      <c r="AV102" t="e">
        <f t="shared" si="37"/>
        <v>#N/A</v>
      </c>
      <c r="AY102" t="e">
        <f>((B102-B101)*AT102)-((B102-B101)*(AT102-AT101)*0.5)</f>
        <v>#N/A</v>
      </c>
      <c r="BA102" s="20">
        <f t="shared" si="38"/>
        <v>62</v>
      </c>
      <c r="BB102" s="20">
        <f t="shared" si="39"/>
        <v>0.46666666666666667</v>
      </c>
      <c r="BC102" s="20">
        <v>0.53333333333333333</v>
      </c>
      <c r="BD102" s="15">
        <v>1</v>
      </c>
      <c r="BE102" s="15">
        <f>1/21</f>
        <v>4.7619047619047616E-2</v>
      </c>
      <c r="BF102" s="15">
        <v>20</v>
      </c>
      <c r="BG102" s="15">
        <f>20/21</f>
        <v>0.95238095238095233</v>
      </c>
      <c r="BH102" s="15">
        <v>0</v>
      </c>
      <c r="BI102" s="15">
        <f>0/21</f>
        <v>0</v>
      </c>
      <c r="CF102">
        <v>2</v>
      </c>
      <c r="CG102">
        <f t="shared" si="40"/>
        <v>1.7999999999999999E-2</v>
      </c>
      <c r="CI102">
        <v>2</v>
      </c>
      <c r="CK102">
        <f t="shared" ref="CK102:CK165" si="42">((0.003)*CI102)</f>
        <v>6.0000000000000001E-3</v>
      </c>
      <c r="CL102">
        <f t="shared" ref="CL102:CL165" si="43">((-0.0039)*CI102)+0.8478</f>
        <v>0.84</v>
      </c>
      <c r="CM102">
        <f t="shared" si="41"/>
        <v>0.1918</v>
      </c>
      <c r="CN102">
        <f t="shared" ref="CN102:CN165" si="44">CK102+CL102</f>
        <v>0.84599999999999997</v>
      </c>
      <c r="CO102">
        <f t="shared" ref="CO102:CO165" si="45">CL102+CM102</f>
        <v>1.0318000000000001</v>
      </c>
      <c r="CQ102">
        <v>0.21</v>
      </c>
      <c r="CR102">
        <v>0.5</v>
      </c>
      <c r="CS102">
        <v>0.28000000000000003</v>
      </c>
      <c r="CT102">
        <f t="shared" ref="CT102:CT165" si="46">CQ102+CR102</f>
        <v>0.71</v>
      </c>
      <c r="CU102">
        <f t="shared" ref="CU102:CU165" si="47">CR102+CS102</f>
        <v>0.78</v>
      </c>
    </row>
    <row r="103" spans="1:99" x14ac:dyDescent="0.25">
      <c r="A103">
        <v>2004</v>
      </c>
      <c r="B103">
        <f t="shared" si="24"/>
        <v>83</v>
      </c>
      <c r="C103" s="12">
        <v>38069</v>
      </c>
      <c r="D103">
        <v>9.1</v>
      </c>
      <c r="F103" s="4">
        <v>24</v>
      </c>
      <c r="AA103" s="1">
        <f>((B103-B102)*F103)-((B103-B102)*(F103-F102)*0.5)</f>
        <v>472.5</v>
      </c>
      <c r="AC103">
        <f t="shared" si="33"/>
        <v>45</v>
      </c>
      <c r="AF103" s="74">
        <f t="shared" si="16"/>
        <v>43.636363636363633</v>
      </c>
      <c r="AG103" s="11">
        <f t="shared" si="25"/>
        <v>0.55000000000000004</v>
      </c>
      <c r="AH103" s="11"/>
      <c r="AI103" s="11">
        <f>((B103-B102)*AF103)-((B103-B102)*(AF103-AF102)*0.5)</f>
        <v>859.09090909090901</v>
      </c>
      <c r="AJ103" s="152"/>
      <c r="AK103" s="4">
        <f t="shared" si="34"/>
        <v>81.818181818181813</v>
      </c>
      <c r="AL103" s="2"/>
      <c r="AM103" s="11"/>
      <c r="AN103" s="189"/>
      <c r="AO103" s="206"/>
      <c r="AP103" s="189"/>
      <c r="AQ103" s="206"/>
      <c r="AR103" s="189"/>
      <c r="AS103" s="206"/>
      <c r="AT103" s="6" t="e">
        <f t="shared" si="35"/>
        <v>#N/A</v>
      </c>
      <c r="AU103">
        <f t="shared" si="36"/>
        <v>9.1208791208791204</v>
      </c>
      <c r="AV103" t="e">
        <f t="shared" si="37"/>
        <v>#N/A</v>
      </c>
      <c r="AY103" t="e">
        <f>((B103-B102)*AT103)-((B103-B102)*(AT103-AT102)*0.5)</f>
        <v>#N/A</v>
      </c>
      <c r="BA103" s="20">
        <f t="shared" si="38"/>
        <v>83</v>
      </c>
      <c r="BB103" s="20">
        <f t="shared" si="39"/>
        <v>0.53333333333333333</v>
      </c>
      <c r="BC103" s="20">
        <v>0.53333333333333333</v>
      </c>
      <c r="BD103" s="15">
        <v>6</v>
      </c>
      <c r="BE103" s="15">
        <f>6/24</f>
        <v>0.25</v>
      </c>
      <c r="BF103" s="15">
        <v>13</v>
      </c>
      <c r="BG103" s="15">
        <f>13/24</f>
        <v>0.54166666666666663</v>
      </c>
      <c r="BH103" s="15">
        <v>5</v>
      </c>
      <c r="BI103" s="15">
        <f>5/24</f>
        <v>0.20833333333333334</v>
      </c>
      <c r="CF103">
        <v>3</v>
      </c>
      <c r="CG103">
        <f t="shared" si="40"/>
        <v>2.6999999999999996E-2</v>
      </c>
      <c r="CI103">
        <v>3</v>
      </c>
      <c r="CK103">
        <f t="shared" si="42"/>
        <v>9.0000000000000011E-3</v>
      </c>
      <c r="CL103">
        <f t="shared" si="43"/>
        <v>0.83609999999999995</v>
      </c>
      <c r="CM103">
        <f t="shared" si="41"/>
        <v>0.19199999999999998</v>
      </c>
      <c r="CN103">
        <f t="shared" si="44"/>
        <v>0.84509999999999996</v>
      </c>
      <c r="CO103">
        <f t="shared" si="45"/>
        <v>1.0281</v>
      </c>
      <c r="CQ103">
        <v>0.21</v>
      </c>
      <c r="CR103">
        <v>0.5</v>
      </c>
      <c r="CS103">
        <v>0.28000000000000003</v>
      </c>
      <c r="CT103">
        <f t="shared" si="46"/>
        <v>0.71</v>
      </c>
      <c r="CU103">
        <f t="shared" si="47"/>
        <v>0.78</v>
      </c>
    </row>
    <row r="104" spans="1:99" x14ac:dyDescent="0.25">
      <c r="A104">
        <v>2004</v>
      </c>
      <c r="B104">
        <f t="shared" si="24"/>
        <v>105</v>
      </c>
      <c r="C104" s="12">
        <v>38091</v>
      </c>
      <c r="D104">
        <v>11.6</v>
      </c>
      <c r="F104" s="4">
        <v>45</v>
      </c>
      <c r="AA104" s="1">
        <f>((B104-B103)*F104)-((B104-B103)*(F104-F103)*0.5)</f>
        <v>759</v>
      </c>
      <c r="AC104">
        <f t="shared" si="33"/>
        <v>45</v>
      </c>
      <c r="AF104" s="74">
        <f t="shared" si="16"/>
        <v>81.818181818181813</v>
      </c>
      <c r="AG104" s="11">
        <f t="shared" si="25"/>
        <v>0.55000000000000004</v>
      </c>
      <c r="AH104" s="11"/>
      <c r="AI104" s="11">
        <f>((B104-B103)*AF104)-((B104-B103)*(AF104-AF103)*0.5)</f>
        <v>1380</v>
      </c>
      <c r="AJ104" s="152"/>
      <c r="AK104" s="4">
        <f t="shared" si="34"/>
        <v>81.818181818181813</v>
      </c>
      <c r="AL104" s="2"/>
      <c r="AM104" s="11"/>
      <c r="AN104" s="189"/>
      <c r="AO104" s="206"/>
      <c r="AP104" s="189"/>
      <c r="AQ104" s="206"/>
      <c r="AR104" s="189"/>
      <c r="AS104" s="206"/>
      <c r="AT104" s="6" t="e">
        <f t="shared" si="35"/>
        <v>#N/A</v>
      </c>
      <c r="AU104">
        <f t="shared" si="36"/>
        <v>9.0517241379310356</v>
      </c>
      <c r="AV104" t="e">
        <f t="shared" si="37"/>
        <v>#N/A</v>
      </c>
      <c r="AY104" t="e">
        <f>((B104-B103)*AT104)-((B104-B103)*(AT104-AT103)*0.5)</f>
        <v>#N/A</v>
      </c>
      <c r="BA104" s="20">
        <f t="shared" si="38"/>
        <v>105</v>
      </c>
      <c r="BB104" s="20">
        <f t="shared" si="39"/>
        <v>1</v>
      </c>
      <c r="BC104" s="20">
        <v>1</v>
      </c>
      <c r="BD104" s="15">
        <v>15</v>
      </c>
      <c r="BE104" s="15">
        <f>15/38</f>
        <v>0.39473684210526316</v>
      </c>
      <c r="BF104" s="15">
        <v>12</v>
      </c>
      <c r="BG104" s="15">
        <f>12/38</f>
        <v>0.31578947368421051</v>
      </c>
      <c r="BH104" s="15">
        <v>11</v>
      </c>
      <c r="BI104" s="15">
        <f>11/38</f>
        <v>0.28947368421052633</v>
      </c>
      <c r="BJ104" s="15">
        <v>7</v>
      </c>
      <c r="CF104">
        <v>4</v>
      </c>
      <c r="CG104">
        <f t="shared" si="40"/>
        <v>3.5999999999999997E-2</v>
      </c>
      <c r="CI104">
        <v>4</v>
      </c>
      <c r="CK104">
        <f t="shared" si="42"/>
        <v>1.2E-2</v>
      </c>
      <c r="CL104">
        <f t="shared" si="43"/>
        <v>0.83220000000000005</v>
      </c>
      <c r="CM104">
        <f t="shared" si="41"/>
        <v>0.19219999999999998</v>
      </c>
      <c r="CN104">
        <f t="shared" si="44"/>
        <v>0.84420000000000006</v>
      </c>
      <c r="CO104">
        <f t="shared" si="45"/>
        <v>1.0244</v>
      </c>
      <c r="CQ104">
        <v>0.21</v>
      </c>
      <c r="CR104">
        <v>0.5</v>
      </c>
      <c r="CS104">
        <v>0.28000000000000003</v>
      </c>
      <c r="CT104">
        <f t="shared" si="46"/>
        <v>0.71</v>
      </c>
      <c r="CU104">
        <f t="shared" si="47"/>
        <v>0.78</v>
      </c>
    </row>
    <row r="105" spans="1:99" x14ac:dyDescent="0.25">
      <c r="A105">
        <v>2004</v>
      </c>
      <c r="B105">
        <f t="shared" si="24"/>
        <v>120</v>
      </c>
      <c r="C105" s="12">
        <v>38106</v>
      </c>
      <c r="D105">
        <v>8.9600000000000009</v>
      </c>
      <c r="F105" s="4">
        <v>41</v>
      </c>
      <c r="AA105" s="1">
        <f>((B105-B104)*F105)-((B105-B104)*(F105-F104)*0.5)</f>
        <v>645</v>
      </c>
      <c r="AC105">
        <f t="shared" si="33"/>
        <v>45</v>
      </c>
      <c r="AF105" s="74">
        <f t="shared" si="16"/>
        <v>74.545454545454533</v>
      </c>
      <c r="AG105" s="11">
        <f t="shared" si="25"/>
        <v>0.55000000000000004</v>
      </c>
      <c r="AH105" s="11"/>
      <c r="AI105" s="11">
        <f>((B105-B104)*AF105)-((B105-B104)*(AF105-AF104)*0.5)</f>
        <v>1172.7272727272725</v>
      </c>
      <c r="AJ105" s="152"/>
      <c r="AK105" s="4">
        <f t="shared" si="34"/>
        <v>81.818181818181813</v>
      </c>
      <c r="AL105" s="2"/>
      <c r="AM105" s="11"/>
      <c r="AN105" s="189"/>
      <c r="AO105" s="206"/>
      <c r="AP105" s="189"/>
      <c r="AQ105" s="206"/>
      <c r="AR105" s="189"/>
      <c r="AS105" s="206"/>
      <c r="AT105" s="6" t="e">
        <f t="shared" si="35"/>
        <v>#N/A</v>
      </c>
      <c r="AU105">
        <f t="shared" si="36"/>
        <v>13.392857142857142</v>
      </c>
      <c r="AV105" t="e">
        <f t="shared" si="37"/>
        <v>#N/A</v>
      </c>
      <c r="AY105" t="e">
        <f>((B105-B104)*AT105)-((B105-B104)*(AT105-AT104)*0.5)</f>
        <v>#N/A</v>
      </c>
      <c r="BA105" s="20">
        <f t="shared" si="38"/>
        <v>120</v>
      </c>
      <c r="BB105" s="20">
        <f t="shared" si="39"/>
        <v>0.91111111111111109</v>
      </c>
      <c r="BD105" s="15">
        <v>4</v>
      </c>
      <c r="BE105" s="15">
        <f>4/40</f>
        <v>0.1</v>
      </c>
      <c r="BF105" s="15">
        <v>28</v>
      </c>
      <c r="BG105" s="15">
        <f>28/40</f>
        <v>0.7</v>
      </c>
      <c r="BH105" s="15">
        <v>8</v>
      </c>
      <c r="BI105" s="15">
        <f>8/40</f>
        <v>0.2</v>
      </c>
      <c r="BJ105" s="15">
        <v>1</v>
      </c>
      <c r="CF105">
        <v>5</v>
      </c>
      <c r="CG105">
        <f t="shared" si="40"/>
        <v>4.4999999999999998E-2</v>
      </c>
      <c r="CI105">
        <v>5</v>
      </c>
      <c r="CK105">
        <f t="shared" si="42"/>
        <v>1.4999999999999999E-2</v>
      </c>
      <c r="CL105">
        <f t="shared" si="43"/>
        <v>0.82830000000000004</v>
      </c>
      <c r="CM105">
        <f t="shared" si="41"/>
        <v>0.19239999999999999</v>
      </c>
      <c r="CN105">
        <f t="shared" si="44"/>
        <v>0.84330000000000005</v>
      </c>
      <c r="CO105">
        <f t="shared" si="45"/>
        <v>1.0206999999999999</v>
      </c>
      <c r="CQ105">
        <v>0.21</v>
      </c>
      <c r="CR105">
        <v>0.5</v>
      </c>
      <c r="CS105">
        <v>0.28000000000000003</v>
      </c>
      <c r="CT105">
        <f t="shared" si="46"/>
        <v>0.71</v>
      </c>
      <c r="CU105">
        <f t="shared" si="47"/>
        <v>0.78</v>
      </c>
    </row>
    <row r="106" spans="1:99" x14ac:dyDescent="0.25">
      <c r="A106">
        <v>2004</v>
      </c>
      <c r="B106">
        <f t="shared" si="24"/>
        <v>135</v>
      </c>
      <c r="C106" s="12">
        <v>38121</v>
      </c>
      <c r="D106">
        <v>5.93</v>
      </c>
      <c r="F106" s="4">
        <v>26</v>
      </c>
      <c r="AA106" s="1">
        <f>((B106-B105)*F106)-((B106-B105)*(F106-F105)*0.5)</f>
        <v>502.5</v>
      </c>
      <c r="AC106">
        <f>AC107</f>
        <v>45</v>
      </c>
      <c r="AF106" s="74">
        <f t="shared" si="16"/>
        <v>47.272727272727266</v>
      </c>
      <c r="AG106" s="11">
        <f t="shared" si="25"/>
        <v>0.55000000000000004</v>
      </c>
      <c r="AH106" s="11"/>
      <c r="AI106" s="11">
        <f>((B106-B105)*AF106)-((B106-B105)*(AF106-AF105)*0.5)</f>
        <v>913.63636363636351</v>
      </c>
      <c r="AJ106" s="152"/>
      <c r="AK106" s="4">
        <f t="shared" si="34"/>
        <v>81.818181818181813</v>
      </c>
      <c r="AL106" s="2"/>
      <c r="AM106" s="11"/>
      <c r="AN106" s="189"/>
      <c r="AO106" s="206"/>
      <c r="AP106" s="189"/>
      <c r="AQ106" s="206"/>
      <c r="AR106" s="189"/>
      <c r="AS106" s="206"/>
      <c r="AT106" s="6" t="e">
        <f t="shared" si="35"/>
        <v>#N/A</v>
      </c>
      <c r="AU106">
        <f t="shared" si="36"/>
        <v>22.765598650927487</v>
      </c>
      <c r="AV106" t="e">
        <f t="shared" si="37"/>
        <v>#N/A</v>
      </c>
      <c r="AY106" t="e">
        <f>((B106-B105)*AT106)-((B106-B105)*(AT106-AT105)*0.5)</f>
        <v>#N/A</v>
      </c>
      <c r="BA106" s="20">
        <f t="shared" si="38"/>
        <v>135</v>
      </c>
      <c r="BB106" s="20">
        <f t="shared" si="39"/>
        <v>0.57777777777777772</v>
      </c>
      <c r="BD106" s="15">
        <v>4</v>
      </c>
      <c r="BE106" s="15">
        <f>4/26</f>
        <v>0.15384615384615385</v>
      </c>
      <c r="BF106" s="15">
        <v>7</v>
      </c>
      <c r="BG106" s="15">
        <f>7/26</f>
        <v>0.26923076923076922</v>
      </c>
      <c r="BH106" s="15">
        <v>15</v>
      </c>
      <c r="BI106" s="15">
        <f>15/26</f>
        <v>0.57692307692307687</v>
      </c>
      <c r="CF106">
        <v>6</v>
      </c>
      <c r="CG106">
        <f t="shared" si="40"/>
        <v>5.3999999999999992E-2</v>
      </c>
      <c r="CI106">
        <v>6</v>
      </c>
      <c r="CK106">
        <f t="shared" si="42"/>
        <v>1.8000000000000002E-2</v>
      </c>
      <c r="CL106">
        <f t="shared" si="43"/>
        <v>0.82440000000000002</v>
      </c>
      <c r="CM106">
        <f t="shared" si="41"/>
        <v>0.19259999999999999</v>
      </c>
      <c r="CN106">
        <f t="shared" si="44"/>
        <v>0.84240000000000004</v>
      </c>
      <c r="CO106">
        <f t="shared" si="45"/>
        <v>1.0169999999999999</v>
      </c>
      <c r="CQ106">
        <v>0.21</v>
      </c>
      <c r="CR106">
        <v>0.5</v>
      </c>
      <c r="CS106">
        <v>0.28000000000000003</v>
      </c>
      <c r="CT106">
        <f t="shared" si="46"/>
        <v>0.71</v>
      </c>
      <c r="CU106">
        <f t="shared" si="47"/>
        <v>0.78</v>
      </c>
    </row>
    <row r="107" spans="1:99" x14ac:dyDescent="0.25">
      <c r="A107">
        <v>2004</v>
      </c>
      <c r="B107">
        <f t="shared" si="24"/>
        <v>152</v>
      </c>
      <c r="C107" s="12">
        <v>38138</v>
      </c>
      <c r="F107" s="4">
        <v>0</v>
      </c>
      <c r="AA107" s="1">
        <f>0.5*(B107-B106)*F106</f>
        <v>221</v>
      </c>
      <c r="AB107">
        <f>AE107/$AE$1</f>
        <v>61.12</v>
      </c>
      <c r="AC107">
        <f>MAX(F100:F107)</f>
        <v>45</v>
      </c>
      <c r="AD107" s="2">
        <f>AB107/AC107</f>
        <v>1.3582222222222222</v>
      </c>
      <c r="AE107" s="182">
        <f>SUM(AA101:AA107)</f>
        <v>3056</v>
      </c>
      <c r="AF107" s="74">
        <f t="shared" si="16"/>
        <v>0</v>
      </c>
      <c r="AG107" s="11">
        <f t="shared" si="25"/>
        <v>0.55000000000000004</v>
      </c>
      <c r="AH107" s="11"/>
      <c r="AI107" s="11">
        <f>0.5*(B107-B106)*AF106</f>
        <v>401.81818181818176</v>
      </c>
      <c r="AJ107" s="151">
        <f>AM107/$AM$1</f>
        <v>111.12727272727273</v>
      </c>
      <c r="AK107" s="4">
        <f t="shared" si="34"/>
        <v>81.818181818181813</v>
      </c>
      <c r="AL107" s="2">
        <f>AJ107/AK107</f>
        <v>1.3582222222222222</v>
      </c>
      <c r="AM107" s="11">
        <f>SUM(AI101:AI107)</f>
        <v>5556.363636363636</v>
      </c>
      <c r="AN107" s="189">
        <v>334</v>
      </c>
      <c r="AO107" s="206">
        <v>3</v>
      </c>
      <c r="AP107" s="193">
        <f>AN107</f>
        <v>334</v>
      </c>
      <c r="AQ107" s="206">
        <v>132</v>
      </c>
      <c r="AR107" s="189">
        <v>2.93</v>
      </c>
      <c r="AS107" s="206">
        <f>AK107*$AR$177</f>
        <v>0</v>
      </c>
      <c r="AT107" s="6">
        <v>0</v>
      </c>
      <c r="AW107" t="e">
        <f>AZ107/$AZ$1</f>
        <v>#N/A</v>
      </c>
      <c r="AX107" s="1" t="e">
        <f>AW107/AC107</f>
        <v>#N/A</v>
      </c>
      <c r="AY107" t="e">
        <f>0.5*(B107-B106)*AT106</f>
        <v>#N/A</v>
      </c>
      <c r="AZ107" s="5" t="e">
        <f>SUM(AY100:AY107)</f>
        <v>#N/A</v>
      </c>
      <c r="CF107">
        <v>7</v>
      </c>
      <c r="CG107">
        <f t="shared" si="40"/>
        <v>6.3E-2</v>
      </c>
      <c r="CI107">
        <v>7</v>
      </c>
      <c r="CK107">
        <f t="shared" si="42"/>
        <v>2.1000000000000001E-2</v>
      </c>
      <c r="CL107">
        <f t="shared" si="43"/>
        <v>0.82050000000000001</v>
      </c>
      <c r="CM107">
        <f t="shared" si="41"/>
        <v>0.1928</v>
      </c>
      <c r="CN107">
        <f t="shared" si="44"/>
        <v>0.84150000000000003</v>
      </c>
      <c r="CO107">
        <f t="shared" si="45"/>
        <v>1.0133000000000001</v>
      </c>
      <c r="CQ107">
        <v>0.21</v>
      </c>
      <c r="CR107">
        <v>0.5</v>
      </c>
      <c r="CS107">
        <v>0.28000000000000003</v>
      </c>
      <c r="CT107">
        <f t="shared" si="46"/>
        <v>0.71</v>
      </c>
      <c r="CU107">
        <f t="shared" si="47"/>
        <v>0.78</v>
      </c>
    </row>
    <row r="108" spans="1:99" s="75" customFormat="1" x14ac:dyDescent="0.25">
      <c r="A108" s="75">
        <v>2005</v>
      </c>
      <c r="B108" s="75">
        <f t="shared" si="24"/>
        <v>1</v>
      </c>
      <c r="C108" s="94">
        <v>38353</v>
      </c>
      <c r="F108" s="95">
        <v>0</v>
      </c>
      <c r="G108" s="96"/>
      <c r="O108" s="97"/>
      <c r="P108" s="96"/>
      <c r="X108" s="98"/>
      <c r="Z108" s="98"/>
      <c r="AA108" s="86"/>
      <c r="AC108" s="75">
        <f>AC109</f>
        <v>61</v>
      </c>
      <c r="AD108" s="109"/>
      <c r="AE108" s="99"/>
      <c r="AF108" s="74">
        <f t="shared" si="16"/>
        <v>0</v>
      </c>
      <c r="AG108" s="77">
        <f t="shared" si="25"/>
        <v>0.55000000000000004</v>
      </c>
      <c r="AH108" s="77"/>
      <c r="AI108" s="77"/>
      <c r="AJ108" s="152"/>
      <c r="AK108" s="95">
        <f t="shared" ref="AK108:AK113" si="48">MAX($F$108:$F$113)/AG108</f>
        <v>110.90909090909091</v>
      </c>
      <c r="AL108" s="109"/>
      <c r="AM108" s="77"/>
      <c r="AN108" s="189"/>
      <c r="AO108" s="206"/>
      <c r="AP108" s="189"/>
      <c r="AQ108" s="206"/>
      <c r="AR108" s="189"/>
      <c r="AS108" s="206"/>
      <c r="AT108" s="100">
        <v>0</v>
      </c>
      <c r="AX108" s="86"/>
      <c r="AZ108" s="99"/>
      <c r="CF108" s="75">
        <v>8</v>
      </c>
      <c r="CG108" s="75">
        <f t="shared" si="40"/>
        <v>7.1999999999999995E-2</v>
      </c>
      <c r="CI108" s="75">
        <v>8</v>
      </c>
      <c r="CK108" s="75">
        <f t="shared" si="42"/>
        <v>2.4E-2</v>
      </c>
      <c r="CL108" s="75">
        <f t="shared" si="43"/>
        <v>0.81659999999999999</v>
      </c>
      <c r="CM108" s="75">
        <f t="shared" si="41"/>
        <v>0.19299999999999998</v>
      </c>
      <c r="CN108" s="75">
        <f t="shared" si="44"/>
        <v>0.84060000000000001</v>
      </c>
      <c r="CO108" s="75">
        <f t="shared" si="45"/>
        <v>1.0096000000000001</v>
      </c>
      <c r="CQ108" s="75">
        <v>0.21</v>
      </c>
      <c r="CR108" s="75">
        <v>0.5</v>
      </c>
      <c r="CS108" s="75">
        <v>0.28000000000000003</v>
      </c>
      <c r="CT108" s="75">
        <f t="shared" si="46"/>
        <v>0.71</v>
      </c>
      <c r="CU108" s="75">
        <f t="shared" si="47"/>
        <v>0.78</v>
      </c>
    </row>
    <row r="109" spans="1:99" s="75" customFormat="1" x14ac:dyDescent="0.25">
      <c r="A109" s="75">
        <v>2005</v>
      </c>
      <c r="B109" s="75">
        <f t="shared" si="24"/>
        <v>42</v>
      </c>
      <c r="C109" s="94">
        <v>38394</v>
      </c>
      <c r="D109" s="75">
        <v>12</v>
      </c>
      <c r="F109" s="95">
        <v>9</v>
      </c>
      <c r="G109" s="96"/>
      <c r="O109" s="97"/>
      <c r="P109" s="96"/>
      <c r="X109" s="98"/>
      <c r="Z109" s="98"/>
      <c r="AA109" s="86">
        <f>0.5*(B109-B108)*F109</f>
        <v>184.5</v>
      </c>
      <c r="AC109" s="75">
        <f>AC110</f>
        <v>61</v>
      </c>
      <c r="AD109" s="109"/>
      <c r="AE109" s="99"/>
      <c r="AF109" s="74">
        <f t="shared" si="16"/>
        <v>16.363636363636363</v>
      </c>
      <c r="AG109" s="77">
        <f t="shared" si="25"/>
        <v>0.55000000000000004</v>
      </c>
      <c r="AH109" s="77"/>
      <c r="AI109" s="77">
        <v>86.36363636363636</v>
      </c>
      <c r="AJ109" s="152"/>
      <c r="AK109" s="95">
        <f t="shared" si="48"/>
        <v>110.90909090909091</v>
      </c>
      <c r="AL109" s="109"/>
      <c r="AM109" s="77"/>
      <c r="AN109" s="189"/>
      <c r="AO109" s="206"/>
      <c r="AP109" s="189"/>
      <c r="AQ109" s="206"/>
      <c r="AR109" s="189"/>
      <c r="AS109" s="206"/>
      <c r="AT109" s="100" t="e">
        <f t="shared" ref="AT109:AT118" si="49">F109/AV109</f>
        <v>#N/A</v>
      </c>
      <c r="AU109" s="75">
        <f>B109/D109</f>
        <v>3.5</v>
      </c>
      <c r="AV109" s="75" t="e">
        <f t="shared" ref="AV109:AV118" si="50">VLOOKUP(AU109,$CA$102:$CB$270,2)</f>
        <v>#N/A</v>
      </c>
      <c r="AX109" s="86"/>
      <c r="AY109" s="75" t="e">
        <f>0.5*(B109-B108)*AT109</f>
        <v>#N/A</v>
      </c>
      <c r="AZ109" s="99"/>
      <c r="BA109" s="75">
        <f>B109</f>
        <v>42</v>
      </c>
      <c r="BB109" s="75">
        <f>F109/AC109</f>
        <v>0.14754098360655737</v>
      </c>
      <c r="BC109" s="75">
        <v>0.14754098360655737</v>
      </c>
      <c r="BD109" s="75">
        <v>1</v>
      </c>
      <c r="BE109" s="75">
        <f>1/9</f>
        <v>0.1111111111111111</v>
      </c>
      <c r="BF109" s="75">
        <v>6</v>
      </c>
      <c r="BG109" s="75">
        <f>6/9</f>
        <v>0.66666666666666663</v>
      </c>
      <c r="BH109" s="75">
        <v>1</v>
      </c>
      <c r="BI109" s="75">
        <f>1/9</f>
        <v>0.1111111111111111</v>
      </c>
      <c r="CF109" s="75">
        <v>9</v>
      </c>
      <c r="CG109" s="75">
        <f t="shared" si="40"/>
        <v>8.0999999999999989E-2</v>
      </c>
      <c r="CI109" s="75">
        <v>9</v>
      </c>
      <c r="CK109" s="75">
        <f t="shared" si="42"/>
        <v>2.7E-2</v>
      </c>
      <c r="CL109" s="75">
        <f t="shared" si="43"/>
        <v>0.81269999999999998</v>
      </c>
      <c r="CM109" s="75">
        <f t="shared" si="41"/>
        <v>0.19319999999999998</v>
      </c>
      <c r="CN109" s="75">
        <f t="shared" si="44"/>
        <v>0.8397</v>
      </c>
      <c r="CO109" s="75">
        <f t="shared" si="45"/>
        <v>1.0059</v>
      </c>
      <c r="CQ109" s="75">
        <v>0.21</v>
      </c>
      <c r="CR109" s="75">
        <v>0.5</v>
      </c>
      <c r="CS109" s="75">
        <v>0.28000000000000003</v>
      </c>
      <c r="CT109" s="75">
        <f t="shared" si="46"/>
        <v>0.71</v>
      </c>
      <c r="CU109" s="75">
        <f t="shared" si="47"/>
        <v>0.78</v>
      </c>
    </row>
    <row r="110" spans="1:99" s="75" customFormat="1" x14ac:dyDescent="0.25">
      <c r="A110" s="75">
        <v>2005</v>
      </c>
      <c r="B110" s="75">
        <f t="shared" si="24"/>
        <v>67</v>
      </c>
      <c r="C110" s="94">
        <v>38419</v>
      </c>
      <c r="D110" s="75">
        <v>10.4</v>
      </c>
      <c r="F110" s="95">
        <v>32</v>
      </c>
      <c r="G110" s="96"/>
      <c r="O110" s="97"/>
      <c r="P110" s="96"/>
      <c r="X110" s="98"/>
      <c r="Z110" s="98"/>
      <c r="AA110" s="86">
        <f>((B110-B109)*F110)-((B110-B109)*(F110-F109)*0.5)</f>
        <v>512.5</v>
      </c>
      <c r="AC110" s="75">
        <f>AC111</f>
        <v>61</v>
      </c>
      <c r="AD110" s="109"/>
      <c r="AE110" s="99"/>
      <c r="AF110" s="74">
        <f t="shared" si="16"/>
        <v>58.18181818181818</v>
      </c>
      <c r="AG110" s="77">
        <f t="shared" si="25"/>
        <v>0.55000000000000004</v>
      </c>
      <c r="AH110" s="77"/>
      <c r="AI110" s="77">
        <f>((B110-B109)*AF110)-((B110-B109)*(AF110-AF109)*0.5)</f>
        <v>931.81818181818187</v>
      </c>
      <c r="AJ110" s="152"/>
      <c r="AK110" s="95">
        <f t="shared" si="48"/>
        <v>110.90909090909091</v>
      </c>
      <c r="AL110" s="109"/>
      <c r="AM110" s="77"/>
      <c r="AN110" s="189"/>
      <c r="AO110" s="206"/>
      <c r="AP110" s="189"/>
      <c r="AQ110" s="206"/>
      <c r="AR110" s="189"/>
      <c r="AS110" s="206"/>
      <c r="AT110" s="100" t="e">
        <f t="shared" si="49"/>
        <v>#N/A</v>
      </c>
      <c r="AU110" s="75">
        <f>B110/D110</f>
        <v>6.4423076923076925</v>
      </c>
      <c r="AV110" s="75" t="e">
        <f t="shared" si="50"/>
        <v>#N/A</v>
      </c>
      <c r="AX110" s="86"/>
      <c r="AY110" s="75" t="e">
        <f>((B110-B109)*AT110)-((B110-B109)*(AT110-AT109)*0.5)</f>
        <v>#N/A</v>
      </c>
      <c r="AZ110" s="99"/>
      <c r="BA110" s="75">
        <f>B110</f>
        <v>67</v>
      </c>
      <c r="BB110" s="75">
        <f>F110/AC110</f>
        <v>0.52459016393442626</v>
      </c>
      <c r="BC110" s="75">
        <v>0.52459016393442626</v>
      </c>
      <c r="BD110" s="75">
        <v>3</v>
      </c>
      <c r="BE110" s="75">
        <f>3/32</f>
        <v>9.375E-2</v>
      </c>
      <c r="BF110" s="75">
        <v>18</v>
      </c>
      <c r="BG110" s="75">
        <f>18/32</f>
        <v>0.5625</v>
      </c>
      <c r="BH110" s="75">
        <v>10</v>
      </c>
      <c r="BI110" s="75">
        <f>10/32</f>
        <v>0.3125</v>
      </c>
      <c r="CF110" s="75">
        <v>10</v>
      </c>
      <c r="CG110" s="75">
        <f t="shared" si="40"/>
        <v>0.09</v>
      </c>
      <c r="CI110" s="75">
        <v>10</v>
      </c>
      <c r="CK110" s="75">
        <f t="shared" si="42"/>
        <v>0.03</v>
      </c>
      <c r="CL110" s="75">
        <f t="shared" si="43"/>
        <v>0.80879999999999996</v>
      </c>
      <c r="CM110" s="75">
        <f t="shared" si="41"/>
        <v>0.19339999999999999</v>
      </c>
      <c r="CN110" s="75">
        <f t="shared" si="44"/>
        <v>0.83879999999999999</v>
      </c>
      <c r="CO110" s="75">
        <f t="shared" si="45"/>
        <v>1.0022</v>
      </c>
      <c r="CQ110" s="75">
        <v>0.21</v>
      </c>
      <c r="CR110" s="75">
        <v>0.5</v>
      </c>
      <c r="CS110" s="75">
        <v>0.28000000000000003</v>
      </c>
      <c r="CT110" s="75">
        <f t="shared" si="46"/>
        <v>0.71</v>
      </c>
      <c r="CU110" s="75">
        <f t="shared" si="47"/>
        <v>0.78</v>
      </c>
    </row>
    <row r="111" spans="1:99" s="75" customFormat="1" x14ac:dyDescent="0.25">
      <c r="A111" s="75">
        <v>2005</v>
      </c>
      <c r="B111" s="75">
        <f t="shared" si="24"/>
        <v>105</v>
      </c>
      <c r="C111" s="94">
        <v>38457</v>
      </c>
      <c r="D111" s="75">
        <v>14.63</v>
      </c>
      <c r="F111" s="95">
        <v>61</v>
      </c>
      <c r="G111" s="96"/>
      <c r="O111" s="97"/>
      <c r="P111" s="96"/>
      <c r="X111" s="98"/>
      <c r="Z111" s="98"/>
      <c r="AA111" s="86">
        <f>((B111-B110)*F111)-((B111-B110)*(F111-F110)*0.5)</f>
        <v>1767</v>
      </c>
      <c r="AC111" s="75">
        <f>AC112</f>
        <v>61</v>
      </c>
      <c r="AD111" s="109"/>
      <c r="AE111" s="99"/>
      <c r="AF111" s="74">
        <f t="shared" si="16"/>
        <v>110.90909090909091</v>
      </c>
      <c r="AG111" s="77">
        <f t="shared" si="25"/>
        <v>0.55000000000000004</v>
      </c>
      <c r="AH111" s="77"/>
      <c r="AI111" s="77">
        <f>((B111-B110)*AF111)-((B111-B110)*(AF111-AF110)*0.5)</f>
        <v>3212.7272727272721</v>
      </c>
      <c r="AJ111" s="152"/>
      <c r="AK111" s="95">
        <f t="shared" si="48"/>
        <v>110.90909090909091</v>
      </c>
      <c r="AL111" s="109"/>
      <c r="AM111" s="77"/>
      <c r="AN111" s="189"/>
      <c r="AO111" s="206"/>
      <c r="AP111" s="189"/>
      <c r="AQ111" s="206"/>
      <c r="AR111" s="189"/>
      <c r="AS111" s="206"/>
      <c r="AT111" s="100" t="e">
        <f t="shared" si="49"/>
        <v>#N/A</v>
      </c>
      <c r="AU111" s="75">
        <f>B111/D111</f>
        <v>7.1770334928229662</v>
      </c>
      <c r="AV111" s="75" t="e">
        <f t="shared" si="50"/>
        <v>#N/A</v>
      </c>
      <c r="AX111" s="86"/>
      <c r="AY111" s="75" t="e">
        <f>((B111-B110)*AT111)-((B111-B110)*(AT111-AT110)*0.5)</f>
        <v>#N/A</v>
      </c>
      <c r="AZ111" s="99"/>
      <c r="BA111" s="75">
        <f>B111</f>
        <v>105</v>
      </c>
      <c r="BB111" s="75">
        <f>F111/AC111</f>
        <v>1</v>
      </c>
      <c r="BC111" s="75">
        <v>1</v>
      </c>
      <c r="BD111" s="75">
        <v>11</v>
      </c>
      <c r="BE111" s="75">
        <f>11/59</f>
        <v>0.1864406779661017</v>
      </c>
      <c r="BF111" s="75">
        <v>29</v>
      </c>
      <c r="BG111" s="75">
        <f>29/59</f>
        <v>0.49152542372881358</v>
      </c>
      <c r="BH111" s="75">
        <v>19</v>
      </c>
      <c r="BI111" s="75">
        <f>19/59</f>
        <v>0.32203389830508472</v>
      </c>
      <c r="BJ111" s="75">
        <v>2</v>
      </c>
      <c r="CF111" s="75">
        <v>11</v>
      </c>
      <c r="CG111" s="75">
        <f t="shared" si="40"/>
        <v>9.8999999999999991E-2</v>
      </c>
      <c r="CI111" s="75">
        <v>11</v>
      </c>
      <c r="CK111" s="75">
        <f t="shared" si="42"/>
        <v>3.3000000000000002E-2</v>
      </c>
      <c r="CL111" s="75">
        <f t="shared" si="43"/>
        <v>0.80489999999999995</v>
      </c>
      <c r="CM111" s="75">
        <f t="shared" si="41"/>
        <v>0.19359999999999999</v>
      </c>
      <c r="CN111" s="75">
        <f t="shared" si="44"/>
        <v>0.83789999999999998</v>
      </c>
      <c r="CO111" s="75">
        <f t="shared" si="45"/>
        <v>0.99849999999999994</v>
      </c>
      <c r="CQ111" s="75">
        <v>0.21</v>
      </c>
      <c r="CR111" s="75">
        <v>0.5</v>
      </c>
      <c r="CS111" s="75">
        <v>0.28000000000000003</v>
      </c>
      <c r="CT111" s="75">
        <f t="shared" si="46"/>
        <v>0.71</v>
      </c>
      <c r="CU111" s="75">
        <f t="shared" si="47"/>
        <v>0.78</v>
      </c>
    </row>
    <row r="112" spans="1:99" s="75" customFormat="1" x14ac:dyDescent="0.25">
      <c r="A112" s="75">
        <v>2005</v>
      </c>
      <c r="B112" s="75">
        <f t="shared" si="24"/>
        <v>119</v>
      </c>
      <c r="C112" s="94">
        <v>38471</v>
      </c>
      <c r="D112" s="75">
        <v>16.3</v>
      </c>
      <c r="F112" s="95">
        <v>47</v>
      </c>
      <c r="G112" s="96"/>
      <c r="O112" s="97"/>
      <c r="P112" s="96"/>
      <c r="X112" s="98"/>
      <c r="Z112" s="98"/>
      <c r="AA112" s="86">
        <f>((B112-B111)*F112)-((B112-B111)*(F112-F111)*0.5)</f>
        <v>756</v>
      </c>
      <c r="AC112" s="75">
        <f>AC113</f>
        <v>61</v>
      </c>
      <c r="AD112" s="109"/>
      <c r="AE112" s="99"/>
      <c r="AF112" s="74">
        <f t="shared" si="16"/>
        <v>85.454545454545453</v>
      </c>
      <c r="AG112" s="77">
        <f t="shared" si="25"/>
        <v>0.55000000000000004</v>
      </c>
      <c r="AH112" s="77"/>
      <c r="AI112" s="77">
        <f>((B112-B111)*AF112)-((B112-B111)*(AF112-AF111)*0.5)</f>
        <v>1374.5454545454545</v>
      </c>
      <c r="AJ112" s="152"/>
      <c r="AK112" s="95">
        <f t="shared" si="48"/>
        <v>110.90909090909091</v>
      </c>
      <c r="AL112" s="109"/>
      <c r="AM112" s="77"/>
      <c r="AN112" s="189"/>
      <c r="AO112" s="206"/>
      <c r="AP112" s="189"/>
      <c r="AQ112" s="206"/>
      <c r="AR112" s="189"/>
      <c r="AS112" s="206"/>
      <c r="AT112" s="100" t="e">
        <f t="shared" si="49"/>
        <v>#N/A</v>
      </c>
      <c r="AU112" s="75">
        <f>B112/D112</f>
        <v>7.3006134969325149</v>
      </c>
      <c r="AV112" s="75" t="e">
        <f t="shared" si="50"/>
        <v>#N/A</v>
      </c>
      <c r="AX112" s="86"/>
      <c r="AY112" s="75" t="e">
        <f>((B112-B111)*AT112)-((B112-B111)*(AT112-AT111)*0.5)</f>
        <v>#N/A</v>
      </c>
      <c r="AZ112" s="99"/>
      <c r="BA112" s="75">
        <f>B112</f>
        <v>119</v>
      </c>
      <c r="BB112" s="75">
        <f>F112/AC112</f>
        <v>0.77049180327868849</v>
      </c>
      <c r="BD112" s="75">
        <v>10</v>
      </c>
      <c r="BE112" s="75">
        <f>10/45</f>
        <v>0.22222222222222221</v>
      </c>
      <c r="BF112" s="75">
        <v>16</v>
      </c>
      <c r="BG112" s="75">
        <f>16/45</f>
        <v>0.35555555555555557</v>
      </c>
      <c r="BH112" s="75">
        <v>19</v>
      </c>
      <c r="BI112" s="75">
        <f>19/45</f>
        <v>0.42222222222222222</v>
      </c>
      <c r="BJ112" s="75">
        <v>2</v>
      </c>
      <c r="CF112" s="75">
        <v>12</v>
      </c>
      <c r="CG112" s="75">
        <f t="shared" si="40"/>
        <v>0.10799999999999998</v>
      </c>
      <c r="CI112" s="75">
        <v>12</v>
      </c>
      <c r="CK112" s="75">
        <f t="shared" si="42"/>
        <v>3.6000000000000004E-2</v>
      </c>
      <c r="CL112" s="75">
        <f t="shared" si="43"/>
        <v>0.80100000000000005</v>
      </c>
      <c r="CM112" s="75">
        <f t="shared" si="41"/>
        <v>0.1938</v>
      </c>
      <c r="CN112" s="75">
        <f t="shared" si="44"/>
        <v>0.83700000000000008</v>
      </c>
      <c r="CO112" s="75">
        <f t="shared" si="45"/>
        <v>0.99480000000000002</v>
      </c>
      <c r="CQ112" s="75">
        <v>0.21</v>
      </c>
      <c r="CR112" s="75">
        <v>0.5</v>
      </c>
      <c r="CS112" s="75">
        <v>0.28000000000000003</v>
      </c>
      <c r="CT112" s="75">
        <f t="shared" si="46"/>
        <v>0.71</v>
      </c>
      <c r="CU112" s="75">
        <f t="shared" si="47"/>
        <v>0.78</v>
      </c>
    </row>
    <row r="113" spans="1:99" s="75" customFormat="1" x14ac:dyDescent="0.25">
      <c r="A113" s="75">
        <v>2005</v>
      </c>
      <c r="B113" s="75">
        <f t="shared" si="24"/>
        <v>151</v>
      </c>
      <c r="C113" s="94">
        <v>38503</v>
      </c>
      <c r="F113" s="95">
        <v>0</v>
      </c>
      <c r="G113" s="96"/>
      <c r="O113" s="97"/>
      <c r="P113" s="96"/>
      <c r="X113" s="98"/>
      <c r="Z113" s="98"/>
      <c r="AA113" s="86">
        <f>0.5*(B113-B112)*F112</f>
        <v>752</v>
      </c>
      <c r="AB113" s="75">
        <f>AE113/$AE$1</f>
        <v>79.44</v>
      </c>
      <c r="AC113" s="75">
        <f>MAX(F108:F113)</f>
        <v>61</v>
      </c>
      <c r="AD113" s="109">
        <f>AB113/AC113</f>
        <v>1.302295081967213</v>
      </c>
      <c r="AE113" s="183">
        <f>SUM(AA108:AA113)</f>
        <v>3972</v>
      </c>
      <c r="AF113" s="74">
        <f t="shared" si="16"/>
        <v>0</v>
      </c>
      <c r="AG113" s="77">
        <f t="shared" si="25"/>
        <v>0.55000000000000004</v>
      </c>
      <c r="AH113" s="77"/>
      <c r="AI113" s="77">
        <f>0.5*(B113-B112)*AF112</f>
        <v>1367.2727272727273</v>
      </c>
      <c r="AJ113" s="152">
        <f>AM113/$AM$1</f>
        <v>139.45454545454541</v>
      </c>
      <c r="AK113" s="95">
        <f t="shared" si="48"/>
        <v>110.90909090909091</v>
      </c>
      <c r="AL113" s="109">
        <f>AJ113/AK113</f>
        <v>1.2573770491803276</v>
      </c>
      <c r="AM113" s="77">
        <f>SUM(AI108:AI113)</f>
        <v>6972.7272727272712</v>
      </c>
      <c r="AN113" s="189">
        <v>157</v>
      </c>
      <c r="AO113" s="206">
        <v>2.64</v>
      </c>
      <c r="AP113" s="193">
        <f>AN113</f>
        <v>157</v>
      </c>
      <c r="AQ113" s="206">
        <v>161</v>
      </c>
      <c r="AR113" s="189">
        <v>2.64</v>
      </c>
      <c r="AS113" s="206">
        <f>AK113*$AR$177</f>
        <v>0</v>
      </c>
      <c r="AT113" s="100" t="e">
        <f t="shared" si="49"/>
        <v>#N/A</v>
      </c>
      <c r="AV113" s="75" t="e">
        <f t="shared" si="50"/>
        <v>#N/A</v>
      </c>
      <c r="AW113" s="75" t="e">
        <f>AZ113/$AZ$1</f>
        <v>#N/A</v>
      </c>
      <c r="AX113" s="86" t="e">
        <f>AW113/AC113</f>
        <v>#N/A</v>
      </c>
      <c r="AY113" s="75" t="e">
        <f>0.5*(B113-B112)*AT112</f>
        <v>#N/A</v>
      </c>
      <c r="AZ113" s="99" t="e">
        <f>SUM(AY108:AY113)</f>
        <v>#N/A</v>
      </c>
      <c r="CF113" s="75">
        <v>13</v>
      </c>
      <c r="CG113" s="75">
        <f t="shared" si="40"/>
        <v>0.11699999999999999</v>
      </c>
      <c r="CI113" s="75">
        <v>13</v>
      </c>
      <c r="CK113" s="75">
        <f t="shared" si="42"/>
        <v>3.9E-2</v>
      </c>
      <c r="CL113" s="75">
        <f t="shared" si="43"/>
        <v>0.79710000000000003</v>
      </c>
      <c r="CM113" s="75">
        <f t="shared" si="41"/>
        <v>0.19399999999999998</v>
      </c>
      <c r="CN113" s="75">
        <f t="shared" si="44"/>
        <v>0.83610000000000007</v>
      </c>
      <c r="CO113" s="75">
        <f t="shared" si="45"/>
        <v>0.99109999999999998</v>
      </c>
      <c r="CQ113" s="75">
        <v>0.21</v>
      </c>
      <c r="CR113" s="75">
        <v>0.5</v>
      </c>
      <c r="CS113" s="75">
        <v>0.28000000000000003</v>
      </c>
      <c r="CT113" s="75">
        <f t="shared" si="46"/>
        <v>0.71</v>
      </c>
      <c r="CU113" s="75">
        <f t="shared" si="47"/>
        <v>0.78</v>
      </c>
    </row>
    <row r="114" spans="1:99" x14ac:dyDescent="0.25">
      <c r="A114">
        <v>2006</v>
      </c>
      <c r="B114">
        <f t="shared" si="24"/>
        <v>1</v>
      </c>
      <c r="C114" s="12">
        <v>38718</v>
      </c>
      <c r="F114" s="4">
        <v>0</v>
      </c>
      <c r="AC114">
        <f>AC115</f>
        <v>62</v>
      </c>
      <c r="AF114" s="74">
        <f t="shared" si="16"/>
        <v>0</v>
      </c>
      <c r="AG114" s="11">
        <f t="shared" si="25"/>
        <v>0.55000000000000004</v>
      </c>
      <c r="AH114" s="11"/>
      <c r="AI114" s="11"/>
      <c r="AJ114" s="152"/>
      <c r="AK114" s="4">
        <f t="shared" ref="AK114:AK119" si="51">MAX($F$114:$F$119)/AG114</f>
        <v>112.72727272727272</v>
      </c>
      <c r="AL114" s="2"/>
      <c r="AM114" s="11"/>
      <c r="AN114" s="189"/>
      <c r="AO114" s="206"/>
      <c r="AP114" s="189"/>
      <c r="AQ114" s="206"/>
      <c r="AR114" s="189"/>
      <c r="AS114" s="206"/>
      <c r="AT114" s="6" t="e">
        <f t="shared" si="49"/>
        <v>#N/A</v>
      </c>
      <c r="AV114" t="e">
        <f t="shared" si="50"/>
        <v>#N/A</v>
      </c>
      <c r="CF114">
        <v>14</v>
      </c>
      <c r="CG114">
        <f t="shared" si="40"/>
        <v>0.126</v>
      </c>
      <c r="CI114">
        <v>14</v>
      </c>
      <c r="CK114">
        <f t="shared" si="42"/>
        <v>4.2000000000000003E-2</v>
      </c>
      <c r="CL114">
        <f t="shared" si="43"/>
        <v>0.79320000000000002</v>
      </c>
      <c r="CM114">
        <f t="shared" si="41"/>
        <v>0.19419999999999998</v>
      </c>
      <c r="CN114">
        <f t="shared" si="44"/>
        <v>0.83520000000000005</v>
      </c>
      <c r="CO114">
        <f t="shared" si="45"/>
        <v>0.98740000000000006</v>
      </c>
      <c r="CQ114">
        <v>0.21</v>
      </c>
      <c r="CR114">
        <v>0.5</v>
      </c>
      <c r="CS114">
        <v>0.28000000000000003</v>
      </c>
      <c r="CT114">
        <f t="shared" si="46"/>
        <v>0.71</v>
      </c>
      <c r="CU114">
        <f t="shared" si="47"/>
        <v>0.78</v>
      </c>
    </row>
    <row r="115" spans="1:99" x14ac:dyDescent="0.25">
      <c r="A115">
        <v>2006</v>
      </c>
      <c r="B115">
        <f t="shared" si="24"/>
        <v>46</v>
      </c>
      <c r="C115" s="12">
        <v>38763</v>
      </c>
      <c r="D115">
        <v>6.8</v>
      </c>
      <c r="F115" s="4">
        <v>32</v>
      </c>
      <c r="AA115" s="1">
        <f>0.5*(B115-B114)*F115</f>
        <v>720</v>
      </c>
      <c r="AC115">
        <f>AC116</f>
        <v>62</v>
      </c>
      <c r="AF115" s="74">
        <f t="shared" ref="AF115:AF146" si="52">F115/AG115</f>
        <v>58.18181818181818</v>
      </c>
      <c r="AG115" s="11">
        <f t="shared" si="25"/>
        <v>0.55000000000000004</v>
      </c>
      <c r="AH115" s="11"/>
      <c r="AI115" s="11">
        <f>0.5*($B115-$B114)*$AF115</f>
        <v>1309.090909090909</v>
      </c>
      <c r="AJ115" s="152"/>
      <c r="AK115" s="4">
        <f t="shared" si="51"/>
        <v>112.72727272727272</v>
      </c>
      <c r="AL115" s="2"/>
      <c r="AM115" s="11"/>
      <c r="AN115" s="189"/>
      <c r="AO115" s="206"/>
      <c r="AP115" s="189"/>
      <c r="AQ115" s="206"/>
      <c r="AR115" s="189"/>
      <c r="AS115" s="206"/>
      <c r="AT115" s="6" t="e">
        <f t="shared" si="49"/>
        <v>#N/A</v>
      </c>
      <c r="AU115">
        <f>B115/D115</f>
        <v>6.7647058823529411</v>
      </c>
      <c r="AV115" t="e">
        <f t="shared" si="50"/>
        <v>#N/A</v>
      </c>
      <c r="AY115" t="e">
        <f>0.5*(B115-B114)*AT115</f>
        <v>#N/A</v>
      </c>
      <c r="BA115" s="20">
        <f>B115</f>
        <v>46</v>
      </c>
      <c r="BB115" s="20">
        <f>F115/AC115</f>
        <v>0.5161290322580645</v>
      </c>
      <c r="BC115" s="20">
        <v>0.5161290322580645</v>
      </c>
      <c r="BD115" s="15">
        <v>12</v>
      </c>
      <c r="BE115" s="15">
        <f>12/32</f>
        <v>0.375</v>
      </c>
      <c r="BF115" s="15">
        <v>17</v>
      </c>
      <c r="BG115" s="15">
        <f>17/32</f>
        <v>0.53125</v>
      </c>
      <c r="BH115" s="15">
        <v>3</v>
      </c>
      <c r="BI115" s="15">
        <f>3/32</f>
        <v>9.375E-2</v>
      </c>
      <c r="CF115">
        <v>15</v>
      </c>
      <c r="CG115">
        <f t="shared" si="40"/>
        <v>0.13499999999999998</v>
      </c>
      <c r="CI115">
        <v>15</v>
      </c>
      <c r="CK115">
        <f t="shared" si="42"/>
        <v>4.4999999999999998E-2</v>
      </c>
      <c r="CL115">
        <f t="shared" si="43"/>
        <v>0.7893</v>
      </c>
      <c r="CM115">
        <f t="shared" si="41"/>
        <v>0.19439999999999999</v>
      </c>
      <c r="CN115">
        <f t="shared" si="44"/>
        <v>0.83430000000000004</v>
      </c>
      <c r="CO115">
        <f t="shared" si="45"/>
        <v>0.98370000000000002</v>
      </c>
      <c r="CQ115">
        <v>0.21</v>
      </c>
      <c r="CR115">
        <v>0.5</v>
      </c>
      <c r="CS115">
        <v>0.28000000000000003</v>
      </c>
      <c r="CT115">
        <f t="shared" si="46"/>
        <v>0.71</v>
      </c>
      <c r="CU115">
        <f t="shared" si="47"/>
        <v>0.78</v>
      </c>
    </row>
    <row r="116" spans="1:99" x14ac:dyDescent="0.25">
      <c r="A116">
        <v>2006</v>
      </c>
      <c r="B116">
        <f t="shared" si="24"/>
        <v>80</v>
      </c>
      <c r="C116" s="12">
        <v>38797</v>
      </c>
      <c r="D116">
        <v>5</v>
      </c>
      <c r="F116" s="4">
        <v>59</v>
      </c>
      <c r="AA116" s="1">
        <f>((B116-B115)*F116)-((B116-B115)*(F116-F115)*0.5)</f>
        <v>1547</v>
      </c>
      <c r="AC116">
        <f>AC117</f>
        <v>62</v>
      </c>
      <c r="AF116" s="74">
        <f t="shared" si="52"/>
        <v>107.27272727272727</v>
      </c>
      <c r="AG116" s="11">
        <f t="shared" si="25"/>
        <v>0.55000000000000004</v>
      </c>
      <c r="AH116" s="11"/>
      <c r="AI116" s="11">
        <f>((B116-B115)*AF116)-((B116-B115)*(AF116-AF115)*0.5)</f>
        <v>2812.7272727272725</v>
      </c>
      <c r="AJ116" s="152"/>
      <c r="AK116" s="4">
        <f t="shared" si="51"/>
        <v>112.72727272727272</v>
      </c>
      <c r="AL116" s="2"/>
      <c r="AM116" s="11"/>
      <c r="AN116" s="189"/>
      <c r="AO116" s="206"/>
      <c r="AP116" s="189"/>
      <c r="AQ116" s="206"/>
      <c r="AR116" s="189"/>
      <c r="AS116" s="206"/>
      <c r="AT116" s="6" t="e">
        <f t="shared" si="49"/>
        <v>#N/A</v>
      </c>
      <c r="AU116">
        <f>B116/D116</f>
        <v>16</v>
      </c>
      <c r="AV116" t="e">
        <f t="shared" si="50"/>
        <v>#N/A</v>
      </c>
      <c r="AY116" t="e">
        <f>((B116-B115)*F116)-((B116-B115)*(AV116-F115)*0.5)</f>
        <v>#N/A</v>
      </c>
      <c r="BA116" s="20">
        <f>B116</f>
        <v>80</v>
      </c>
      <c r="BB116" s="20">
        <f>F116/AC116</f>
        <v>0.95161290322580649</v>
      </c>
      <c r="BC116" s="20">
        <v>0.95161290322580649</v>
      </c>
      <c r="BD116" s="15">
        <v>17</v>
      </c>
      <c r="BE116" s="15">
        <f>17/59</f>
        <v>0.28813559322033899</v>
      </c>
      <c r="BF116" s="15">
        <v>32</v>
      </c>
      <c r="BG116" s="15">
        <f>32/59</f>
        <v>0.5423728813559322</v>
      </c>
      <c r="BH116" s="15">
        <v>10</v>
      </c>
      <c r="BI116" s="15">
        <f>10/59</f>
        <v>0.16949152542372881</v>
      </c>
      <c r="CF116">
        <v>16</v>
      </c>
      <c r="CG116">
        <f t="shared" si="40"/>
        <v>0.14399999999999999</v>
      </c>
      <c r="CI116">
        <v>16</v>
      </c>
      <c r="CK116">
        <f t="shared" si="42"/>
        <v>4.8000000000000001E-2</v>
      </c>
      <c r="CL116">
        <f t="shared" si="43"/>
        <v>0.78539999999999999</v>
      </c>
      <c r="CM116">
        <f t="shared" si="41"/>
        <v>0.1946</v>
      </c>
      <c r="CN116">
        <f t="shared" si="44"/>
        <v>0.83340000000000003</v>
      </c>
      <c r="CO116">
        <f t="shared" si="45"/>
        <v>0.98</v>
      </c>
      <c r="CQ116">
        <v>0.21</v>
      </c>
      <c r="CR116">
        <v>0.5</v>
      </c>
      <c r="CS116">
        <v>0.28000000000000003</v>
      </c>
      <c r="CT116">
        <f t="shared" si="46"/>
        <v>0.71</v>
      </c>
      <c r="CU116">
        <f t="shared" si="47"/>
        <v>0.78</v>
      </c>
    </row>
    <row r="117" spans="1:99" x14ac:dyDescent="0.25">
      <c r="A117">
        <v>2006</v>
      </c>
      <c r="B117">
        <f t="shared" si="24"/>
        <v>103</v>
      </c>
      <c r="C117" s="12">
        <v>38820</v>
      </c>
      <c r="D117">
        <v>12</v>
      </c>
      <c r="F117" s="4">
        <v>62</v>
      </c>
      <c r="AA117" s="1">
        <f>((B117-B116)*F117)-((B117-B116)*(F117-F116)*0.5)</f>
        <v>1391.5</v>
      </c>
      <c r="AC117">
        <f>AC118</f>
        <v>62</v>
      </c>
      <c r="AF117" s="74">
        <f t="shared" si="52"/>
        <v>112.72727272727272</v>
      </c>
      <c r="AG117" s="11">
        <f t="shared" si="25"/>
        <v>0.55000000000000004</v>
      </c>
      <c r="AH117" s="11"/>
      <c r="AI117" s="11">
        <f>((B117-B116)*AF117)-((B117-B116)*(AF117-AF116)*0.5)</f>
        <v>2530</v>
      </c>
      <c r="AJ117" s="152"/>
      <c r="AK117" s="4">
        <f t="shared" si="51"/>
        <v>112.72727272727272</v>
      </c>
      <c r="AL117" s="2"/>
      <c r="AM117" s="11"/>
      <c r="AN117" s="189"/>
      <c r="AO117" s="206"/>
      <c r="AP117" s="189"/>
      <c r="AQ117" s="206"/>
      <c r="AR117" s="189"/>
      <c r="AS117" s="206"/>
      <c r="AT117" s="6" t="e">
        <f t="shared" si="49"/>
        <v>#N/A</v>
      </c>
      <c r="AU117">
        <f>B117/D117</f>
        <v>8.5833333333333339</v>
      </c>
      <c r="AV117" t="e">
        <f t="shared" si="50"/>
        <v>#N/A</v>
      </c>
      <c r="AY117" t="e">
        <f>((B117-B116)*F117)-((B117-B116)*(AV117-F116)*0.5)</f>
        <v>#N/A</v>
      </c>
      <c r="BA117" s="20">
        <f>B117</f>
        <v>103</v>
      </c>
      <c r="BB117" s="20">
        <f>F117/AC117</f>
        <v>1</v>
      </c>
      <c r="BC117" s="20">
        <v>1</v>
      </c>
      <c r="BD117" s="15">
        <v>6</v>
      </c>
      <c r="BE117" s="15">
        <f>6/62</f>
        <v>9.6774193548387094E-2</v>
      </c>
      <c r="BF117" s="15">
        <v>25</v>
      </c>
      <c r="BG117" s="15">
        <f>25/62</f>
        <v>0.40322580645161288</v>
      </c>
      <c r="BH117" s="15">
        <v>24</v>
      </c>
      <c r="BI117" s="15">
        <f>24/62</f>
        <v>0.38709677419354838</v>
      </c>
      <c r="CF117">
        <v>17</v>
      </c>
      <c r="CG117">
        <f t="shared" si="40"/>
        <v>0.153</v>
      </c>
      <c r="CI117">
        <v>17</v>
      </c>
      <c r="CK117">
        <f t="shared" si="42"/>
        <v>5.1000000000000004E-2</v>
      </c>
      <c r="CL117">
        <f t="shared" si="43"/>
        <v>0.78149999999999997</v>
      </c>
      <c r="CM117">
        <f t="shared" si="41"/>
        <v>0.19479999999999997</v>
      </c>
      <c r="CN117">
        <f t="shared" si="44"/>
        <v>0.83250000000000002</v>
      </c>
      <c r="CO117">
        <f t="shared" si="45"/>
        <v>0.97629999999999995</v>
      </c>
      <c r="CQ117">
        <v>0.21</v>
      </c>
      <c r="CR117">
        <v>0.5</v>
      </c>
      <c r="CS117">
        <v>0.28000000000000003</v>
      </c>
      <c r="CT117">
        <f t="shared" si="46"/>
        <v>0.71</v>
      </c>
      <c r="CU117">
        <f t="shared" si="47"/>
        <v>0.78</v>
      </c>
    </row>
    <row r="118" spans="1:99" x14ac:dyDescent="0.25">
      <c r="A118">
        <v>2006</v>
      </c>
      <c r="B118">
        <f t="shared" si="24"/>
        <v>125</v>
      </c>
      <c r="C118" s="12">
        <v>38842</v>
      </c>
      <c r="D118">
        <v>8</v>
      </c>
      <c r="F118" s="4">
        <v>62</v>
      </c>
      <c r="AA118" s="1">
        <f>((B118-B117)*F118)-((B118-B117)*(F118-F117)*0.5)</f>
        <v>1364</v>
      </c>
      <c r="AC118">
        <f>AC119</f>
        <v>62</v>
      </c>
      <c r="AF118" s="74">
        <f t="shared" si="52"/>
        <v>112.72727272727272</v>
      </c>
      <c r="AG118" s="11">
        <f t="shared" si="25"/>
        <v>0.55000000000000004</v>
      </c>
      <c r="AH118" s="11"/>
      <c r="AI118" s="11">
        <f>((B118-B117)*AF118)-((B118-B117)*(AF118-AF117)*0.5)</f>
        <v>2480</v>
      </c>
      <c r="AJ118" s="152"/>
      <c r="AK118" s="4">
        <f t="shared" si="51"/>
        <v>112.72727272727272</v>
      </c>
      <c r="AL118" s="2"/>
      <c r="AM118" s="11"/>
      <c r="AN118" s="189"/>
      <c r="AO118" s="206"/>
      <c r="AP118" s="194" t="s">
        <v>90</v>
      </c>
      <c r="AQ118" s="206"/>
      <c r="AR118" s="189"/>
      <c r="AS118" s="206"/>
      <c r="AT118" s="6" t="e">
        <f t="shared" si="49"/>
        <v>#N/A</v>
      </c>
      <c r="AU118">
        <f>B118/D118</f>
        <v>15.625</v>
      </c>
      <c r="AV118" t="e">
        <f t="shared" si="50"/>
        <v>#N/A</v>
      </c>
      <c r="AY118" t="e">
        <f>((B118-B117)*F118)-((B118-B117)*(AV118-F117)*0.5)</f>
        <v>#N/A</v>
      </c>
      <c r="BA118" s="20">
        <f>B118</f>
        <v>125</v>
      </c>
      <c r="BB118" s="20">
        <f>F118/AC118</f>
        <v>1</v>
      </c>
      <c r="BC118" s="20">
        <v>1</v>
      </c>
      <c r="BD118" s="15">
        <v>12</v>
      </c>
      <c r="BE118" s="15">
        <f>12/62</f>
        <v>0.19354838709677419</v>
      </c>
      <c r="BF118" s="15">
        <v>20</v>
      </c>
      <c r="BG118" s="15">
        <f>20/62</f>
        <v>0.32258064516129031</v>
      </c>
      <c r="BH118" s="15">
        <v>30</v>
      </c>
      <c r="BI118" s="15">
        <f>30/62</f>
        <v>0.4838709677419355</v>
      </c>
      <c r="CF118">
        <v>18</v>
      </c>
      <c r="CG118">
        <f t="shared" si="40"/>
        <v>0.16199999999999998</v>
      </c>
      <c r="CI118">
        <v>18</v>
      </c>
      <c r="CK118">
        <f t="shared" si="42"/>
        <v>5.3999999999999999E-2</v>
      </c>
      <c r="CL118">
        <f t="shared" si="43"/>
        <v>0.77759999999999996</v>
      </c>
      <c r="CM118">
        <f t="shared" si="41"/>
        <v>0.19499999999999998</v>
      </c>
      <c r="CN118">
        <f t="shared" si="44"/>
        <v>0.83160000000000001</v>
      </c>
      <c r="CO118">
        <f t="shared" si="45"/>
        <v>0.97259999999999991</v>
      </c>
      <c r="CQ118">
        <v>0.21</v>
      </c>
      <c r="CR118">
        <v>0.5</v>
      </c>
      <c r="CS118">
        <v>0.28000000000000003</v>
      </c>
      <c r="CT118">
        <f t="shared" si="46"/>
        <v>0.71</v>
      </c>
      <c r="CU118">
        <f t="shared" si="47"/>
        <v>0.78</v>
      </c>
    </row>
    <row r="119" spans="1:99" x14ac:dyDescent="0.25">
      <c r="A119">
        <v>2006</v>
      </c>
      <c r="B119">
        <f t="shared" si="24"/>
        <v>151</v>
      </c>
      <c r="C119" s="12">
        <v>38868</v>
      </c>
      <c r="F119" s="4">
        <v>0</v>
      </c>
      <c r="AA119" s="1">
        <f>0.5*(B119-B118)*F118</f>
        <v>806</v>
      </c>
      <c r="AB119">
        <f>AE119/$AE$1</f>
        <v>116.57</v>
      </c>
      <c r="AC119">
        <f>MAX(F114:F119)</f>
        <v>62</v>
      </c>
      <c r="AD119" s="2">
        <f>AB119/AC119</f>
        <v>1.8801612903225806</v>
      </c>
      <c r="AE119" s="182">
        <f>SUM(AA114:AA119)</f>
        <v>5828.5</v>
      </c>
      <c r="AF119" s="74">
        <f t="shared" si="52"/>
        <v>0</v>
      </c>
      <c r="AG119" s="11">
        <f t="shared" si="25"/>
        <v>0.55000000000000004</v>
      </c>
      <c r="AH119" s="11"/>
      <c r="AI119" s="11">
        <f>0.5*(B119-B118)*AF118</f>
        <v>1465.4545454545453</v>
      </c>
      <c r="AJ119" s="151">
        <f>AM119/$AM$1</f>
        <v>211.94545454545457</v>
      </c>
      <c r="AK119" s="4">
        <f t="shared" si="51"/>
        <v>112.72727272727272</v>
      </c>
      <c r="AL119" s="2">
        <f>AJ119/AK119</f>
        <v>1.8801612903225811</v>
      </c>
      <c r="AM119" s="11">
        <f>SUM(AI114:AI119)</f>
        <v>10597.272727272728</v>
      </c>
      <c r="AN119" s="189">
        <v>135</v>
      </c>
      <c r="AO119" s="206">
        <v>8.1300000000000008</v>
      </c>
      <c r="AP119" s="194">
        <f>AK119*$AO$177</f>
        <v>0</v>
      </c>
      <c r="AQ119" s="206">
        <v>412</v>
      </c>
      <c r="AR119" s="189">
        <v>6.64</v>
      </c>
      <c r="AS119" s="206">
        <f>AK119*$AR$177</f>
        <v>0</v>
      </c>
      <c r="AT119" s="6">
        <v>0</v>
      </c>
      <c r="AW119" t="e">
        <f>AZ119/$AZ$1</f>
        <v>#N/A</v>
      </c>
      <c r="AX119" s="1" t="e">
        <f>AW119/AC119</f>
        <v>#N/A</v>
      </c>
      <c r="AY119" t="e">
        <f>0.5*(B119-B118)*AT118</f>
        <v>#N/A</v>
      </c>
      <c r="AZ119" s="5" t="e">
        <f>SUM(AY115:AY119)</f>
        <v>#N/A</v>
      </c>
      <c r="CF119">
        <v>19</v>
      </c>
      <c r="CG119">
        <f t="shared" si="40"/>
        <v>0.17099999999999999</v>
      </c>
      <c r="CI119">
        <v>19</v>
      </c>
      <c r="CK119">
        <f t="shared" si="42"/>
        <v>5.7000000000000002E-2</v>
      </c>
      <c r="CL119">
        <f t="shared" si="43"/>
        <v>0.77370000000000005</v>
      </c>
      <c r="CM119">
        <f t="shared" si="41"/>
        <v>0.19519999999999998</v>
      </c>
      <c r="CN119">
        <f t="shared" si="44"/>
        <v>0.8307000000000001</v>
      </c>
      <c r="CO119">
        <f t="shared" si="45"/>
        <v>0.96890000000000009</v>
      </c>
      <c r="CQ119">
        <v>0.21</v>
      </c>
      <c r="CR119">
        <v>0.5</v>
      </c>
      <c r="CS119">
        <v>0.28000000000000003</v>
      </c>
      <c r="CT119">
        <f t="shared" si="46"/>
        <v>0.71</v>
      </c>
      <c r="CU119">
        <f t="shared" si="47"/>
        <v>0.78</v>
      </c>
    </row>
    <row r="120" spans="1:99" s="75" customFormat="1" x14ac:dyDescent="0.25">
      <c r="A120" s="75">
        <v>2007</v>
      </c>
      <c r="B120" s="75">
        <f t="shared" si="24"/>
        <v>1</v>
      </c>
      <c r="C120" s="94">
        <v>39083</v>
      </c>
      <c r="F120" s="95">
        <v>0</v>
      </c>
      <c r="G120" s="96"/>
      <c r="O120" s="97"/>
      <c r="P120" s="96"/>
      <c r="X120" s="98"/>
      <c r="Z120" s="98"/>
      <c r="AA120" s="86"/>
      <c r="AC120" s="75">
        <f>AC121</f>
        <v>60</v>
      </c>
      <c r="AD120" s="109"/>
      <c r="AE120" s="99"/>
      <c r="AF120" s="74">
        <f t="shared" si="52"/>
        <v>0</v>
      </c>
      <c r="AG120" s="77">
        <f t="shared" si="25"/>
        <v>0.55000000000000004</v>
      </c>
      <c r="AH120" s="77"/>
      <c r="AI120" s="77"/>
      <c r="AJ120" s="152"/>
      <c r="AK120" s="95">
        <f>MAX($F$120:$F$124)/AG120</f>
        <v>109.09090909090908</v>
      </c>
      <c r="AL120" s="109"/>
      <c r="AM120" s="77"/>
      <c r="AN120" s="189"/>
      <c r="AO120" s="206"/>
      <c r="AP120" s="189"/>
      <c r="AQ120" s="206"/>
      <c r="AR120" s="189"/>
      <c r="AS120" s="206"/>
      <c r="AT120" s="100">
        <v>0</v>
      </c>
      <c r="AX120" s="86"/>
      <c r="AZ120" s="99"/>
      <c r="CF120" s="75">
        <v>20</v>
      </c>
      <c r="CG120" s="75">
        <f t="shared" si="40"/>
        <v>0.18</v>
      </c>
      <c r="CI120" s="75">
        <v>20</v>
      </c>
      <c r="CK120" s="75">
        <f t="shared" si="42"/>
        <v>0.06</v>
      </c>
      <c r="CL120" s="75">
        <f t="shared" si="43"/>
        <v>0.76980000000000004</v>
      </c>
      <c r="CM120" s="75">
        <f t="shared" si="41"/>
        <v>0.19539999999999999</v>
      </c>
      <c r="CN120" s="75">
        <f t="shared" si="44"/>
        <v>0.82980000000000009</v>
      </c>
      <c r="CO120" s="75">
        <f t="shared" si="45"/>
        <v>0.96520000000000006</v>
      </c>
      <c r="CQ120" s="75">
        <v>0.21</v>
      </c>
      <c r="CR120" s="75">
        <v>0.5</v>
      </c>
      <c r="CS120" s="75">
        <v>0.28000000000000003</v>
      </c>
      <c r="CT120" s="75">
        <f t="shared" si="46"/>
        <v>0.71</v>
      </c>
      <c r="CU120" s="75">
        <f t="shared" si="47"/>
        <v>0.78</v>
      </c>
    </row>
    <row r="121" spans="1:99" s="75" customFormat="1" x14ac:dyDescent="0.25">
      <c r="A121" s="75">
        <v>2007</v>
      </c>
      <c r="B121" s="75">
        <f t="shared" si="24"/>
        <v>54</v>
      </c>
      <c r="C121" s="94">
        <v>39136</v>
      </c>
      <c r="D121" s="75">
        <v>9.5</v>
      </c>
      <c r="F121" s="95">
        <v>18</v>
      </c>
      <c r="G121" s="96"/>
      <c r="O121" s="97"/>
      <c r="P121" s="96"/>
      <c r="X121" s="98"/>
      <c r="Z121" s="98"/>
      <c r="AA121" s="86">
        <f>0.5*(B121-B120)*F121</f>
        <v>477</v>
      </c>
      <c r="AC121" s="75">
        <f>AC122</f>
        <v>60</v>
      </c>
      <c r="AD121" s="109"/>
      <c r="AE121" s="99"/>
      <c r="AF121" s="74">
        <f t="shared" si="52"/>
        <v>32.727272727272727</v>
      </c>
      <c r="AG121" s="77">
        <f t="shared" si="25"/>
        <v>0.55000000000000004</v>
      </c>
      <c r="AH121" s="77"/>
      <c r="AI121" s="77">
        <f>0.5*($B121-$B120)*$AF121</f>
        <v>867.27272727272725</v>
      </c>
      <c r="AJ121" s="152"/>
      <c r="AK121" s="95">
        <f>MAX($F$120:$F$124)/AG121</f>
        <v>109.09090909090908</v>
      </c>
      <c r="AL121" s="109"/>
      <c r="AM121" s="77"/>
      <c r="AN121" s="189"/>
      <c r="AO121" s="206"/>
      <c r="AP121" s="189"/>
      <c r="AQ121" s="206"/>
      <c r="AR121" s="189"/>
      <c r="AS121" s="206"/>
      <c r="AT121" s="100" t="e">
        <f>F121/AV121</f>
        <v>#N/A</v>
      </c>
      <c r="AU121" s="75">
        <f>B121/D121</f>
        <v>5.6842105263157894</v>
      </c>
      <c r="AV121" s="75" t="e">
        <f>VLOOKUP(AU121,$CA$102:$CB$270,2)</f>
        <v>#N/A</v>
      </c>
      <c r="AX121" s="86"/>
      <c r="AY121" s="75" t="e">
        <f>0.5*(B121-B120)*AT121</f>
        <v>#N/A</v>
      </c>
      <c r="AZ121" s="99"/>
      <c r="BA121" s="75">
        <f>B121</f>
        <v>54</v>
      </c>
      <c r="BB121" s="75">
        <f>F121/AC121</f>
        <v>0.3</v>
      </c>
      <c r="BC121" s="75">
        <v>0.3</v>
      </c>
      <c r="BD121" s="75">
        <v>4</v>
      </c>
      <c r="BE121" s="75">
        <f>4/18</f>
        <v>0.22222222222222221</v>
      </c>
      <c r="BF121" s="75">
        <v>13</v>
      </c>
      <c r="BG121" s="75">
        <f>13/18</f>
        <v>0.72222222222222221</v>
      </c>
      <c r="BH121" s="75">
        <v>1</v>
      </c>
      <c r="BI121" s="75">
        <f>1/18</f>
        <v>5.5555555555555552E-2</v>
      </c>
      <c r="CF121" s="75">
        <v>21</v>
      </c>
      <c r="CG121" s="75">
        <f t="shared" si="40"/>
        <v>0.18899999999999997</v>
      </c>
      <c r="CI121" s="75">
        <v>21</v>
      </c>
      <c r="CK121" s="75">
        <f t="shared" si="42"/>
        <v>6.3E-2</v>
      </c>
      <c r="CL121" s="75">
        <f t="shared" si="43"/>
        <v>0.76590000000000003</v>
      </c>
      <c r="CM121" s="75">
        <f t="shared" si="41"/>
        <v>0.1956</v>
      </c>
      <c r="CN121" s="75">
        <f t="shared" si="44"/>
        <v>0.82889999999999997</v>
      </c>
      <c r="CO121" s="75">
        <f t="shared" si="45"/>
        <v>0.96150000000000002</v>
      </c>
      <c r="CQ121" s="75">
        <v>0.21</v>
      </c>
      <c r="CR121" s="75">
        <v>0.5</v>
      </c>
      <c r="CS121" s="75">
        <v>0.28000000000000003</v>
      </c>
      <c r="CT121" s="75">
        <f t="shared" si="46"/>
        <v>0.71</v>
      </c>
      <c r="CU121" s="75">
        <f t="shared" si="47"/>
        <v>0.78</v>
      </c>
    </row>
    <row r="122" spans="1:99" s="75" customFormat="1" x14ac:dyDescent="0.25">
      <c r="A122" s="75">
        <v>2007</v>
      </c>
      <c r="B122" s="75">
        <f t="shared" si="24"/>
        <v>88</v>
      </c>
      <c r="C122" s="94">
        <v>39170</v>
      </c>
      <c r="D122" s="75">
        <v>9.5</v>
      </c>
      <c r="F122" s="95">
        <v>50</v>
      </c>
      <c r="G122" s="96"/>
      <c r="O122" s="97"/>
      <c r="P122" s="96"/>
      <c r="X122" s="98"/>
      <c r="Z122" s="98"/>
      <c r="AA122" s="86">
        <f>((B122-B121)*F122)-((B122-B121)*(F122-F121)*0.5)</f>
        <v>1156</v>
      </c>
      <c r="AC122" s="75">
        <f>AC123</f>
        <v>60</v>
      </c>
      <c r="AD122" s="109"/>
      <c r="AE122" s="99"/>
      <c r="AF122" s="74">
        <f t="shared" si="52"/>
        <v>90.909090909090907</v>
      </c>
      <c r="AG122" s="77">
        <f t="shared" si="25"/>
        <v>0.55000000000000004</v>
      </c>
      <c r="AH122" s="77"/>
      <c r="AI122" s="77">
        <v>780</v>
      </c>
      <c r="AJ122" s="152"/>
      <c r="AK122" s="95">
        <f>MAX($F$120:$F$124)/AG122</f>
        <v>109.09090909090908</v>
      </c>
      <c r="AL122" s="109"/>
      <c r="AM122" s="77"/>
      <c r="AN122" s="189"/>
      <c r="AO122" s="206"/>
      <c r="AP122" s="189"/>
      <c r="AQ122" s="206"/>
      <c r="AR122" s="189"/>
      <c r="AS122" s="206"/>
      <c r="AT122" s="100" t="e">
        <f>F122/AV122</f>
        <v>#N/A</v>
      </c>
      <c r="AU122" s="75">
        <f>B122/D122</f>
        <v>9.2631578947368425</v>
      </c>
      <c r="AV122" s="75" t="e">
        <f>VLOOKUP(AU122,$CA$102:$CB$270,2)</f>
        <v>#N/A</v>
      </c>
      <c r="AX122" s="86"/>
      <c r="AY122" s="75" t="e">
        <f>((B122-B121)*AT122)-((B122-B121)*(AT122-AT121)*0.5)</f>
        <v>#N/A</v>
      </c>
      <c r="AZ122" s="99"/>
      <c r="BA122" s="75">
        <f>B122</f>
        <v>88</v>
      </c>
      <c r="BB122" s="75">
        <f>F122/AC122</f>
        <v>0.83333333333333337</v>
      </c>
      <c r="BC122" s="75">
        <v>0.83333333333333337</v>
      </c>
      <c r="BD122" s="75">
        <v>6</v>
      </c>
      <c r="BE122" s="75">
        <f>6/50</f>
        <v>0.12</v>
      </c>
      <c r="BF122" s="75">
        <v>29</v>
      </c>
      <c r="BG122" s="75">
        <f>29/50</f>
        <v>0.57999999999999996</v>
      </c>
      <c r="BH122" s="75">
        <v>15</v>
      </c>
      <c r="BI122" s="75">
        <f>15/50</f>
        <v>0.3</v>
      </c>
      <c r="CF122" s="75">
        <v>22</v>
      </c>
      <c r="CG122" s="75">
        <f t="shared" si="40"/>
        <v>0.19799999999999998</v>
      </c>
      <c r="CI122" s="75">
        <v>22</v>
      </c>
      <c r="CK122" s="75">
        <f t="shared" si="42"/>
        <v>6.6000000000000003E-2</v>
      </c>
      <c r="CL122" s="75">
        <f t="shared" si="43"/>
        <v>0.76200000000000001</v>
      </c>
      <c r="CM122" s="75">
        <f t="shared" si="41"/>
        <v>0.19579999999999997</v>
      </c>
      <c r="CN122" s="75">
        <f t="shared" si="44"/>
        <v>0.82800000000000007</v>
      </c>
      <c r="CO122" s="75">
        <f t="shared" si="45"/>
        <v>0.95779999999999998</v>
      </c>
      <c r="CQ122" s="75">
        <v>0.21</v>
      </c>
      <c r="CR122" s="75">
        <v>0.5</v>
      </c>
      <c r="CS122" s="75">
        <v>0.28000000000000003</v>
      </c>
      <c r="CT122" s="75">
        <f t="shared" si="46"/>
        <v>0.71</v>
      </c>
      <c r="CU122" s="75">
        <f t="shared" si="47"/>
        <v>0.78</v>
      </c>
    </row>
    <row r="123" spans="1:99" s="75" customFormat="1" x14ac:dyDescent="0.25">
      <c r="A123" s="75">
        <v>2007</v>
      </c>
      <c r="B123" s="75">
        <f t="shared" si="24"/>
        <v>110</v>
      </c>
      <c r="C123" s="94">
        <v>39192</v>
      </c>
      <c r="D123" s="75">
        <v>9.51</v>
      </c>
      <c r="F123" s="95">
        <v>60</v>
      </c>
      <c r="G123" s="96"/>
      <c r="O123" s="97"/>
      <c r="P123" s="96"/>
      <c r="X123" s="98"/>
      <c r="Z123" s="98"/>
      <c r="AA123" s="86">
        <f>((B123-B122)*F123)-((B123-B122)*(F123-F122)*0.5)</f>
        <v>1210</v>
      </c>
      <c r="AC123" s="75">
        <f>AC124</f>
        <v>60</v>
      </c>
      <c r="AD123" s="109"/>
      <c r="AE123" s="99"/>
      <c r="AF123" s="74">
        <f t="shared" si="52"/>
        <v>109.09090909090908</v>
      </c>
      <c r="AG123" s="77">
        <f t="shared" si="25"/>
        <v>0.55000000000000004</v>
      </c>
      <c r="AH123" s="77"/>
      <c r="AI123" s="77">
        <f>((B123-B122)*AF123)-((B123-B122)*(AF123-AF122)*0.5)</f>
        <v>2199.9999999999995</v>
      </c>
      <c r="AJ123" s="152"/>
      <c r="AK123" s="95">
        <f>MAX($F$120:$F$124)/AG123</f>
        <v>109.09090909090908</v>
      </c>
      <c r="AL123" s="109"/>
      <c r="AM123" s="77"/>
      <c r="AN123" s="189"/>
      <c r="AO123" s="206"/>
      <c r="AP123" s="189"/>
      <c r="AQ123" s="206"/>
      <c r="AR123" s="189"/>
      <c r="AS123" s="206"/>
      <c r="AT123" s="100" t="e">
        <f>F123/AV123</f>
        <v>#N/A</v>
      </c>
      <c r="AU123" s="75">
        <f>B123/D123</f>
        <v>11.566771819137751</v>
      </c>
      <c r="AV123" s="75" t="e">
        <f>VLOOKUP(AU123,$CA$102:$CB$270,2)</f>
        <v>#N/A</v>
      </c>
      <c r="AX123" s="86"/>
      <c r="AY123" s="75" t="e">
        <f>((B123-B122)*AT123)-((B123-B122)*(AT123-AT122)*0.5)</f>
        <v>#N/A</v>
      </c>
      <c r="AZ123" s="99"/>
      <c r="BA123" s="75">
        <f>B123</f>
        <v>110</v>
      </c>
      <c r="BB123" s="75">
        <f>F123/AC123</f>
        <v>1</v>
      </c>
      <c r="BC123" s="75">
        <v>1</v>
      </c>
      <c r="BD123" s="75">
        <v>10</v>
      </c>
      <c r="BE123" s="75">
        <f>10/60</f>
        <v>0.16666666666666666</v>
      </c>
      <c r="BF123" s="75">
        <v>53</v>
      </c>
      <c r="BG123" s="75">
        <f>53/60</f>
        <v>0.8833333333333333</v>
      </c>
      <c r="BH123" s="75">
        <v>17</v>
      </c>
      <c r="BI123" s="75">
        <f>17/60</f>
        <v>0.28333333333333333</v>
      </c>
      <c r="CF123" s="75">
        <v>23</v>
      </c>
      <c r="CG123" s="75">
        <f t="shared" si="40"/>
        <v>0.20699999999999999</v>
      </c>
      <c r="CI123" s="75">
        <v>23</v>
      </c>
      <c r="CK123" s="75">
        <f t="shared" si="42"/>
        <v>6.9000000000000006E-2</v>
      </c>
      <c r="CL123" s="75">
        <f t="shared" si="43"/>
        <v>0.7581</v>
      </c>
      <c r="CM123" s="75">
        <f t="shared" si="41"/>
        <v>0.19599999999999998</v>
      </c>
      <c r="CN123" s="75">
        <f t="shared" si="44"/>
        <v>0.82709999999999995</v>
      </c>
      <c r="CO123" s="75">
        <f t="shared" si="45"/>
        <v>0.95409999999999995</v>
      </c>
      <c r="CQ123" s="75">
        <v>0.21</v>
      </c>
      <c r="CR123" s="75">
        <v>0.5</v>
      </c>
      <c r="CS123" s="75">
        <v>0.28000000000000003</v>
      </c>
      <c r="CT123" s="75">
        <f t="shared" si="46"/>
        <v>0.71</v>
      </c>
      <c r="CU123" s="75">
        <f t="shared" si="47"/>
        <v>0.78</v>
      </c>
    </row>
    <row r="124" spans="1:99" s="75" customFormat="1" x14ac:dyDescent="0.25">
      <c r="A124" s="75">
        <v>2007</v>
      </c>
      <c r="B124" s="75">
        <f t="shared" si="24"/>
        <v>151</v>
      </c>
      <c r="C124" s="94">
        <v>39233</v>
      </c>
      <c r="F124" s="95">
        <v>0</v>
      </c>
      <c r="G124" s="96"/>
      <c r="O124" s="97"/>
      <c r="P124" s="96"/>
      <c r="X124" s="98"/>
      <c r="Z124" s="98"/>
      <c r="AA124" s="86">
        <f>0.5*(B124-B123)*F123</f>
        <v>1230</v>
      </c>
      <c r="AB124" s="75">
        <f>AE124/$AE$1</f>
        <v>81.459999999999994</v>
      </c>
      <c r="AC124" s="75">
        <f>MAX(F120:F124)</f>
        <v>60</v>
      </c>
      <c r="AD124" s="109">
        <f>AB124/AC124</f>
        <v>1.3576666666666666</v>
      </c>
      <c r="AE124" s="183">
        <f>SUM(AA120:AA124)</f>
        <v>4073</v>
      </c>
      <c r="AF124" s="74">
        <f t="shared" si="52"/>
        <v>0</v>
      </c>
      <c r="AG124" s="77">
        <f t="shared" si="25"/>
        <v>0.55000000000000004</v>
      </c>
      <c r="AH124" s="77"/>
      <c r="AI124" s="77">
        <f>0.5*(B124-B123)*AF123</f>
        <v>2236.363636363636</v>
      </c>
      <c r="AJ124" s="152">
        <f>AM124/$AM$1</f>
        <v>121.67272727272726</v>
      </c>
      <c r="AK124" s="95">
        <f>MAX($F$120:$F$124)/AG124</f>
        <v>109.09090909090908</v>
      </c>
      <c r="AL124" s="109">
        <f>AJ124/AK124</f>
        <v>1.1153333333333333</v>
      </c>
      <c r="AM124" s="77">
        <f>SUM(AI120:AI124)</f>
        <v>6083.6363636363631</v>
      </c>
      <c r="AN124" s="189">
        <v>161</v>
      </c>
      <c r="AO124" s="206">
        <v>3.36</v>
      </c>
      <c r="AP124" s="193">
        <f>AN124</f>
        <v>161</v>
      </c>
      <c r="AQ124" s="206">
        <v>171</v>
      </c>
      <c r="AR124" s="189">
        <v>2.85</v>
      </c>
      <c r="AS124" s="206">
        <f>AK124*$AR$177</f>
        <v>0</v>
      </c>
      <c r="AT124" s="100">
        <v>0</v>
      </c>
      <c r="AW124" s="75" t="e">
        <f>AZ124/$AZ$1</f>
        <v>#N/A</v>
      </c>
      <c r="AX124" s="86" t="e">
        <f>AW124/AC124</f>
        <v>#N/A</v>
      </c>
      <c r="AY124" s="75" t="e">
        <f>0.5*(B124-B123)*AT123</f>
        <v>#N/A</v>
      </c>
      <c r="AZ124" s="99" t="e">
        <f>SUM(AY120:AY124)</f>
        <v>#N/A</v>
      </c>
      <c r="CF124" s="75">
        <v>24</v>
      </c>
      <c r="CG124" s="75">
        <f t="shared" si="40"/>
        <v>0.21599999999999997</v>
      </c>
      <c r="CI124" s="75">
        <v>24</v>
      </c>
      <c r="CK124" s="75">
        <f t="shared" si="42"/>
        <v>7.2000000000000008E-2</v>
      </c>
      <c r="CL124" s="75">
        <f t="shared" si="43"/>
        <v>0.75419999999999998</v>
      </c>
      <c r="CM124" s="75">
        <f t="shared" si="41"/>
        <v>0.19619999999999999</v>
      </c>
      <c r="CN124" s="75">
        <f t="shared" si="44"/>
        <v>0.82620000000000005</v>
      </c>
      <c r="CO124" s="75">
        <f t="shared" si="45"/>
        <v>0.95039999999999991</v>
      </c>
      <c r="CQ124" s="75">
        <v>0.21</v>
      </c>
      <c r="CR124" s="75">
        <v>0.5</v>
      </c>
      <c r="CS124" s="75">
        <v>0.28000000000000003</v>
      </c>
      <c r="CT124" s="75">
        <f t="shared" si="46"/>
        <v>0.71</v>
      </c>
      <c r="CU124" s="75">
        <f t="shared" si="47"/>
        <v>0.78</v>
      </c>
    </row>
    <row r="125" spans="1:99" x14ac:dyDescent="0.25">
      <c r="A125">
        <v>2008</v>
      </c>
      <c r="B125">
        <f t="shared" si="24"/>
        <v>1</v>
      </c>
      <c r="C125" s="12">
        <v>39448</v>
      </c>
      <c r="F125" s="4">
        <v>0</v>
      </c>
      <c r="AC125">
        <f>AC126</f>
        <v>18</v>
      </c>
      <c r="AF125" s="74">
        <f t="shared" si="52"/>
        <v>0</v>
      </c>
      <c r="AG125" s="11">
        <f t="shared" si="25"/>
        <v>0.55000000000000004</v>
      </c>
      <c r="AH125" s="11"/>
      <c r="AI125" s="11"/>
      <c r="AJ125" s="152"/>
      <c r="AK125" s="4">
        <f>MAX($F$125:$F$128)/AG125</f>
        <v>32.727272727272727</v>
      </c>
      <c r="AL125" s="2"/>
      <c r="AM125" s="11"/>
      <c r="AN125" s="189"/>
      <c r="AO125" s="206"/>
      <c r="AP125" s="189"/>
      <c r="AQ125" s="206"/>
      <c r="AR125" s="189"/>
      <c r="AS125" s="206"/>
      <c r="AT125" s="6">
        <v>0</v>
      </c>
      <c r="CF125">
        <v>25</v>
      </c>
      <c r="CG125">
        <f t="shared" si="40"/>
        <v>0.22499999999999998</v>
      </c>
      <c r="CI125">
        <v>25</v>
      </c>
      <c r="CK125">
        <f t="shared" si="42"/>
        <v>7.4999999999999997E-2</v>
      </c>
      <c r="CL125">
        <f t="shared" si="43"/>
        <v>0.75029999999999997</v>
      </c>
      <c r="CM125">
        <f t="shared" si="41"/>
        <v>0.19639999999999999</v>
      </c>
      <c r="CN125">
        <f t="shared" si="44"/>
        <v>0.82529999999999992</v>
      </c>
      <c r="CO125">
        <f t="shared" si="45"/>
        <v>0.94669999999999999</v>
      </c>
      <c r="CQ125">
        <v>0.21</v>
      </c>
      <c r="CR125">
        <v>0.5</v>
      </c>
      <c r="CS125">
        <v>0.28000000000000003</v>
      </c>
      <c r="CT125">
        <f t="shared" si="46"/>
        <v>0.71</v>
      </c>
      <c r="CU125">
        <f t="shared" si="47"/>
        <v>0.78</v>
      </c>
    </row>
    <row r="126" spans="1:99" x14ac:dyDescent="0.25">
      <c r="A126">
        <v>2008</v>
      </c>
      <c r="B126">
        <f t="shared" si="24"/>
        <v>68</v>
      </c>
      <c r="C126" s="12">
        <v>39515</v>
      </c>
      <c r="D126">
        <v>8.25</v>
      </c>
      <c r="F126" s="4">
        <v>18</v>
      </c>
      <c r="AA126" s="1">
        <f>0.5*(B126-B125)*F126</f>
        <v>603</v>
      </c>
      <c r="AC126">
        <f>AC127</f>
        <v>18</v>
      </c>
      <c r="AF126" s="74">
        <f t="shared" si="52"/>
        <v>32.727272727272727</v>
      </c>
      <c r="AG126" s="11">
        <f t="shared" si="25"/>
        <v>0.55000000000000004</v>
      </c>
      <c r="AH126" s="11"/>
      <c r="AI126" s="11">
        <f>0.5*($B126-$B125)*$AF126</f>
        <v>1096.3636363636363</v>
      </c>
      <c r="AJ126" s="152"/>
      <c r="AK126" s="4">
        <f>MAX($F$125:$F$128)/AG126</f>
        <v>32.727272727272727</v>
      </c>
      <c r="AL126" s="2"/>
      <c r="AM126" s="11"/>
      <c r="AN126" s="189"/>
      <c r="AO126" s="206"/>
      <c r="AP126" s="189"/>
      <c r="AQ126" s="206"/>
      <c r="AR126" s="189"/>
      <c r="AS126" s="206"/>
      <c r="AT126" s="6" t="e">
        <f>F126/AV126</f>
        <v>#N/A</v>
      </c>
      <c r="AU126">
        <f>B126/D126</f>
        <v>8.2424242424242422</v>
      </c>
      <c r="AV126" t="e">
        <f>VLOOKUP(AU126,$CA$102:$CB$270,2)</f>
        <v>#N/A</v>
      </c>
      <c r="AY126" t="e">
        <f>0.5*(B126-B125)*AT126</f>
        <v>#N/A</v>
      </c>
      <c r="BA126" s="20">
        <f>B126</f>
        <v>68</v>
      </c>
      <c r="BB126" s="20">
        <f>F126/AC126</f>
        <v>1</v>
      </c>
      <c r="BC126" s="20">
        <v>1</v>
      </c>
      <c r="BD126" s="15">
        <v>2</v>
      </c>
      <c r="BE126" s="15">
        <f>BD126/AC126</f>
        <v>0.1111111111111111</v>
      </c>
      <c r="BF126" s="15">
        <v>15</v>
      </c>
      <c r="BG126" s="15">
        <f>BF126/AC126</f>
        <v>0.83333333333333337</v>
      </c>
      <c r="BH126" s="15">
        <v>1</v>
      </c>
      <c r="BI126" s="15">
        <f>BH126/AC126</f>
        <v>5.5555555555555552E-2</v>
      </c>
      <c r="CF126">
        <v>26</v>
      </c>
      <c r="CG126">
        <f t="shared" si="40"/>
        <v>0.23399999999999999</v>
      </c>
      <c r="CI126">
        <v>26</v>
      </c>
      <c r="CK126">
        <f t="shared" si="42"/>
        <v>7.8E-2</v>
      </c>
      <c r="CL126">
        <f t="shared" si="43"/>
        <v>0.74639999999999995</v>
      </c>
      <c r="CM126">
        <f t="shared" si="41"/>
        <v>0.1966</v>
      </c>
      <c r="CN126">
        <f t="shared" si="44"/>
        <v>0.82439999999999991</v>
      </c>
      <c r="CO126">
        <f t="shared" si="45"/>
        <v>0.94299999999999995</v>
      </c>
      <c r="CQ126">
        <v>0.21</v>
      </c>
      <c r="CR126">
        <v>0.5</v>
      </c>
      <c r="CS126">
        <v>0.28000000000000003</v>
      </c>
      <c r="CT126">
        <f t="shared" si="46"/>
        <v>0.71</v>
      </c>
      <c r="CU126">
        <f t="shared" si="47"/>
        <v>0.78</v>
      </c>
    </row>
    <row r="127" spans="1:99" x14ac:dyDescent="0.25">
      <c r="A127">
        <v>2008</v>
      </c>
      <c r="B127">
        <f t="shared" si="24"/>
        <v>108</v>
      </c>
      <c r="C127" s="12">
        <v>39555</v>
      </c>
      <c r="D127">
        <v>9.8000000000000007</v>
      </c>
      <c r="F127" s="4">
        <v>17</v>
      </c>
      <c r="AA127" s="1">
        <f>((B127-B126)*F127)-((B127-B126)*(F127-F126)*0.5)</f>
        <v>700</v>
      </c>
      <c r="AC127">
        <f>AC128</f>
        <v>18</v>
      </c>
      <c r="AF127" s="74">
        <f t="shared" si="52"/>
        <v>30.909090909090907</v>
      </c>
      <c r="AG127" s="11">
        <f t="shared" si="25"/>
        <v>0.55000000000000004</v>
      </c>
      <c r="AH127" s="11"/>
      <c r="AI127" s="11">
        <f>((B127-B126)*AF127)-((B127-B126)*(AF127-AF126)*0.5)</f>
        <v>1272.7272727272727</v>
      </c>
      <c r="AJ127" s="152"/>
      <c r="AK127" s="4">
        <f>MAX($F$125:$F$128)/AG127</f>
        <v>32.727272727272727</v>
      </c>
      <c r="AL127" s="2"/>
      <c r="AM127" s="11"/>
      <c r="AN127" s="189"/>
      <c r="AO127" s="206"/>
      <c r="AP127" s="194" t="s">
        <v>90</v>
      </c>
      <c r="AQ127" s="206"/>
      <c r="AR127" s="189"/>
      <c r="AS127" s="206"/>
      <c r="AT127" s="6" t="e">
        <f>F127/AV127</f>
        <v>#N/A</v>
      </c>
      <c r="AU127">
        <f>B127/D127</f>
        <v>11.020408163265305</v>
      </c>
      <c r="AV127" t="e">
        <f>VLOOKUP(AU127,$CA$102:$CB$270,2)</f>
        <v>#N/A</v>
      </c>
      <c r="AY127" t="e">
        <f>((B127-B126)*AT127)-((B127-B126)*(AT127-AT126)*0.5)</f>
        <v>#N/A</v>
      </c>
      <c r="BA127" s="20">
        <f>B127</f>
        <v>108</v>
      </c>
      <c r="BB127" s="20">
        <f>F127/AC127</f>
        <v>0.94444444444444442</v>
      </c>
      <c r="BD127" s="15">
        <v>1</v>
      </c>
      <c r="BE127" s="15">
        <f>BD127/AC127</f>
        <v>5.5555555555555552E-2</v>
      </c>
      <c r="BF127" s="15">
        <v>6</v>
      </c>
      <c r="BG127" s="15">
        <f>BF127/AC127</f>
        <v>0.33333333333333331</v>
      </c>
      <c r="BH127" s="15">
        <v>11</v>
      </c>
      <c r="BI127" s="15">
        <f>BH127/AC127</f>
        <v>0.61111111111111116</v>
      </c>
      <c r="CF127">
        <v>27</v>
      </c>
      <c r="CG127">
        <f t="shared" si="40"/>
        <v>0.24299999999999999</v>
      </c>
      <c r="CI127">
        <v>27</v>
      </c>
      <c r="CK127">
        <f t="shared" si="42"/>
        <v>8.1000000000000003E-2</v>
      </c>
      <c r="CL127">
        <f t="shared" si="43"/>
        <v>0.74250000000000005</v>
      </c>
      <c r="CM127">
        <f t="shared" si="41"/>
        <v>0.19679999999999997</v>
      </c>
      <c r="CN127">
        <f t="shared" si="44"/>
        <v>0.82350000000000001</v>
      </c>
      <c r="CO127">
        <f t="shared" si="45"/>
        <v>0.93930000000000002</v>
      </c>
      <c r="CQ127">
        <v>0.21</v>
      </c>
      <c r="CR127">
        <v>0.5</v>
      </c>
      <c r="CS127">
        <v>0.28000000000000003</v>
      </c>
      <c r="CT127">
        <f t="shared" si="46"/>
        <v>0.71</v>
      </c>
      <c r="CU127">
        <f t="shared" si="47"/>
        <v>0.78</v>
      </c>
    </row>
    <row r="128" spans="1:99" x14ac:dyDescent="0.25">
      <c r="A128">
        <v>2008</v>
      </c>
      <c r="B128">
        <f t="shared" si="24"/>
        <v>152</v>
      </c>
      <c r="C128" s="12">
        <v>39599</v>
      </c>
      <c r="F128" s="4">
        <v>0</v>
      </c>
      <c r="AA128" s="1">
        <f>0.5*(B128-B127)*F127</f>
        <v>374</v>
      </c>
      <c r="AB128">
        <f>AE128/$AE$1</f>
        <v>33.54</v>
      </c>
      <c r="AC128">
        <f>MAX(F125:F128)</f>
        <v>18</v>
      </c>
      <c r="AD128" s="2">
        <f>AB128/AC128</f>
        <v>1.8633333333333333</v>
      </c>
      <c r="AE128" s="5">
        <f>SUM(AA126:AA128)</f>
        <v>1677</v>
      </c>
      <c r="AF128" s="74">
        <f t="shared" si="52"/>
        <v>0</v>
      </c>
      <c r="AG128" s="11">
        <f t="shared" si="25"/>
        <v>0.55000000000000004</v>
      </c>
      <c r="AH128" s="11"/>
      <c r="AI128" s="11">
        <f>0.5*(B128-B127)*AF127</f>
        <v>680</v>
      </c>
      <c r="AJ128" s="151">
        <f>AM128/$AM$1</f>
        <v>60.981818181818177</v>
      </c>
      <c r="AK128" s="4">
        <f>MAX($F$125:$F$128)/AG128</f>
        <v>32.727272727272727</v>
      </c>
      <c r="AL128" s="2">
        <f>AJ128/AK128</f>
        <v>1.8633333333333333</v>
      </c>
      <c r="AM128" s="11">
        <f>SUM(AI126:AI128)</f>
        <v>3049.090909090909</v>
      </c>
      <c r="AN128" s="189">
        <v>504</v>
      </c>
      <c r="AO128" s="206">
        <v>11.03</v>
      </c>
      <c r="AP128" s="194">
        <f>AK128*AO188</f>
        <v>0</v>
      </c>
      <c r="AQ128" s="206">
        <v>569</v>
      </c>
      <c r="AR128" s="189">
        <v>31.61</v>
      </c>
      <c r="AS128" s="206">
        <f>AK128*$AR$177</f>
        <v>0</v>
      </c>
      <c r="AT128" s="6">
        <v>0</v>
      </c>
      <c r="AW128" t="e">
        <f>AZ128/$AZ$1</f>
        <v>#N/A</v>
      </c>
      <c r="AX128" s="1" t="e">
        <f>AW128/AC128</f>
        <v>#N/A</v>
      </c>
      <c r="AY128" t="e">
        <f>0.5*(B128-B127)*AT127</f>
        <v>#N/A</v>
      </c>
      <c r="AZ128" s="5" t="e">
        <f>SUM(AY126:AY128)</f>
        <v>#N/A</v>
      </c>
      <c r="CF128">
        <v>28</v>
      </c>
      <c r="CG128">
        <f t="shared" si="40"/>
        <v>0.252</v>
      </c>
      <c r="CI128">
        <v>28</v>
      </c>
      <c r="CK128">
        <f t="shared" si="42"/>
        <v>8.4000000000000005E-2</v>
      </c>
      <c r="CL128">
        <f t="shared" si="43"/>
        <v>0.73860000000000003</v>
      </c>
      <c r="CM128">
        <f t="shared" si="41"/>
        <v>0.19699999999999998</v>
      </c>
      <c r="CN128">
        <f t="shared" si="44"/>
        <v>0.8226</v>
      </c>
      <c r="CO128">
        <f t="shared" si="45"/>
        <v>0.93559999999999999</v>
      </c>
      <c r="CQ128">
        <v>0.21</v>
      </c>
      <c r="CR128">
        <v>0.5</v>
      </c>
      <c r="CS128">
        <v>0.28000000000000003</v>
      </c>
      <c r="CT128">
        <f t="shared" si="46"/>
        <v>0.71</v>
      </c>
      <c r="CU128">
        <f t="shared" si="47"/>
        <v>0.78</v>
      </c>
    </row>
    <row r="129" spans="1:99" s="75" customFormat="1" x14ac:dyDescent="0.25">
      <c r="A129" s="75">
        <v>2009</v>
      </c>
      <c r="B129" s="75">
        <f t="shared" si="24"/>
        <v>1</v>
      </c>
      <c r="C129" s="94">
        <v>39814</v>
      </c>
      <c r="F129" s="95">
        <v>0</v>
      </c>
      <c r="G129" s="96"/>
      <c r="O129" s="97"/>
      <c r="P129" s="96"/>
      <c r="X129" s="98"/>
      <c r="Z129" s="98"/>
      <c r="AA129" s="86"/>
      <c r="AC129" s="75">
        <f>AC130</f>
        <v>38</v>
      </c>
      <c r="AD129" s="109"/>
      <c r="AE129" s="99"/>
      <c r="AF129" s="74">
        <f t="shared" si="52"/>
        <v>0</v>
      </c>
      <c r="AG129" s="77">
        <f t="shared" si="25"/>
        <v>0.55000000000000004</v>
      </c>
      <c r="AH129" s="77"/>
      <c r="AI129" s="77"/>
      <c r="AJ129" s="152"/>
      <c r="AK129" s="95">
        <f>MAX($F$129:$F$132)/AG129</f>
        <v>69.090909090909079</v>
      </c>
      <c r="AL129" s="109"/>
      <c r="AM129" s="77"/>
      <c r="AN129" s="189"/>
      <c r="AO129" s="206"/>
      <c r="AP129" s="189"/>
      <c r="AQ129" s="206"/>
      <c r="AR129" s="189"/>
      <c r="AS129" s="206"/>
      <c r="AT129" s="100">
        <v>0</v>
      </c>
      <c r="AX129" s="86"/>
      <c r="AZ129" s="99"/>
      <c r="CF129" s="75">
        <v>29</v>
      </c>
      <c r="CG129" s="75">
        <f t="shared" si="40"/>
        <v>0.26099999999999995</v>
      </c>
      <c r="CI129" s="75">
        <v>29</v>
      </c>
      <c r="CK129" s="75">
        <f t="shared" si="42"/>
        <v>8.7000000000000008E-2</v>
      </c>
      <c r="CL129" s="75">
        <f t="shared" si="43"/>
        <v>0.73470000000000002</v>
      </c>
      <c r="CM129" s="75">
        <f t="shared" si="41"/>
        <v>0.19719999999999999</v>
      </c>
      <c r="CN129" s="75">
        <f t="shared" si="44"/>
        <v>0.82169999999999999</v>
      </c>
      <c r="CO129" s="75">
        <f t="shared" si="45"/>
        <v>0.93189999999999995</v>
      </c>
      <c r="CQ129" s="75">
        <v>0.21</v>
      </c>
      <c r="CR129" s="75">
        <v>0.5</v>
      </c>
      <c r="CS129" s="75">
        <v>0.28000000000000003</v>
      </c>
      <c r="CT129" s="75">
        <f t="shared" si="46"/>
        <v>0.71</v>
      </c>
      <c r="CU129" s="75">
        <f t="shared" si="47"/>
        <v>0.78</v>
      </c>
    </row>
    <row r="130" spans="1:99" s="75" customFormat="1" x14ac:dyDescent="0.25">
      <c r="A130" s="75">
        <v>2009</v>
      </c>
      <c r="B130" s="75">
        <f t="shared" si="24"/>
        <v>85</v>
      </c>
      <c r="C130" s="94">
        <v>39898</v>
      </c>
      <c r="D130" s="75">
        <v>8.1</v>
      </c>
      <c r="F130" s="95">
        <v>24</v>
      </c>
      <c r="G130" s="96"/>
      <c r="O130" s="97"/>
      <c r="P130" s="96"/>
      <c r="X130" s="98"/>
      <c r="Z130" s="98"/>
      <c r="AA130" s="86">
        <f>0.5*(B130-B129)*F130</f>
        <v>1008</v>
      </c>
      <c r="AC130" s="75">
        <f>AC131</f>
        <v>38</v>
      </c>
      <c r="AD130" s="109"/>
      <c r="AE130" s="99"/>
      <c r="AF130" s="74">
        <f t="shared" si="52"/>
        <v>43.636363636363633</v>
      </c>
      <c r="AG130" s="77">
        <f t="shared" si="25"/>
        <v>0.55000000000000004</v>
      </c>
      <c r="AH130" s="77"/>
      <c r="AI130" s="77">
        <f>0.5*($B130-$B129)*$AF130</f>
        <v>1832.7272727272725</v>
      </c>
      <c r="AJ130" s="152"/>
      <c r="AK130" s="95">
        <f>MAX($F$129:$F$132)/AG130</f>
        <v>69.090909090909079</v>
      </c>
      <c r="AL130" s="109"/>
      <c r="AM130" s="77"/>
      <c r="AN130" s="189"/>
      <c r="AO130" s="206"/>
      <c r="AP130" s="189"/>
      <c r="AQ130" s="206"/>
      <c r="AR130" s="189"/>
      <c r="AS130" s="206"/>
      <c r="AT130" s="100" t="e">
        <f>F130/AV130</f>
        <v>#N/A</v>
      </c>
      <c r="AU130" s="75">
        <f>B130/D130</f>
        <v>10.493827160493828</v>
      </c>
      <c r="AV130" s="75" t="e">
        <f>VLOOKUP(AU130,$CA$102:$CB$270,2)</f>
        <v>#N/A</v>
      </c>
      <c r="AX130" s="86"/>
      <c r="AY130" s="75" t="e">
        <f>0.5*(B130-B129)*AT130</f>
        <v>#N/A</v>
      </c>
      <c r="AZ130" s="99"/>
      <c r="BA130" s="75">
        <f>B130</f>
        <v>85</v>
      </c>
      <c r="BB130" s="75">
        <f>F130/AC130</f>
        <v>0.63157894736842102</v>
      </c>
      <c r="BC130" s="75">
        <v>0.63157894736842102</v>
      </c>
      <c r="BD130" s="75">
        <v>5</v>
      </c>
      <c r="BE130" s="75">
        <f>BD130/AC130</f>
        <v>0.13157894736842105</v>
      </c>
      <c r="BF130" s="75">
        <v>18</v>
      </c>
      <c r="BG130" s="75">
        <f>BF130/AC130</f>
        <v>0.47368421052631576</v>
      </c>
      <c r="BH130" s="75">
        <v>1</v>
      </c>
      <c r="BI130" s="75">
        <f>BH130/AC130</f>
        <v>2.6315789473684209E-2</v>
      </c>
      <c r="CF130" s="75">
        <v>30</v>
      </c>
      <c r="CG130" s="75">
        <f t="shared" si="40"/>
        <v>0.26999999999999996</v>
      </c>
      <c r="CI130" s="75">
        <v>30</v>
      </c>
      <c r="CK130" s="75">
        <f t="shared" si="42"/>
        <v>0.09</v>
      </c>
      <c r="CL130" s="75">
        <f t="shared" si="43"/>
        <v>0.73080000000000001</v>
      </c>
      <c r="CM130" s="75">
        <f t="shared" si="41"/>
        <v>0.19739999999999999</v>
      </c>
      <c r="CN130" s="75">
        <f t="shared" si="44"/>
        <v>0.82079999999999997</v>
      </c>
      <c r="CO130" s="75">
        <f t="shared" si="45"/>
        <v>0.92820000000000003</v>
      </c>
      <c r="CQ130" s="75">
        <v>0.21</v>
      </c>
      <c r="CR130" s="75">
        <v>0.5</v>
      </c>
      <c r="CS130" s="75">
        <v>0.28000000000000003</v>
      </c>
      <c r="CT130" s="75">
        <f t="shared" si="46"/>
        <v>0.71</v>
      </c>
      <c r="CU130" s="75">
        <f t="shared" si="47"/>
        <v>0.78</v>
      </c>
    </row>
    <row r="131" spans="1:99" s="75" customFormat="1" x14ac:dyDescent="0.25">
      <c r="A131" s="75">
        <v>2009</v>
      </c>
      <c r="B131" s="75">
        <f t="shared" si="24"/>
        <v>117</v>
      </c>
      <c r="C131" s="94">
        <v>39930</v>
      </c>
      <c r="D131" s="75">
        <v>7.5</v>
      </c>
      <c r="F131" s="95">
        <v>38</v>
      </c>
      <c r="G131" s="96"/>
      <c r="O131" s="97"/>
      <c r="P131" s="96"/>
      <c r="X131" s="98"/>
      <c r="Z131" s="98"/>
      <c r="AA131" s="86">
        <f>((B131-B130)*F131)-((B131-B130)*(F131-F130)*0.5)</f>
        <v>992</v>
      </c>
      <c r="AC131" s="75">
        <f>AC132</f>
        <v>38</v>
      </c>
      <c r="AD131" s="109"/>
      <c r="AE131" s="99"/>
      <c r="AF131" s="74">
        <f t="shared" si="52"/>
        <v>69.090909090909079</v>
      </c>
      <c r="AG131" s="77">
        <f t="shared" si="25"/>
        <v>0.55000000000000004</v>
      </c>
      <c r="AH131" s="77"/>
      <c r="AI131" s="77">
        <f>((B131-B130)*AF131)-((B131-B130)*(AF131-AF130)*0.5)</f>
        <v>1803.6363636363635</v>
      </c>
      <c r="AJ131" s="152"/>
      <c r="AK131" s="95">
        <f>MAX($F$129:$F$132)/AG131</f>
        <v>69.090909090909079</v>
      </c>
      <c r="AL131" s="109"/>
      <c r="AM131" s="77"/>
      <c r="AN131" s="189"/>
      <c r="AO131" s="206"/>
      <c r="AP131" s="194" t="s">
        <v>90</v>
      </c>
      <c r="AQ131" s="206"/>
      <c r="AR131" s="189"/>
      <c r="AS131" s="206"/>
      <c r="AT131" s="100" t="e">
        <f>F131/AV131</f>
        <v>#N/A</v>
      </c>
      <c r="AU131" s="75">
        <f>B131/D131</f>
        <v>15.6</v>
      </c>
      <c r="AV131" s="75" t="e">
        <f>VLOOKUP(AU131,$CA$102:$CB$270,2)</f>
        <v>#N/A</v>
      </c>
      <c r="AX131" s="86"/>
      <c r="AY131" s="75" t="e">
        <f>((B131-B130)*AT131)-((B131-B130)*(AT131-AT130)*0.5)</f>
        <v>#N/A</v>
      </c>
      <c r="AZ131" s="99"/>
      <c r="BA131" s="75">
        <f>B131</f>
        <v>117</v>
      </c>
      <c r="BB131" s="75">
        <f>F131/AC131</f>
        <v>1</v>
      </c>
      <c r="BC131" s="75">
        <v>1</v>
      </c>
      <c r="BD131" s="75">
        <v>12</v>
      </c>
      <c r="BE131" s="75">
        <f>BD131/AC131</f>
        <v>0.31578947368421051</v>
      </c>
      <c r="BF131" s="75">
        <v>20</v>
      </c>
      <c r="BG131" s="75">
        <f>BF131/AC131</f>
        <v>0.52631578947368418</v>
      </c>
      <c r="BH131" s="75">
        <v>6</v>
      </c>
      <c r="BI131" s="75">
        <f>BH131/AC131</f>
        <v>0.15789473684210525</v>
      </c>
      <c r="CF131" s="75">
        <v>31</v>
      </c>
      <c r="CG131" s="75">
        <f t="shared" si="40"/>
        <v>0.27899999999999997</v>
      </c>
      <c r="CI131" s="75">
        <v>31</v>
      </c>
      <c r="CK131" s="75">
        <f t="shared" si="42"/>
        <v>9.2999999999999999E-2</v>
      </c>
      <c r="CL131" s="75">
        <f t="shared" si="43"/>
        <v>0.72689999999999999</v>
      </c>
      <c r="CM131" s="75">
        <f t="shared" si="41"/>
        <v>0.1976</v>
      </c>
      <c r="CN131" s="75">
        <f t="shared" si="44"/>
        <v>0.81989999999999996</v>
      </c>
      <c r="CO131" s="75">
        <f t="shared" si="45"/>
        <v>0.92449999999999999</v>
      </c>
      <c r="CQ131" s="75">
        <v>0.21</v>
      </c>
      <c r="CR131" s="75">
        <v>0.5</v>
      </c>
      <c r="CS131" s="75">
        <v>0.28000000000000003</v>
      </c>
      <c r="CT131" s="75">
        <f t="shared" si="46"/>
        <v>0.71</v>
      </c>
      <c r="CU131" s="75">
        <f t="shared" si="47"/>
        <v>0.78</v>
      </c>
    </row>
    <row r="132" spans="1:99" s="75" customFormat="1" x14ac:dyDescent="0.25">
      <c r="A132" s="75">
        <v>2009</v>
      </c>
      <c r="B132" s="75">
        <f t="shared" si="24"/>
        <v>151</v>
      </c>
      <c r="C132" s="94">
        <v>39964</v>
      </c>
      <c r="F132" s="95">
        <v>0</v>
      </c>
      <c r="G132" s="96"/>
      <c r="O132" s="97"/>
      <c r="P132" s="96"/>
      <c r="X132" s="98"/>
      <c r="Z132" s="98"/>
      <c r="AA132" s="86">
        <f>0.5*(B132-B131)*F131</f>
        <v>646</v>
      </c>
      <c r="AB132" s="75">
        <f>AE132/$AE$1</f>
        <v>52.92</v>
      </c>
      <c r="AC132" s="75">
        <f>MAX(F129:F132)</f>
        <v>38</v>
      </c>
      <c r="AD132" s="109">
        <f>AB132/AC132</f>
        <v>1.3926315789473684</v>
      </c>
      <c r="AE132" s="99">
        <f>SUM(AA129:AA132)</f>
        <v>2646</v>
      </c>
      <c r="AF132" s="74">
        <f t="shared" si="52"/>
        <v>0</v>
      </c>
      <c r="AG132" s="77">
        <f t="shared" si="25"/>
        <v>0.55000000000000004</v>
      </c>
      <c r="AH132" s="77"/>
      <c r="AI132" s="77">
        <f>0.5*(B132-B131)*AF131</f>
        <v>1174.5454545454543</v>
      </c>
      <c r="AJ132" s="152">
        <f>AM132/$AM$1</f>
        <v>96.218181818181804</v>
      </c>
      <c r="AK132" s="95">
        <f>MAX($F$129:$F$132)/AG132</f>
        <v>69.090909090909079</v>
      </c>
      <c r="AL132" s="109">
        <f>AJ132/AK132</f>
        <v>1.3926315789473684</v>
      </c>
      <c r="AM132" s="77">
        <f>SUM(AI129:AI132)</f>
        <v>4810.9090909090901</v>
      </c>
      <c r="AN132" s="189">
        <v>201</v>
      </c>
      <c r="AO132" s="206">
        <v>5.13</v>
      </c>
      <c r="AP132" s="194">
        <f>AK132*AO188</f>
        <v>0</v>
      </c>
      <c r="AQ132" s="206">
        <v>72</v>
      </c>
      <c r="AR132" s="189">
        <v>1.88</v>
      </c>
      <c r="AS132" s="206">
        <f>AK132*$AR$188</f>
        <v>0</v>
      </c>
      <c r="AT132" s="100">
        <v>0</v>
      </c>
      <c r="AW132" s="75" t="e">
        <f>AZ132/$AZ$1</f>
        <v>#N/A</v>
      </c>
      <c r="AX132" s="86" t="e">
        <f>AW132/AC132</f>
        <v>#N/A</v>
      </c>
      <c r="AY132" s="75" t="e">
        <f>0.5*(B132-B131)*AT131</f>
        <v>#N/A</v>
      </c>
      <c r="AZ132" s="99" t="e">
        <f>SUM(AY130:AY132)</f>
        <v>#N/A</v>
      </c>
      <c r="CF132" s="75">
        <v>32</v>
      </c>
      <c r="CG132" s="75">
        <f t="shared" si="40"/>
        <v>0.28799999999999998</v>
      </c>
      <c r="CI132" s="75">
        <v>32</v>
      </c>
      <c r="CK132" s="75">
        <f t="shared" si="42"/>
        <v>9.6000000000000002E-2</v>
      </c>
      <c r="CL132" s="75">
        <f t="shared" si="43"/>
        <v>0.72299999999999998</v>
      </c>
      <c r="CM132" s="75">
        <f t="shared" si="41"/>
        <v>0.19779999999999998</v>
      </c>
      <c r="CN132" s="75">
        <f t="shared" si="44"/>
        <v>0.81899999999999995</v>
      </c>
      <c r="CO132" s="75">
        <f t="shared" si="45"/>
        <v>0.92079999999999995</v>
      </c>
      <c r="CQ132" s="75">
        <v>0.21</v>
      </c>
      <c r="CR132" s="75">
        <v>0.5</v>
      </c>
      <c r="CS132" s="75">
        <v>0.28000000000000003</v>
      </c>
      <c r="CT132" s="75">
        <f t="shared" si="46"/>
        <v>0.71</v>
      </c>
      <c r="CU132" s="75">
        <f t="shared" si="47"/>
        <v>0.78</v>
      </c>
    </row>
    <row r="133" spans="1:99" x14ac:dyDescent="0.25">
      <c r="A133">
        <v>2010</v>
      </c>
      <c r="B133">
        <f t="shared" si="24"/>
        <v>1</v>
      </c>
      <c r="C133" s="12">
        <v>40179</v>
      </c>
      <c r="F133" s="4">
        <v>0</v>
      </c>
      <c r="AC133">
        <f>AC134</f>
        <v>54</v>
      </c>
      <c r="AF133" s="74">
        <f t="shared" si="52"/>
        <v>0</v>
      </c>
      <c r="AG133" s="11">
        <f t="shared" si="25"/>
        <v>0.55000000000000004</v>
      </c>
      <c r="AH133" s="11"/>
      <c r="AI133" s="11"/>
      <c r="AJ133" s="152"/>
      <c r="AK133" s="4">
        <f>MAX($F$133:$F$136)</f>
        <v>54</v>
      </c>
      <c r="AL133" s="2"/>
      <c r="AM133" s="11"/>
      <c r="AN133" s="189"/>
      <c r="AO133" s="206"/>
      <c r="AP133" s="189"/>
      <c r="AQ133" s="206"/>
      <c r="AR133" s="189"/>
      <c r="AS133" s="206"/>
      <c r="AT133" s="6">
        <v>0</v>
      </c>
      <c r="CF133">
        <v>33</v>
      </c>
      <c r="CG133">
        <f t="shared" ref="CG133:CG165" si="53">CF133*0.009</f>
        <v>0.29699999999999999</v>
      </c>
      <c r="CI133">
        <v>33</v>
      </c>
      <c r="CK133">
        <f t="shared" si="42"/>
        <v>9.9000000000000005E-2</v>
      </c>
      <c r="CL133">
        <f t="shared" si="43"/>
        <v>0.71910000000000007</v>
      </c>
      <c r="CM133">
        <f t="shared" ref="CM133:CM164" si="54">(0.0002*CI133)+0.1914</f>
        <v>0.19799999999999998</v>
      </c>
      <c r="CN133">
        <f t="shared" si="44"/>
        <v>0.81810000000000005</v>
      </c>
      <c r="CO133">
        <f t="shared" si="45"/>
        <v>0.91710000000000003</v>
      </c>
      <c r="CQ133">
        <v>0.21</v>
      </c>
      <c r="CR133">
        <v>0.5</v>
      </c>
      <c r="CS133">
        <v>0.28000000000000003</v>
      </c>
      <c r="CT133">
        <f t="shared" si="46"/>
        <v>0.71</v>
      </c>
      <c r="CU133">
        <f t="shared" si="47"/>
        <v>0.78</v>
      </c>
    </row>
    <row r="134" spans="1:99" x14ac:dyDescent="0.25">
      <c r="A134">
        <v>2010</v>
      </c>
      <c r="B134">
        <f t="shared" si="24"/>
        <v>69</v>
      </c>
      <c r="C134" s="12">
        <v>40247</v>
      </c>
      <c r="D134">
        <v>6.2</v>
      </c>
      <c r="F134" s="4">
        <v>42</v>
      </c>
      <c r="AA134" s="1">
        <f>0.5*(B134-B133)*F134</f>
        <v>1428</v>
      </c>
      <c r="AC134">
        <f>AC135</f>
        <v>54</v>
      </c>
      <c r="AF134" s="74">
        <f t="shared" si="52"/>
        <v>76.36363636363636</v>
      </c>
      <c r="AG134" s="11">
        <f t="shared" si="25"/>
        <v>0.55000000000000004</v>
      </c>
      <c r="AH134" s="11"/>
      <c r="AI134" s="11">
        <f>0.5*($B134-$B133)*$AF134</f>
        <v>2596.363636363636</v>
      </c>
      <c r="AJ134" s="152"/>
      <c r="AK134" s="4">
        <f>MAX($F$133:$F$136)</f>
        <v>54</v>
      </c>
      <c r="AL134" s="2"/>
      <c r="AM134" s="11"/>
      <c r="AN134" s="189"/>
      <c r="AO134" s="206"/>
      <c r="AP134" s="189"/>
      <c r="AQ134" s="206"/>
      <c r="AR134" s="189"/>
      <c r="AS134" s="206"/>
      <c r="AT134" s="6" t="e">
        <f>F134/AV134</f>
        <v>#N/A</v>
      </c>
      <c r="AU134">
        <f>B134/D134</f>
        <v>11.129032258064516</v>
      </c>
      <c r="AV134" t="e">
        <f>VLOOKUP(AU134,$CA$102:$CB$270,2)</f>
        <v>#N/A</v>
      </c>
      <c r="AY134" t="e">
        <f>0.5*(B134-B133)*AT134</f>
        <v>#N/A</v>
      </c>
      <c r="BA134" s="20">
        <f>B134</f>
        <v>69</v>
      </c>
      <c r="BB134" s="20">
        <f>F134/AC134</f>
        <v>0.77777777777777779</v>
      </c>
      <c r="BC134" s="20">
        <v>0.77777777777777779</v>
      </c>
      <c r="BD134" s="24"/>
      <c r="BF134" s="24"/>
      <c r="BH134" s="24"/>
      <c r="BJ134" s="24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CF134">
        <v>34</v>
      </c>
      <c r="CG134">
        <f t="shared" si="53"/>
        <v>0.30599999999999999</v>
      </c>
      <c r="CI134">
        <v>34</v>
      </c>
      <c r="CK134">
        <f t="shared" si="42"/>
        <v>0.10200000000000001</v>
      </c>
      <c r="CL134">
        <f t="shared" si="43"/>
        <v>0.71520000000000006</v>
      </c>
      <c r="CM134">
        <f t="shared" si="54"/>
        <v>0.19819999999999999</v>
      </c>
      <c r="CN134">
        <f t="shared" si="44"/>
        <v>0.81720000000000004</v>
      </c>
      <c r="CO134">
        <f t="shared" si="45"/>
        <v>0.91339999999999999</v>
      </c>
      <c r="CQ134">
        <v>0.21</v>
      </c>
      <c r="CR134">
        <v>0.5</v>
      </c>
      <c r="CS134">
        <v>0.28000000000000003</v>
      </c>
      <c r="CT134">
        <f t="shared" si="46"/>
        <v>0.71</v>
      </c>
      <c r="CU134">
        <f t="shared" si="47"/>
        <v>0.78</v>
      </c>
    </row>
    <row r="135" spans="1:99" x14ac:dyDescent="0.25">
      <c r="A135">
        <v>2010</v>
      </c>
      <c r="B135">
        <f t="shared" si="24"/>
        <v>105</v>
      </c>
      <c r="C135" s="12">
        <v>40283</v>
      </c>
      <c r="D135">
        <v>13</v>
      </c>
      <c r="F135" s="4">
        <v>54</v>
      </c>
      <c r="AA135" s="1">
        <f>((B135-B134)*F135)-((B135-B134)*(F135-F134)*0.5)</f>
        <v>1728</v>
      </c>
      <c r="AC135">
        <f>AC136</f>
        <v>54</v>
      </c>
      <c r="AF135" s="74">
        <f t="shared" si="52"/>
        <v>98.181818181818173</v>
      </c>
      <c r="AG135" s="11">
        <f t="shared" si="25"/>
        <v>0.55000000000000004</v>
      </c>
      <c r="AH135" s="11"/>
      <c r="AI135" s="11">
        <f>((B135-B134)*AF135)-((B135-B134)*(AF135-AF134)*0.5)</f>
        <v>3141.8181818181815</v>
      </c>
      <c r="AJ135" s="152"/>
      <c r="AK135" s="4">
        <f>MAX($F$133:$F$136)</f>
        <v>54</v>
      </c>
      <c r="AL135" s="2"/>
      <c r="AM135" s="11"/>
      <c r="AN135" s="189"/>
      <c r="AO135" s="206"/>
      <c r="AP135" s="189"/>
      <c r="AQ135" s="206"/>
      <c r="AR135" s="189"/>
      <c r="AS135" s="206"/>
      <c r="AT135" s="6" t="e">
        <f>F135/AV135</f>
        <v>#N/A</v>
      </c>
      <c r="AU135">
        <f>B135/D135</f>
        <v>8.0769230769230766</v>
      </c>
      <c r="AV135" t="e">
        <f>VLOOKUP(AU135,$CA$102:$CB$270,2)</f>
        <v>#N/A</v>
      </c>
      <c r="AY135" t="e">
        <f>((B135-B134)*AT135)-((B135-B134)*(AV135-AT134)*0.5)</f>
        <v>#N/A</v>
      </c>
      <c r="BA135" s="20">
        <f>B135</f>
        <v>105</v>
      </c>
      <c r="BB135" s="20">
        <f>F135/AC135</f>
        <v>1</v>
      </c>
      <c r="BC135" s="20">
        <v>1</v>
      </c>
      <c r="BD135" s="15">
        <v>24</v>
      </c>
      <c r="BE135" s="15">
        <f>BD135/AC135</f>
        <v>0.44444444444444442</v>
      </c>
      <c r="BF135" s="15">
        <v>26</v>
      </c>
      <c r="BG135" s="15">
        <f>BF135/AC135</f>
        <v>0.48148148148148145</v>
      </c>
      <c r="BH135" s="15">
        <v>4</v>
      </c>
      <c r="BI135" s="15">
        <f>BH135/AC135</f>
        <v>7.407407407407407E-2</v>
      </c>
      <c r="CF135">
        <v>35</v>
      </c>
      <c r="CG135">
        <f t="shared" si="53"/>
        <v>0.315</v>
      </c>
      <c r="CI135">
        <v>35</v>
      </c>
      <c r="CK135">
        <f t="shared" si="42"/>
        <v>0.105</v>
      </c>
      <c r="CL135">
        <f t="shared" si="43"/>
        <v>0.71130000000000004</v>
      </c>
      <c r="CM135">
        <f t="shared" si="54"/>
        <v>0.19839999999999999</v>
      </c>
      <c r="CN135">
        <f t="shared" si="44"/>
        <v>0.81630000000000003</v>
      </c>
      <c r="CO135">
        <f t="shared" si="45"/>
        <v>0.90970000000000006</v>
      </c>
      <c r="CQ135">
        <v>0.21</v>
      </c>
      <c r="CR135">
        <v>0.5</v>
      </c>
      <c r="CS135">
        <v>0.28000000000000003</v>
      </c>
      <c r="CT135">
        <f t="shared" si="46"/>
        <v>0.71</v>
      </c>
      <c r="CU135">
        <f t="shared" si="47"/>
        <v>0.78</v>
      </c>
    </row>
    <row r="136" spans="1:99" x14ac:dyDescent="0.25">
      <c r="A136">
        <v>2010</v>
      </c>
      <c r="B136">
        <f t="shared" si="24"/>
        <v>151</v>
      </c>
      <c r="C136" s="12">
        <v>40329</v>
      </c>
      <c r="F136" s="4">
        <v>0</v>
      </c>
      <c r="AA136" s="1">
        <f>0.5*(B136-B135)*F135</f>
        <v>1242</v>
      </c>
      <c r="AB136">
        <f>AE136/$AE$1</f>
        <v>87.96</v>
      </c>
      <c r="AC136">
        <f>MAX(F133:F136)</f>
        <v>54</v>
      </c>
      <c r="AD136" s="2">
        <f>AB136/AC136</f>
        <v>1.6288888888888888</v>
      </c>
      <c r="AE136" s="182">
        <f>SUM(AA134:AA136)</f>
        <v>4398</v>
      </c>
      <c r="AF136" s="74">
        <f t="shared" si="52"/>
        <v>0</v>
      </c>
      <c r="AG136" s="11">
        <f t="shared" si="25"/>
        <v>0.55000000000000004</v>
      </c>
      <c r="AH136" s="11"/>
      <c r="AI136" s="11">
        <f>0.5*(B136-B135)*AF135</f>
        <v>2258.181818181818</v>
      </c>
      <c r="AJ136" s="151">
        <f>AM136/$AM$1</f>
        <v>159.92727272727271</v>
      </c>
      <c r="AK136" s="4">
        <f>MAX($F$133:$F$136)</f>
        <v>54</v>
      </c>
      <c r="AL136" s="2">
        <f>AJ136/AK136</f>
        <v>2.9616161616161611</v>
      </c>
      <c r="AM136" s="11">
        <f>SUM(AI134:AI136)</f>
        <v>7996.363636363636</v>
      </c>
      <c r="AN136" s="189">
        <v>198</v>
      </c>
      <c r="AO136" s="206">
        <v>3.84</v>
      </c>
      <c r="AP136" s="193">
        <f>AN136</f>
        <v>198</v>
      </c>
      <c r="AQ136" s="206">
        <v>228</v>
      </c>
      <c r="AR136" s="189">
        <v>4.2300000000000004</v>
      </c>
      <c r="AS136" s="206">
        <f>AK136*$AR$188</f>
        <v>0</v>
      </c>
      <c r="AT136" s="6">
        <v>0</v>
      </c>
      <c r="AW136" t="e">
        <f>AZ136/$AZ$1</f>
        <v>#N/A</v>
      </c>
      <c r="AX136" s="1" t="e">
        <f>AW136/AC136</f>
        <v>#N/A</v>
      </c>
      <c r="AY136" t="e">
        <f>0.5*(B136-B135)*AT135</f>
        <v>#N/A</v>
      </c>
      <c r="AZ136" s="5" t="e">
        <f>SUM(AY133:AY136)</f>
        <v>#N/A</v>
      </c>
      <c r="CF136">
        <v>36</v>
      </c>
      <c r="CG136">
        <f t="shared" si="53"/>
        <v>0.32399999999999995</v>
      </c>
      <c r="CI136">
        <v>36</v>
      </c>
      <c r="CK136">
        <f t="shared" si="42"/>
        <v>0.108</v>
      </c>
      <c r="CL136">
        <f t="shared" si="43"/>
        <v>0.70740000000000003</v>
      </c>
      <c r="CM136">
        <f t="shared" si="54"/>
        <v>0.1986</v>
      </c>
      <c r="CN136">
        <f t="shared" si="44"/>
        <v>0.81540000000000001</v>
      </c>
      <c r="CO136">
        <f t="shared" si="45"/>
        <v>0.90600000000000003</v>
      </c>
      <c r="CQ136">
        <v>0.21</v>
      </c>
      <c r="CR136">
        <v>0.5</v>
      </c>
      <c r="CS136">
        <v>0.28000000000000003</v>
      </c>
      <c r="CT136">
        <f t="shared" si="46"/>
        <v>0.71</v>
      </c>
      <c r="CU136">
        <f t="shared" si="47"/>
        <v>0.78</v>
      </c>
    </row>
    <row r="137" spans="1:99" s="75" customFormat="1" x14ac:dyDescent="0.25">
      <c r="A137" s="75">
        <v>2011</v>
      </c>
      <c r="B137" s="75">
        <f t="shared" si="24"/>
        <v>1</v>
      </c>
      <c r="C137" s="94">
        <v>40544</v>
      </c>
      <c r="F137" s="95">
        <v>0</v>
      </c>
      <c r="G137" s="96"/>
      <c r="O137" s="97"/>
      <c r="P137" s="96"/>
      <c r="X137" s="98"/>
      <c r="Z137" s="98"/>
      <c r="AA137" s="86"/>
      <c r="AC137" s="75">
        <f>AC138</f>
        <v>103</v>
      </c>
      <c r="AD137" s="109"/>
      <c r="AE137" s="99"/>
      <c r="AF137" s="74">
        <f t="shared" si="52"/>
        <v>0</v>
      </c>
      <c r="AG137" s="77">
        <f t="shared" si="25"/>
        <v>0.55000000000000004</v>
      </c>
      <c r="AH137" s="77"/>
      <c r="AI137" s="77"/>
      <c r="AJ137" s="152"/>
      <c r="AK137" s="95">
        <f>MAX($F$137:$F$140)/AG137</f>
        <v>187.27272727272725</v>
      </c>
      <c r="AL137" s="109"/>
      <c r="AM137" s="77"/>
      <c r="AN137" s="189"/>
      <c r="AO137" s="206"/>
      <c r="AP137" s="189"/>
      <c r="AQ137" s="206"/>
      <c r="AR137" s="189"/>
      <c r="AS137" s="206"/>
      <c r="AT137" s="100">
        <v>0</v>
      </c>
      <c r="AX137" s="86"/>
      <c r="AZ137" s="99"/>
      <c r="CF137" s="75">
        <v>37</v>
      </c>
      <c r="CG137" s="75">
        <f t="shared" si="53"/>
        <v>0.33299999999999996</v>
      </c>
      <c r="CI137" s="75">
        <v>37</v>
      </c>
      <c r="CK137" s="75">
        <f t="shared" si="42"/>
        <v>0.111</v>
      </c>
      <c r="CL137" s="75">
        <f t="shared" si="43"/>
        <v>0.70350000000000001</v>
      </c>
      <c r="CM137" s="75">
        <f t="shared" si="54"/>
        <v>0.19879999999999998</v>
      </c>
      <c r="CN137" s="75">
        <f t="shared" si="44"/>
        <v>0.8145</v>
      </c>
      <c r="CO137" s="75">
        <f t="shared" si="45"/>
        <v>0.90229999999999999</v>
      </c>
      <c r="CQ137" s="75">
        <v>0.21</v>
      </c>
      <c r="CR137" s="75">
        <v>0.5</v>
      </c>
      <c r="CS137" s="75">
        <v>0.28000000000000003</v>
      </c>
      <c r="CT137" s="75">
        <f t="shared" si="46"/>
        <v>0.71</v>
      </c>
      <c r="CU137" s="75">
        <f t="shared" si="47"/>
        <v>0.78</v>
      </c>
    </row>
    <row r="138" spans="1:99" s="75" customFormat="1" x14ac:dyDescent="0.25">
      <c r="A138" s="75">
        <v>2011</v>
      </c>
      <c r="B138" s="75">
        <f t="shared" si="24"/>
        <v>87</v>
      </c>
      <c r="C138" s="94">
        <v>40630</v>
      </c>
      <c r="D138" s="75">
        <v>9.4</v>
      </c>
      <c r="F138" s="95">
        <v>68</v>
      </c>
      <c r="G138" s="96"/>
      <c r="O138" s="97"/>
      <c r="P138" s="96"/>
      <c r="X138" s="98"/>
      <c r="Z138" s="98"/>
      <c r="AA138" s="86">
        <f>0.5*(B138-B137)*F138</f>
        <v>2924</v>
      </c>
      <c r="AC138" s="75">
        <f>AC139</f>
        <v>103</v>
      </c>
      <c r="AD138" s="109"/>
      <c r="AE138" s="99"/>
      <c r="AF138" s="74">
        <f t="shared" si="52"/>
        <v>123.63636363636363</v>
      </c>
      <c r="AG138" s="77">
        <f t="shared" si="25"/>
        <v>0.55000000000000004</v>
      </c>
      <c r="AH138" s="77"/>
      <c r="AI138" s="77">
        <f>0.5*($B138-$B137)*$AF138</f>
        <v>5316.363636363636</v>
      </c>
      <c r="AJ138" s="152"/>
      <c r="AK138" s="95">
        <f>MAX($F$137:$F$140)/AG138</f>
        <v>187.27272727272725</v>
      </c>
      <c r="AL138" s="109"/>
      <c r="AM138" s="77"/>
      <c r="AN138" s="189"/>
      <c r="AO138" s="206"/>
      <c r="AP138" s="189"/>
      <c r="AQ138" s="206"/>
      <c r="AR138" s="189"/>
      <c r="AS138" s="206"/>
      <c r="AT138" s="100" t="e">
        <f>F138/AV138</f>
        <v>#N/A</v>
      </c>
      <c r="AU138" s="75">
        <f>B138/D138</f>
        <v>9.2553191489361701</v>
      </c>
      <c r="AV138" s="75" t="e">
        <f>VLOOKUP(AU138,$CA$102:$CB$270,2)</f>
        <v>#N/A</v>
      </c>
      <c r="AX138" s="86"/>
      <c r="AY138" s="75" t="e">
        <f>0.5*(B138-B137)*AT138</f>
        <v>#N/A</v>
      </c>
      <c r="AZ138" s="99"/>
      <c r="BA138" s="75">
        <f>B138</f>
        <v>87</v>
      </c>
      <c r="BB138" s="75">
        <f>F138/AC138</f>
        <v>0.66019417475728159</v>
      </c>
      <c r="BC138" s="75">
        <v>0.66019417475728159</v>
      </c>
      <c r="BD138" s="75">
        <v>6</v>
      </c>
      <c r="BE138" s="75">
        <f>BD138/AC138</f>
        <v>5.8252427184466021E-2</v>
      </c>
      <c r="BF138" s="75">
        <v>51</v>
      </c>
      <c r="BG138" s="75">
        <f>BF138/AC138</f>
        <v>0.49514563106796117</v>
      </c>
      <c r="BH138" s="75">
        <v>11</v>
      </c>
      <c r="BI138" s="75">
        <f>BH138/AC138</f>
        <v>0.10679611650485436</v>
      </c>
      <c r="CF138" s="75">
        <v>38</v>
      </c>
      <c r="CG138" s="75">
        <f t="shared" si="53"/>
        <v>0.34199999999999997</v>
      </c>
      <c r="CI138" s="75">
        <v>38</v>
      </c>
      <c r="CK138" s="75">
        <f t="shared" si="42"/>
        <v>0.114</v>
      </c>
      <c r="CL138" s="75">
        <f t="shared" si="43"/>
        <v>0.6996</v>
      </c>
      <c r="CM138" s="75">
        <f t="shared" si="54"/>
        <v>0.19899999999999998</v>
      </c>
      <c r="CN138" s="75">
        <f t="shared" si="44"/>
        <v>0.81359999999999999</v>
      </c>
      <c r="CO138" s="75">
        <f t="shared" si="45"/>
        <v>0.89859999999999995</v>
      </c>
      <c r="CQ138" s="75">
        <v>0.21</v>
      </c>
      <c r="CR138" s="75">
        <v>0.5</v>
      </c>
      <c r="CS138" s="75">
        <v>0.28000000000000003</v>
      </c>
      <c r="CT138" s="75">
        <f t="shared" si="46"/>
        <v>0.71</v>
      </c>
      <c r="CU138" s="75">
        <f t="shared" si="47"/>
        <v>0.78</v>
      </c>
    </row>
    <row r="139" spans="1:99" s="75" customFormat="1" x14ac:dyDescent="0.25">
      <c r="A139" s="75">
        <v>2011</v>
      </c>
      <c r="B139" s="75">
        <f t="shared" si="24"/>
        <v>109</v>
      </c>
      <c r="C139" s="94">
        <v>40652</v>
      </c>
      <c r="D139" s="75">
        <v>5.2</v>
      </c>
      <c r="F139" s="95">
        <v>103</v>
      </c>
      <c r="G139" s="96"/>
      <c r="O139" s="97"/>
      <c r="P139" s="96"/>
      <c r="X139" s="98"/>
      <c r="Z139" s="98"/>
      <c r="AA139" s="86">
        <f>((B139-B138)*F139)-((B139-B138)*(F139-F138)*0.5)</f>
        <v>1881</v>
      </c>
      <c r="AC139" s="75">
        <f>AC140</f>
        <v>103</v>
      </c>
      <c r="AD139" s="109"/>
      <c r="AE139" s="99"/>
      <c r="AF139" s="74">
        <f t="shared" si="52"/>
        <v>187.27272727272725</v>
      </c>
      <c r="AG139" s="77">
        <f t="shared" si="25"/>
        <v>0.55000000000000004</v>
      </c>
      <c r="AH139" s="77"/>
      <c r="AI139" s="77">
        <f>((B139-B138)*AF139)-((B139-B138)*(AF139-AF138)*0.5)</f>
        <v>3420</v>
      </c>
      <c r="AJ139" s="152"/>
      <c r="AK139" s="95">
        <f>MAX($F$137:$F$140)/AG139</f>
        <v>187.27272727272725</v>
      </c>
      <c r="AL139" s="109"/>
      <c r="AM139" s="77"/>
      <c r="AN139" s="189"/>
      <c r="AO139" s="206"/>
      <c r="AP139" s="189"/>
      <c r="AQ139" s="206"/>
      <c r="AR139" s="189"/>
      <c r="AS139" s="206"/>
      <c r="AT139" s="100" t="e">
        <f>F139/AV139</f>
        <v>#N/A</v>
      </c>
      <c r="AU139" s="75">
        <f>B139/D139</f>
        <v>20.96153846153846</v>
      </c>
      <c r="AV139" s="75" t="e">
        <f>VLOOKUP(AU139,$CA$102:$CB$270,2)</f>
        <v>#N/A</v>
      </c>
      <c r="AX139" s="86"/>
      <c r="AY139" s="75" t="e">
        <f>((B139-B138)*AT139)-((B139-B138)*(AT139-AT138)*0.5)</f>
        <v>#N/A</v>
      </c>
      <c r="AZ139" s="99"/>
      <c r="BA139" s="75">
        <f>B139</f>
        <v>109</v>
      </c>
      <c r="BB139" s="75">
        <f>F139/AC139</f>
        <v>1</v>
      </c>
      <c r="BC139" s="75">
        <v>1</v>
      </c>
      <c r="BD139" s="75">
        <v>19</v>
      </c>
      <c r="BE139" s="75">
        <f>BD139/AC139</f>
        <v>0.18446601941747573</v>
      </c>
      <c r="BF139" s="75">
        <v>60</v>
      </c>
      <c r="BG139" s="75">
        <f>BF139/AC139</f>
        <v>0.58252427184466016</v>
      </c>
      <c r="BH139" s="75">
        <v>24</v>
      </c>
      <c r="BI139" s="75">
        <f>BH139/AC139</f>
        <v>0.23300970873786409</v>
      </c>
      <c r="CF139" s="75">
        <v>39</v>
      </c>
      <c r="CG139" s="75">
        <f t="shared" si="53"/>
        <v>0.35099999999999998</v>
      </c>
      <c r="CI139" s="75">
        <v>39</v>
      </c>
      <c r="CK139" s="75">
        <f t="shared" si="42"/>
        <v>0.11700000000000001</v>
      </c>
      <c r="CL139" s="75">
        <f t="shared" si="43"/>
        <v>0.69569999999999999</v>
      </c>
      <c r="CM139" s="75">
        <f t="shared" si="54"/>
        <v>0.19919999999999999</v>
      </c>
      <c r="CN139" s="75">
        <f t="shared" si="44"/>
        <v>0.81269999999999998</v>
      </c>
      <c r="CO139" s="75">
        <f t="shared" si="45"/>
        <v>0.89490000000000003</v>
      </c>
      <c r="CQ139" s="75">
        <v>0.21</v>
      </c>
      <c r="CR139" s="75">
        <v>0.5</v>
      </c>
      <c r="CS139" s="75">
        <v>0.28000000000000003</v>
      </c>
      <c r="CT139" s="75">
        <f t="shared" si="46"/>
        <v>0.71</v>
      </c>
      <c r="CU139" s="75">
        <f t="shared" si="47"/>
        <v>0.78</v>
      </c>
    </row>
    <row r="140" spans="1:99" s="75" customFormat="1" x14ac:dyDescent="0.25">
      <c r="A140" s="75">
        <v>2011</v>
      </c>
      <c r="B140" s="75">
        <f t="shared" si="24"/>
        <v>151</v>
      </c>
      <c r="C140" s="94">
        <v>40694</v>
      </c>
      <c r="F140" s="95">
        <v>0</v>
      </c>
      <c r="G140" s="96"/>
      <c r="O140" s="97"/>
      <c r="P140" s="96"/>
      <c r="X140" s="98"/>
      <c r="Z140" s="98"/>
      <c r="AA140" s="86">
        <f>0.5*(B140-B139)*F139</f>
        <v>2163</v>
      </c>
      <c r="AB140" s="75">
        <f>AE140/$AE$1</f>
        <v>139.36000000000001</v>
      </c>
      <c r="AC140" s="75">
        <f>MAX(F137:F140)</f>
        <v>103</v>
      </c>
      <c r="AD140" s="109">
        <f>AB140/AC140</f>
        <v>1.3530097087378643</v>
      </c>
      <c r="AE140" s="99">
        <f>SUM(AA138:AA140)</f>
        <v>6968</v>
      </c>
      <c r="AF140" s="74">
        <f t="shared" si="52"/>
        <v>0</v>
      </c>
      <c r="AG140" s="77">
        <f t="shared" si="25"/>
        <v>0.55000000000000004</v>
      </c>
      <c r="AH140" s="77"/>
      <c r="AI140" s="77">
        <f>0.5*(B140-B139)*AF139</f>
        <v>3932.7272727272721</v>
      </c>
      <c r="AJ140" s="152">
        <f>AM140/$AM$1</f>
        <v>253.38181818181818</v>
      </c>
      <c r="AK140" s="95">
        <f>MAX($F$137:$F$140)/AG140</f>
        <v>187.27272727272725</v>
      </c>
      <c r="AL140" s="109">
        <f>AJ140/AK140</f>
        <v>1.3530097087378643</v>
      </c>
      <c r="AM140" s="77">
        <f>SUM(AI138:AI140)</f>
        <v>12669.090909090908</v>
      </c>
      <c r="AN140" s="189">
        <v>195</v>
      </c>
      <c r="AO140" s="206">
        <v>2.04</v>
      </c>
      <c r="AP140" s="193">
        <f>AN140</f>
        <v>195</v>
      </c>
      <c r="AQ140" s="206">
        <v>194</v>
      </c>
      <c r="AR140" s="189">
        <v>1.88</v>
      </c>
      <c r="AS140" s="206">
        <f>AK140*$AR$188</f>
        <v>0</v>
      </c>
      <c r="AT140" s="100">
        <v>0</v>
      </c>
      <c r="AW140" s="75" t="e">
        <f>AZ140/$AZ$1</f>
        <v>#N/A</v>
      </c>
      <c r="AX140" s="86" t="e">
        <f>AW140/AC140</f>
        <v>#N/A</v>
      </c>
      <c r="AY140" s="75" t="e">
        <f>0.5*(B140-B139)*AT139</f>
        <v>#N/A</v>
      </c>
      <c r="AZ140" s="99" t="e">
        <f>SUM(AY138:AY140)</f>
        <v>#N/A</v>
      </c>
      <c r="CF140" s="75">
        <v>40</v>
      </c>
      <c r="CG140" s="75">
        <f t="shared" si="53"/>
        <v>0.36</v>
      </c>
      <c r="CI140" s="75">
        <v>40</v>
      </c>
      <c r="CK140" s="75">
        <f t="shared" si="42"/>
        <v>0.12</v>
      </c>
      <c r="CL140" s="75">
        <f t="shared" si="43"/>
        <v>0.69179999999999997</v>
      </c>
      <c r="CM140" s="75">
        <f t="shared" si="54"/>
        <v>0.19939999999999999</v>
      </c>
      <c r="CN140" s="75">
        <f t="shared" si="44"/>
        <v>0.81179999999999997</v>
      </c>
      <c r="CO140" s="75">
        <f t="shared" si="45"/>
        <v>0.89119999999999999</v>
      </c>
      <c r="CQ140" s="75">
        <v>0.21</v>
      </c>
      <c r="CR140" s="75">
        <v>0.5</v>
      </c>
      <c r="CS140" s="75">
        <v>0.28000000000000003</v>
      </c>
      <c r="CT140" s="75">
        <f t="shared" si="46"/>
        <v>0.71</v>
      </c>
      <c r="CU140" s="75">
        <f t="shared" si="47"/>
        <v>0.78</v>
      </c>
    </row>
    <row r="141" spans="1:99" x14ac:dyDescent="0.25">
      <c r="A141">
        <v>2012</v>
      </c>
      <c r="B141">
        <f t="shared" si="24"/>
        <v>1</v>
      </c>
      <c r="C141" s="12">
        <v>40909</v>
      </c>
      <c r="F141" s="4">
        <v>0</v>
      </c>
      <c r="AC141">
        <f>AC142</f>
        <v>42</v>
      </c>
      <c r="AF141" s="74">
        <f t="shared" si="52"/>
        <v>0</v>
      </c>
      <c r="AG141" s="11">
        <f t="shared" si="25"/>
        <v>0.55000000000000004</v>
      </c>
      <c r="AH141" s="11"/>
      <c r="AI141" s="11"/>
      <c r="AJ141" s="152"/>
      <c r="AK141" s="4">
        <f t="shared" ref="AK141:AK146" si="55">MAX($F$141:$F$146)/AG141</f>
        <v>76.36363636363636</v>
      </c>
      <c r="AL141" s="2"/>
      <c r="AM141" s="11"/>
      <c r="AN141" s="189"/>
      <c r="AO141" s="206"/>
      <c r="AP141" s="189"/>
      <c r="AQ141" s="206"/>
      <c r="AR141" s="189"/>
      <c r="AS141" s="206"/>
      <c r="AT141" s="6">
        <v>0</v>
      </c>
      <c r="CF141">
        <v>41</v>
      </c>
      <c r="CG141">
        <f t="shared" si="53"/>
        <v>0.36899999999999999</v>
      </c>
      <c r="CI141">
        <v>41</v>
      </c>
      <c r="CK141">
        <f t="shared" si="42"/>
        <v>0.123</v>
      </c>
      <c r="CL141">
        <f t="shared" si="43"/>
        <v>0.68789999999999996</v>
      </c>
      <c r="CM141">
        <f t="shared" si="54"/>
        <v>0.1996</v>
      </c>
      <c r="CN141">
        <f t="shared" si="44"/>
        <v>0.81089999999999995</v>
      </c>
      <c r="CO141">
        <f t="shared" si="45"/>
        <v>0.88749999999999996</v>
      </c>
      <c r="CQ141">
        <v>0.21</v>
      </c>
      <c r="CR141">
        <v>0.5</v>
      </c>
      <c r="CS141">
        <v>0.28000000000000003</v>
      </c>
      <c r="CT141">
        <f t="shared" si="46"/>
        <v>0.71</v>
      </c>
      <c r="CU141">
        <f t="shared" si="47"/>
        <v>0.78</v>
      </c>
    </row>
    <row r="142" spans="1:99" x14ac:dyDescent="0.25">
      <c r="A142">
        <v>2012</v>
      </c>
      <c r="B142">
        <f t="shared" si="24"/>
        <v>83</v>
      </c>
      <c r="C142" s="12">
        <v>40991</v>
      </c>
      <c r="D142">
        <v>11.3</v>
      </c>
      <c r="F142" s="4">
        <v>35</v>
      </c>
      <c r="AA142" s="1">
        <f>0.5*(B142-B141)*F142</f>
        <v>1435</v>
      </c>
      <c r="AC142">
        <f>AC143</f>
        <v>42</v>
      </c>
      <c r="AF142" s="74">
        <f t="shared" si="52"/>
        <v>63.636363636363633</v>
      </c>
      <c r="AG142" s="11">
        <f t="shared" si="25"/>
        <v>0.55000000000000004</v>
      </c>
      <c r="AH142" s="11"/>
      <c r="AI142" s="11">
        <f>0.5*($B142-$B141)*$AF142</f>
        <v>2609.090909090909</v>
      </c>
      <c r="AJ142" s="152"/>
      <c r="AK142" s="4">
        <f t="shared" si="55"/>
        <v>76.36363636363636</v>
      </c>
      <c r="AL142" s="2"/>
      <c r="AM142" s="11"/>
      <c r="AN142" s="189"/>
      <c r="AO142" s="206"/>
      <c r="AP142" s="189"/>
      <c r="AQ142" s="206"/>
      <c r="AR142" s="189"/>
      <c r="AS142" s="206"/>
      <c r="AT142" s="6" t="e">
        <f>F142/AV142</f>
        <v>#N/A</v>
      </c>
      <c r="AU142">
        <f>B142/D142</f>
        <v>7.3451327433628313</v>
      </c>
      <c r="AV142" t="e">
        <f>VLOOKUP(AU142,$CA$102:$CB$270,2)</f>
        <v>#N/A</v>
      </c>
      <c r="AY142" t="e">
        <f>0.5*(B142-B141)*AT142</f>
        <v>#N/A</v>
      </c>
      <c r="BA142" s="20">
        <f>B142</f>
        <v>83</v>
      </c>
      <c r="BB142" s="20">
        <f>F142/AC142</f>
        <v>0.83333333333333337</v>
      </c>
      <c r="BC142" s="20">
        <v>0.7857142857142857</v>
      </c>
      <c r="BD142" s="15">
        <v>11</v>
      </c>
      <c r="BE142" s="15">
        <f>BD142/AC142</f>
        <v>0.26190476190476192</v>
      </c>
      <c r="BF142" s="15">
        <v>15</v>
      </c>
      <c r="BG142" s="15">
        <f>BF142/AC142</f>
        <v>0.35714285714285715</v>
      </c>
      <c r="BH142" s="15">
        <v>9</v>
      </c>
      <c r="BI142" s="15">
        <f>BH142/AC142</f>
        <v>0.21428571428571427</v>
      </c>
      <c r="CF142">
        <v>42</v>
      </c>
      <c r="CG142">
        <f t="shared" si="53"/>
        <v>0.37799999999999995</v>
      </c>
      <c r="CI142">
        <v>42</v>
      </c>
      <c r="CK142">
        <f t="shared" si="42"/>
        <v>0.126</v>
      </c>
      <c r="CL142">
        <f t="shared" si="43"/>
        <v>0.68399999999999994</v>
      </c>
      <c r="CM142">
        <f t="shared" si="54"/>
        <v>0.19979999999999998</v>
      </c>
      <c r="CN142">
        <f t="shared" si="44"/>
        <v>0.80999999999999994</v>
      </c>
      <c r="CO142">
        <f t="shared" si="45"/>
        <v>0.88379999999999992</v>
      </c>
      <c r="CQ142">
        <v>0.21</v>
      </c>
      <c r="CR142">
        <v>0.5</v>
      </c>
      <c r="CS142">
        <v>0.28000000000000003</v>
      </c>
      <c r="CT142">
        <f t="shared" si="46"/>
        <v>0.71</v>
      </c>
      <c r="CU142">
        <f t="shared" si="47"/>
        <v>0.78</v>
      </c>
    </row>
    <row r="143" spans="1:99" x14ac:dyDescent="0.25">
      <c r="A143">
        <v>2012</v>
      </c>
      <c r="B143">
        <f t="shared" si="24"/>
        <v>113</v>
      </c>
      <c r="C143" s="12">
        <v>41021</v>
      </c>
      <c r="D143">
        <v>14.7</v>
      </c>
      <c r="F143" s="4">
        <v>39</v>
      </c>
      <c r="AA143" s="1">
        <f>((B143-B142)*F143)-((B143-B142)*(F143-F142)*0.5)</f>
        <v>1110</v>
      </c>
      <c r="AC143">
        <f>AC144</f>
        <v>42</v>
      </c>
      <c r="AF143" s="74">
        <f t="shared" si="52"/>
        <v>70.909090909090907</v>
      </c>
      <c r="AG143" s="11">
        <f t="shared" si="25"/>
        <v>0.55000000000000004</v>
      </c>
      <c r="AH143" s="11"/>
      <c r="AI143" s="11">
        <f>((B143-B142)*AF143)-((B143-B142)*(AF143-AF142)*0.5)</f>
        <v>2018.181818181818</v>
      </c>
      <c r="AJ143" s="152"/>
      <c r="AK143" s="4">
        <f t="shared" si="55"/>
        <v>76.36363636363636</v>
      </c>
      <c r="AL143" s="2"/>
      <c r="AM143" s="11"/>
      <c r="AN143" s="189"/>
      <c r="AO143" s="206"/>
      <c r="AP143" s="189"/>
      <c r="AQ143" s="206"/>
      <c r="AR143" s="189"/>
      <c r="AS143" s="206"/>
      <c r="AT143" s="6" t="e">
        <f>F143/AV143</f>
        <v>#N/A</v>
      </c>
      <c r="AU143">
        <f>B143/D143</f>
        <v>7.6870748299319729</v>
      </c>
      <c r="AV143" t="e">
        <f>VLOOKUP(AU143,$CA$102:$CB$270,2)</f>
        <v>#N/A</v>
      </c>
      <c r="AY143" t="e">
        <f>((B143-B142)*AT143)-((B143-B142)*(AT143-AT142)*0.5)</f>
        <v>#N/A</v>
      </c>
      <c r="BA143" s="20">
        <f>B143</f>
        <v>113</v>
      </c>
      <c r="BB143" s="20">
        <f>F143/AC143</f>
        <v>0.9285714285714286</v>
      </c>
      <c r="BC143" s="20">
        <v>0.90476190476190477</v>
      </c>
      <c r="BD143" s="15">
        <v>9</v>
      </c>
      <c r="BE143" s="15">
        <f>BD143/AC143</f>
        <v>0.21428571428571427</v>
      </c>
      <c r="BF143" s="15">
        <v>21</v>
      </c>
      <c r="BG143" s="15">
        <f>BF143/AC143</f>
        <v>0.5</v>
      </c>
      <c r="BH143" s="15">
        <v>9</v>
      </c>
      <c r="BI143" s="15">
        <f>BH143/AC143</f>
        <v>0.21428571428571427</v>
      </c>
      <c r="CF143">
        <v>43</v>
      </c>
      <c r="CG143">
        <f t="shared" si="53"/>
        <v>0.38699999999999996</v>
      </c>
      <c r="CI143">
        <v>43</v>
      </c>
      <c r="CK143">
        <f t="shared" si="42"/>
        <v>0.129</v>
      </c>
      <c r="CL143">
        <f t="shared" si="43"/>
        <v>0.68010000000000004</v>
      </c>
      <c r="CM143">
        <f t="shared" si="54"/>
        <v>0.19999999999999998</v>
      </c>
      <c r="CN143">
        <f t="shared" si="44"/>
        <v>0.80910000000000004</v>
      </c>
      <c r="CO143">
        <f t="shared" si="45"/>
        <v>0.88009999999999999</v>
      </c>
      <c r="CQ143">
        <v>0.21</v>
      </c>
      <c r="CR143">
        <v>0.5</v>
      </c>
      <c r="CS143">
        <v>0.28000000000000003</v>
      </c>
      <c r="CT143">
        <f t="shared" si="46"/>
        <v>0.71</v>
      </c>
      <c r="CU143">
        <f t="shared" si="47"/>
        <v>0.78</v>
      </c>
    </row>
    <row r="144" spans="1:99" x14ac:dyDescent="0.25">
      <c r="A144">
        <v>2012</v>
      </c>
      <c r="B144">
        <f t="shared" si="24"/>
        <v>128</v>
      </c>
      <c r="C144" s="12">
        <v>41036</v>
      </c>
      <c r="D144">
        <v>10.9</v>
      </c>
      <c r="F144" s="4">
        <v>42</v>
      </c>
      <c r="AA144" s="1">
        <f>((B144-B143)*F144)-((B144-B143)*(F144-F143)*0.5)</f>
        <v>607.5</v>
      </c>
      <c r="AC144">
        <f>AC146</f>
        <v>42</v>
      </c>
      <c r="AF144" s="74">
        <f t="shared" si="52"/>
        <v>76.36363636363636</v>
      </c>
      <c r="AG144" s="11">
        <f t="shared" si="25"/>
        <v>0.55000000000000004</v>
      </c>
      <c r="AH144" s="11"/>
      <c r="AI144" s="11">
        <f>0.5*(B144-B143)*AF143</f>
        <v>531.81818181818176</v>
      </c>
      <c r="AJ144" s="152"/>
      <c r="AK144" s="4">
        <f t="shared" si="55"/>
        <v>76.36363636363636</v>
      </c>
      <c r="AL144" s="2"/>
      <c r="AM144" s="11"/>
      <c r="AN144" s="189"/>
      <c r="AO144" s="206"/>
      <c r="AP144" s="189"/>
      <c r="AQ144" s="206"/>
      <c r="AR144" s="189"/>
      <c r="AS144" s="206"/>
      <c r="AT144" s="6" t="e">
        <f>F144/AV144</f>
        <v>#N/A</v>
      </c>
      <c r="AU144">
        <f>B144/D144</f>
        <v>11.743119266055045</v>
      </c>
      <c r="AV144" t="e">
        <f>VLOOKUP(AU144,$CA$102:$CB$270,2)</f>
        <v>#N/A</v>
      </c>
      <c r="AY144" t="e">
        <f>((B144-B143)*AT144)-((B144-B143)*(AT144-AT143)*0.5)</f>
        <v>#N/A</v>
      </c>
      <c r="BA144" s="20">
        <f>B144</f>
        <v>128</v>
      </c>
      <c r="BB144" s="20">
        <f>F144/AC144</f>
        <v>1</v>
      </c>
      <c r="BC144" s="20">
        <v>1</v>
      </c>
      <c r="BD144" s="15">
        <v>5</v>
      </c>
      <c r="BE144" s="15">
        <f>BD144/AC144</f>
        <v>0.11904761904761904</v>
      </c>
      <c r="BF144" s="15">
        <v>15</v>
      </c>
      <c r="BG144" s="15">
        <f>BF144/AC144</f>
        <v>0.35714285714285715</v>
      </c>
      <c r="BH144" s="15">
        <v>26</v>
      </c>
      <c r="BI144" s="15">
        <f>BH144/AC144</f>
        <v>0.61904761904761907</v>
      </c>
      <c r="CF144">
        <v>44</v>
      </c>
      <c r="CG144">
        <f t="shared" si="53"/>
        <v>0.39599999999999996</v>
      </c>
      <c r="CI144">
        <v>44</v>
      </c>
      <c r="CK144">
        <f t="shared" si="42"/>
        <v>0.13200000000000001</v>
      </c>
      <c r="CL144">
        <f t="shared" si="43"/>
        <v>0.67620000000000002</v>
      </c>
      <c r="CM144">
        <f t="shared" si="54"/>
        <v>0.20019999999999999</v>
      </c>
      <c r="CN144">
        <f t="shared" si="44"/>
        <v>0.80820000000000003</v>
      </c>
      <c r="CO144">
        <f t="shared" si="45"/>
        <v>0.87640000000000007</v>
      </c>
      <c r="CQ144">
        <v>0.21</v>
      </c>
      <c r="CR144">
        <v>0.5</v>
      </c>
      <c r="CS144">
        <v>0.28000000000000003</v>
      </c>
      <c r="CT144">
        <f t="shared" si="46"/>
        <v>0.71</v>
      </c>
      <c r="CU144">
        <f t="shared" si="47"/>
        <v>0.78</v>
      </c>
    </row>
    <row r="145" spans="1:99" x14ac:dyDescent="0.25">
      <c r="A145">
        <v>2012</v>
      </c>
      <c r="B145">
        <f t="shared" ref="B145:B173" si="56">C145-DATE(YEAR(C145),1,1)+1</f>
        <v>146</v>
      </c>
      <c r="C145" s="12">
        <v>41054</v>
      </c>
      <c r="F145" s="4">
        <v>27</v>
      </c>
      <c r="AA145" s="1">
        <f>0.5*(B146-B145)*F145</f>
        <v>81</v>
      </c>
      <c r="AC145">
        <v>42</v>
      </c>
      <c r="AF145" s="74">
        <f t="shared" si="52"/>
        <v>49.090909090909086</v>
      </c>
      <c r="AG145" s="11">
        <f t="shared" si="25"/>
        <v>0.55000000000000004</v>
      </c>
      <c r="AH145" s="11"/>
      <c r="AI145" s="11">
        <f>((B145-B144)*AF145)-((B145-B144)*(AF145-AF144)*0.5)</f>
        <v>1129.090909090909</v>
      </c>
      <c r="AJ145" s="152"/>
      <c r="AK145" s="4">
        <f t="shared" si="55"/>
        <v>76.36363636363636</v>
      </c>
      <c r="AL145" s="2"/>
      <c r="AM145" s="11"/>
      <c r="AN145" s="189"/>
      <c r="AO145" s="206"/>
      <c r="AP145" s="189"/>
      <c r="AQ145" s="206"/>
      <c r="AR145" s="189"/>
      <c r="AS145" s="206"/>
      <c r="BD145" s="15">
        <v>6</v>
      </c>
      <c r="BE145" s="15">
        <f>BD145/AC145</f>
        <v>0.14285714285714285</v>
      </c>
      <c r="BF145" s="15">
        <v>6</v>
      </c>
      <c r="BG145" s="15">
        <f>BF145/AC145</f>
        <v>0.14285714285714285</v>
      </c>
      <c r="BH145" s="15">
        <v>15</v>
      </c>
      <c r="BI145" s="15">
        <f>BH145/AC145</f>
        <v>0.35714285714285715</v>
      </c>
      <c r="CK145">
        <f t="shared" si="42"/>
        <v>0</v>
      </c>
      <c r="CL145">
        <f t="shared" si="43"/>
        <v>0.8478</v>
      </c>
      <c r="CM145">
        <f t="shared" si="54"/>
        <v>0.19139999999999999</v>
      </c>
      <c r="CN145">
        <f t="shared" si="44"/>
        <v>0.8478</v>
      </c>
      <c r="CO145">
        <f t="shared" si="45"/>
        <v>1.0391999999999999</v>
      </c>
      <c r="CQ145">
        <v>0.21</v>
      </c>
      <c r="CR145">
        <v>0.5</v>
      </c>
      <c r="CS145">
        <v>0.28000000000000003</v>
      </c>
      <c r="CT145">
        <f t="shared" si="46"/>
        <v>0.71</v>
      </c>
      <c r="CU145">
        <f t="shared" si="47"/>
        <v>0.78</v>
      </c>
    </row>
    <row r="146" spans="1:99" x14ac:dyDescent="0.25">
      <c r="A146">
        <v>2012</v>
      </c>
      <c r="B146">
        <f t="shared" si="56"/>
        <v>152</v>
      </c>
      <c r="C146" s="12">
        <v>41060</v>
      </c>
      <c r="F146" s="4">
        <v>0</v>
      </c>
      <c r="AB146">
        <f>AE146/$AE$1</f>
        <v>64.67</v>
      </c>
      <c r="AC146">
        <f>MAX(F141:F146)</f>
        <v>42</v>
      </c>
      <c r="AD146" s="2">
        <f>AB146/AC146</f>
        <v>1.5397619047619049</v>
      </c>
      <c r="AE146" s="182">
        <f>SUM(AA142:AA146)</f>
        <v>3233.5</v>
      </c>
      <c r="AF146" s="74">
        <f t="shared" si="52"/>
        <v>0</v>
      </c>
      <c r="AG146" s="11">
        <f t="shared" si="25"/>
        <v>0.55000000000000004</v>
      </c>
      <c r="AH146" s="11"/>
      <c r="AI146" s="11">
        <f>0.5*(B146-B145)*AF145</f>
        <v>147.27272727272725</v>
      </c>
      <c r="AJ146" s="151">
        <f>AM146/$AM$1</f>
        <v>128.70909090909089</v>
      </c>
      <c r="AK146" s="4">
        <f t="shared" si="55"/>
        <v>76.36363636363636</v>
      </c>
      <c r="AL146" s="2">
        <f>AJ146/AK146</f>
        <v>1.6854761904761904</v>
      </c>
      <c r="AM146" s="11">
        <f>SUM(AI142:AI146)</f>
        <v>6435.454545454545</v>
      </c>
      <c r="AN146" s="189">
        <v>165</v>
      </c>
      <c r="AO146" s="206">
        <v>3.93</v>
      </c>
      <c r="AP146" s="193">
        <f>AN146</f>
        <v>165</v>
      </c>
      <c r="AQ146" s="206">
        <v>392</v>
      </c>
      <c r="AR146" s="189">
        <v>9.34</v>
      </c>
      <c r="AS146" s="206">
        <f>AK146*$AR$188</f>
        <v>0</v>
      </c>
      <c r="AT146" s="6">
        <v>0</v>
      </c>
      <c r="AW146" t="e">
        <f>AZ146/$AZ$1</f>
        <v>#N/A</v>
      </c>
      <c r="AX146" s="1" t="e">
        <f>AW146/AC146</f>
        <v>#N/A</v>
      </c>
      <c r="AY146" t="e">
        <f>0.5*(B146-B144)*AT144</f>
        <v>#N/A</v>
      </c>
      <c r="AZ146" s="5" t="e">
        <f>SUM(AY142:AY146)</f>
        <v>#N/A</v>
      </c>
      <c r="CF146">
        <v>45</v>
      </c>
      <c r="CG146">
        <f t="shared" si="53"/>
        <v>0.40499999999999997</v>
      </c>
      <c r="CI146">
        <v>45</v>
      </c>
      <c r="CK146">
        <f t="shared" si="42"/>
        <v>0.13500000000000001</v>
      </c>
      <c r="CL146">
        <f t="shared" si="43"/>
        <v>0.67230000000000001</v>
      </c>
      <c r="CM146">
        <f t="shared" si="54"/>
        <v>0.20039999999999999</v>
      </c>
      <c r="CN146">
        <f t="shared" si="44"/>
        <v>0.80730000000000002</v>
      </c>
      <c r="CO146">
        <f t="shared" si="45"/>
        <v>0.87270000000000003</v>
      </c>
      <c r="CQ146">
        <v>0.21</v>
      </c>
      <c r="CR146">
        <v>0.5</v>
      </c>
      <c r="CS146">
        <v>0.28000000000000003</v>
      </c>
      <c r="CT146">
        <f t="shared" si="46"/>
        <v>0.71</v>
      </c>
      <c r="CU146">
        <f t="shared" si="47"/>
        <v>0.78</v>
      </c>
    </row>
    <row r="147" spans="1:99" s="75" customFormat="1" x14ac:dyDescent="0.25">
      <c r="A147" s="75">
        <v>2013</v>
      </c>
      <c r="B147" s="75">
        <f t="shared" si="56"/>
        <v>1</v>
      </c>
      <c r="C147" s="94">
        <v>41275</v>
      </c>
      <c r="F147" s="95">
        <v>0</v>
      </c>
      <c r="G147" s="96"/>
      <c r="O147" s="97"/>
      <c r="P147" s="96"/>
      <c r="X147" s="98"/>
      <c r="Z147" s="98"/>
      <c r="AA147" s="86"/>
      <c r="AC147" s="75">
        <f t="shared" ref="AC147:AC152" si="57">AC148</f>
        <v>93</v>
      </c>
      <c r="AD147" s="109"/>
      <c r="AE147" s="99"/>
      <c r="AF147" s="74">
        <f t="shared" ref="AF147:AF168" si="58">F147/AG147</f>
        <v>0</v>
      </c>
      <c r="AG147" s="77">
        <f t="shared" si="25"/>
        <v>0.55000000000000004</v>
      </c>
      <c r="AH147" s="77"/>
      <c r="AI147" s="77"/>
      <c r="AJ147" s="152"/>
      <c r="AK147" s="95">
        <f>MAX($F$147:$F$153)/AG147</f>
        <v>169.09090909090907</v>
      </c>
      <c r="AL147" s="109"/>
      <c r="AM147" s="77"/>
      <c r="AN147" s="189"/>
      <c r="AO147" s="206"/>
      <c r="AP147" s="189"/>
      <c r="AQ147" s="206"/>
      <c r="AR147" s="189"/>
      <c r="AS147" s="206"/>
      <c r="AT147" s="100">
        <v>0</v>
      </c>
      <c r="AX147" s="86"/>
      <c r="AZ147" s="99"/>
      <c r="CF147" s="75">
        <v>46</v>
      </c>
      <c r="CG147" s="75">
        <f t="shared" si="53"/>
        <v>0.41399999999999998</v>
      </c>
      <c r="CI147" s="75">
        <v>46</v>
      </c>
      <c r="CK147" s="75">
        <f t="shared" si="42"/>
        <v>0.13800000000000001</v>
      </c>
      <c r="CL147" s="75">
        <f t="shared" si="43"/>
        <v>0.66839999999999999</v>
      </c>
      <c r="CM147" s="75">
        <f t="shared" si="54"/>
        <v>0.2006</v>
      </c>
      <c r="CN147" s="75">
        <f t="shared" si="44"/>
        <v>0.80640000000000001</v>
      </c>
      <c r="CO147" s="75">
        <f t="shared" si="45"/>
        <v>0.86899999999999999</v>
      </c>
      <c r="CQ147" s="75">
        <v>0.21</v>
      </c>
      <c r="CR147" s="75">
        <v>0.5</v>
      </c>
      <c r="CS147" s="75">
        <v>0.28000000000000003</v>
      </c>
      <c r="CT147" s="75">
        <f t="shared" si="46"/>
        <v>0.71</v>
      </c>
      <c r="CU147" s="75">
        <f t="shared" si="47"/>
        <v>0.78</v>
      </c>
    </row>
    <row r="148" spans="1:99" s="75" customFormat="1" x14ac:dyDescent="0.25">
      <c r="A148" s="75">
        <v>2013</v>
      </c>
      <c r="B148" s="75">
        <f t="shared" si="56"/>
        <v>85</v>
      </c>
      <c r="C148" s="94">
        <v>41359</v>
      </c>
      <c r="D148" s="75">
        <v>9.5</v>
      </c>
      <c r="F148" s="95">
        <v>84</v>
      </c>
      <c r="G148" s="96"/>
      <c r="O148" s="97"/>
      <c r="P148" s="96"/>
      <c r="X148" s="98"/>
      <c r="Z148" s="98"/>
      <c r="AA148" s="86">
        <f>0.5*(B148-B147)*F148</f>
        <v>3528</v>
      </c>
      <c r="AC148" s="75">
        <f t="shared" si="57"/>
        <v>93</v>
      </c>
      <c r="AD148" s="109"/>
      <c r="AE148" s="99"/>
      <c r="AF148" s="74">
        <f t="shared" si="58"/>
        <v>152.72727272727272</v>
      </c>
      <c r="AG148" s="77">
        <f t="shared" si="25"/>
        <v>0.55000000000000004</v>
      </c>
      <c r="AH148" s="77"/>
      <c r="AI148" s="77">
        <f>0.5*($B148-$B147)*$AF148</f>
        <v>6414.545454545454</v>
      </c>
      <c r="AJ148" s="152"/>
      <c r="AK148" s="95">
        <f t="shared" ref="AK148:AK153" si="59">MAX($F$147:$F$153)/AG148</f>
        <v>169.09090909090907</v>
      </c>
      <c r="AL148" s="109"/>
      <c r="AM148" s="77"/>
      <c r="AN148" s="189"/>
      <c r="AO148" s="206"/>
      <c r="AP148" s="189"/>
      <c r="AQ148" s="206"/>
      <c r="AR148" s="189"/>
      <c r="AS148" s="206"/>
      <c r="AT148" s="100" t="e">
        <f>F148/AV148</f>
        <v>#N/A</v>
      </c>
      <c r="AU148" s="75">
        <f>B148/D148</f>
        <v>8.9473684210526319</v>
      </c>
      <c r="AV148" s="75" t="e">
        <f>VLOOKUP(AU148,$CA$102:$CB$270,2)</f>
        <v>#N/A</v>
      </c>
      <c r="AX148" s="86"/>
      <c r="AY148" s="75" t="e">
        <f>0.5*(B148-B147)*AT148</f>
        <v>#N/A</v>
      </c>
      <c r="AZ148" s="99"/>
      <c r="BA148" s="75">
        <f>B148</f>
        <v>85</v>
      </c>
      <c r="BB148" s="75">
        <f>F148/AC148</f>
        <v>0.90322580645161288</v>
      </c>
      <c r="BC148" s="75">
        <v>0.9438202247191011</v>
      </c>
      <c r="BD148" s="75">
        <v>22</v>
      </c>
      <c r="BE148" s="75">
        <f>BD148/AC148</f>
        <v>0.23655913978494625</v>
      </c>
      <c r="BF148" s="75">
        <v>42</v>
      </c>
      <c r="BG148" s="75">
        <f>BF148/AC148</f>
        <v>0.45161290322580644</v>
      </c>
      <c r="BH148" s="75">
        <v>20</v>
      </c>
      <c r="BI148" s="75">
        <f>BH148/AC148</f>
        <v>0.21505376344086022</v>
      </c>
      <c r="CF148" s="75">
        <v>47</v>
      </c>
      <c r="CG148" s="75">
        <f t="shared" si="53"/>
        <v>0.42299999999999999</v>
      </c>
      <c r="CI148" s="75">
        <v>47</v>
      </c>
      <c r="CK148" s="75">
        <f t="shared" si="42"/>
        <v>0.14100000000000001</v>
      </c>
      <c r="CL148" s="75">
        <f t="shared" si="43"/>
        <v>0.66449999999999998</v>
      </c>
      <c r="CM148" s="75">
        <f t="shared" si="54"/>
        <v>0.20079999999999998</v>
      </c>
      <c r="CN148" s="75">
        <f t="shared" si="44"/>
        <v>0.80549999999999999</v>
      </c>
      <c r="CO148" s="75">
        <f t="shared" si="45"/>
        <v>0.86529999999999996</v>
      </c>
      <c r="CQ148" s="75">
        <v>0.21</v>
      </c>
      <c r="CR148" s="75">
        <v>0.5</v>
      </c>
      <c r="CS148" s="75">
        <v>0.28000000000000003</v>
      </c>
      <c r="CT148" s="75">
        <f t="shared" si="46"/>
        <v>0.71</v>
      </c>
      <c r="CU148" s="75">
        <f t="shared" si="47"/>
        <v>0.78</v>
      </c>
    </row>
    <row r="149" spans="1:99" s="75" customFormat="1" x14ac:dyDescent="0.25">
      <c r="A149" s="75">
        <v>2013</v>
      </c>
      <c r="B149" s="75">
        <f t="shared" si="56"/>
        <v>86</v>
      </c>
      <c r="C149" s="94">
        <v>41360</v>
      </c>
      <c r="D149" s="75">
        <v>8.8000000000000007</v>
      </c>
      <c r="F149" s="95">
        <v>87</v>
      </c>
      <c r="G149" s="96"/>
      <c r="O149" s="97"/>
      <c r="P149" s="96"/>
      <c r="X149" s="98"/>
      <c r="Z149" s="98"/>
      <c r="AA149" s="86">
        <f>((B149-B148)*F149)-((B149-B148)*(F149-F148)*0.5)</f>
        <v>85.5</v>
      </c>
      <c r="AC149" s="75">
        <f t="shared" si="57"/>
        <v>93</v>
      </c>
      <c r="AD149" s="109"/>
      <c r="AE149" s="99"/>
      <c r="AF149" s="74">
        <f t="shared" si="58"/>
        <v>158.18181818181816</v>
      </c>
      <c r="AG149" s="77">
        <f t="shared" si="25"/>
        <v>0.55000000000000004</v>
      </c>
      <c r="AH149" s="77"/>
      <c r="AI149" s="77">
        <f>((B149-B148)*AF149)-((B149-B148)*(AF149-AF148)*0.5)</f>
        <v>155.45454545454544</v>
      </c>
      <c r="AJ149" s="152"/>
      <c r="AK149" s="95">
        <f t="shared" si="59"/>
        <v>169.09090909090907</v>
      </c>
      <c r="AL149" s="109"/>
      <c r="AM149" s="77"/>
      <c r="AN149" s="189"/>
      <c r="AO149" s="206"/>
      <c r="AP149" s="189"/>
      <c r="AQ149" s="206"/>
      <c r="AR149" s="189"/>
      <c r="AS149" s="206"/>
      <c r="AT149" s="100" t="e">
        <f>F149/AV149</f>
        <v>#N/A</v>
      </c>
      <c r="AU149" s="75">
        <f>B149/D149</f>
        <v>9.7727272727272716</v>
      </c>
      <c r="AV149" s="75" t="e">
        <f>VLOOKUP(AU149,$CA$102:$CB$270,2)</f>
        <v>#N/A</v>
      </c>
      <c r="AX149" s="86"/>
      <c r="AY149" s="75" t="e">
        <f>((B149-B148)*AT149)-((B149-B148)*(AT149-AT148)*0.5)</f>
        <v>#N/A</v>
      </c>
      <c r="AZ149" s="99"/>
      <c r="BA149" s="75">
        <f>B149</f>
        <v>86</v>
      </c>
      <c r="BB149" s="75">
        <f>F149/AC149</f>
        <v>0.93548387096774188</v>
      </c>
      <c r="BC149" s="75">
        <v>0.97752808988764039</v>
      </c>
      <c r="BD149" s="75">
        <v>22</v>
      </c>
      <c r="BE149" s="75">
        <f>BD149/AC149</f>
        <v>0.23655913978494625</v>
      </c>
      <c r="BF149" s="75">
        <v>33</v>
      </c>
      <c r="BG149" s="75">
        <f>BF149/AC149</f>
        <v>0.35483870967741937</v>
      </c>
      <c r="BH149" s="75">
        <v>32</v>
      </c>
      <c r="BI149" s="75">
        <f>BH149/AC149</f>
        <v>0.34408602150537637</v>
      </c>
      <c r="CF149" s="75">
        <v>48</v>
      </c>
      <c r="CG149" s="75">
        <f t="shared" si="53"/>
        <v>0.43199999999999994</v>
      </c>
      <c r="CI149" s="75">
        <v>48</v>
      </c>
      <c r="CK149" s="75">
        <f t="shared" si="42"/>
        <v>0.14400000000000002</v>
      </c>
      <c r="CL149" s="75">
        <f t="shared" si="43"/>
        <v>0.66060000000000008</v>
      </c>
      <c r="CM149" s="75">
        <f t="shared" si="54"/>
        <v>0.20099999999999998</v>
      </c>
      <c r="CN149" s="75">
        <f t="shared" si="44"/>
        <v>0.80460000000000009</v>
      </c>
      <c r="CO149" s="75">
        <f t="shared" si="45"/>
        <v>0.86160000000000003</v>
      </c>
      <c r="CQ149" s="75">
        <v>0.21</v>
      </c>
      <c r="CR149" s="75">
        <v>0.5</v>
      </c>
      <c r="CS149" s="75">
        <v>0.28000000000000003</v>
      </c>
      <c r="CT149" s="75">
        <f t="shared" si="46"/>
        <v>0.71</v>
      </c>
      <c r="CU149" s="75">
        <f t="shared" si="47"/>
        <v>0.78</v>
      </c>
    </row>
    <row r="150" spans="1:99" s="75" customFormat="1" x14ac:dyDescent="0.25">
      <c r="A150" s="75">
        <v>2013</v>
      </c>
      <c r="B150" s="75">
        <f t="shared" si="56"/>
        <v>107</v>
      </c>
      <c r="C150" s="94">
        <v>41381</v>
      </c>
      <c r="D150" s="75">
        <v>7.7</v>
      </c>
      <c r="F150" s="95">
        <v>93</v>
      </c>
      <c r="G150" s="96"/>
      <c r="O150" s="97"/>
      <c r="P150" s="96"/>
      <c r="X150" s="98"/>
      <c r="Z150" s="98"/>
      <c r="AA150" s="86">
        <f>((B150-B149)*F150)-((B150-B149)*(F150-F149)*0.5)</f>
        <v>1890</v>
      </c>
      <c r="AC150" s="75">
        <f t="shared" si="57"/>
        <v>93</v>
      </c>
      <c r="AD150" s="109"/>
      <c r="AE150" s="99"/>
      <c r="AF150" s="74">
        <f t="shared" si="58"/>
        <v>169.09090909090907</v>
      </c>
      <c r="AG150" s="77">
        <f t="shared" si="25"/>
        <v>0.55000000000000004</v>
      </c>
      <c r="AH150" s="77"/>
      <c r="AI150" s="77">
        <f>((B150-B149)*AF150)-((B150-B149)*(AF150-AF149)*0.5)</f>
        <v>3436.363636363636</v>
      </c>
      <c r="AJ150" s="152"/>
      <c r="AK150" s="95">
        <f t="shared" si="59"/>
        <v>169.09090909090907</v>
      </c>
      <c r="AL150" s="109"/>
      <c r="AM150" s="77"/>
      <c r="AN150" s="189"/>
      <c r="AO150" s="206"/>
      <c r="AP150" s="189"/>
      <c r="AQ150" s="206"/>
      <c r="AR150" s="189"/>
      <c r="AS150" s="206"/>
      <c r="AT150" s="100" t="e">
        <f>F150/AV150</f>
        <v>#N/A</v>
      </c>
      <c r="AU150" s="75">
        <f>B150/D150</f>
        <v>13.896103896103895</v>
      </c>
      <c r="AV150" s="75" t="e">
        <f>VLOOKUP(AU150,$CA$102:$CB$270,2)</f>
        <v>#N/A</v>
      </c>
      <c r="AX150" s="86"/>
      <c r="AY150" s="75" t="e">
        <f>((B150-B149)*AT150)-((B150-B149)*(AT150-AT149)*0.5)</f>
        <v>#N/A</v>
      </c>
      <c r="AZ150" s="99"/>
      <c r="BA150" s="75">
        <f>B150</f>
        <v>107</v>
      </c>
      <c r="BB150" s="75">
        <f>F150/AC150</f>
        <v>1</v>
      </c>
      <c r="BC150" s="75">
        <v>1</v>
      </c>
      <c r="BD150" s="75">
        <v>14</v>
      </c>
      <c r="BE150" s="75">
        <f>BD150/AC150</f>
        <v>0.15053763440860216</v>
      </c>
      <c r="BF150" s="75">
        <v>36</v>
      </c>
      <c r="BG150" s="75">
        <f>BF150/AC150</f>
        <v>0.38709677419354838</v>
      </c>
      <c r="BH150" s="75">
        <v>43</v>
      </c>
      <c r="BI150" s="75">
        <f>BH150/AC150</f>
        <v>0.46236559139784944</v>
      </c>
      <c r="CF150" s="75">
        <v>49</v>
      </c>
      <c r="CG150" s="75">
        <f t="shared" si="53"/>
        <v>0.44099999999999995</v>
      </c>
      <c r="CI150" s="75">
        <v>49</v>
      </c>
      <c r="CK150" s="75">
        <f t="shared" si="42"/>
        <v>0.14699999999999999</v>
      </c>
      <c r="CL150" s="75">
        <f t="shared" si="43"/>
        <v>0.65670000000000006</v>
      </c>
      <c r="CM150" s="75">
        <f t="shared" si="54"/>
        <v>0.20119999999999999</v>
      </c>
      <c r="CN150" s="75">
        <f t="shared" si="44"/>
        <v>0.80370000000000008</v>
      </c>
      <c r="CO150" s="75">
        <f t="shared" si="45"/>
        <v>0.85790000000000011</v>
      </c>
      <c r="CQ150" s="75">
        <v>0.21</v>
      </c>
      <c r="CR150" s="75">
        <v>0.5</v>
      </c>
      <c r="CS150" s="75">
        <v>0.28000000000000003</v>
      </c>
      <c r="CT150" s="75">
        <f t="shared" si="46"/>
        <v>0.71</v>
      </c>
      <c r="CU150" s="75">
        <f t="shared" si="47"/>
        <v>0.78</v>
      </c>
    </row>
    <row r="151" spans="1:99" s="75" customFormat="1" x14ac:dyDescent="0.25">
      <c r="A151" s="75">
        <v>2013</v>
      </c>
      <c r="B151" s="75">
        <f t="shared" si="56"/>
        <v>115</v>
      </c>
      <c r="C151" s="94">
        <v>41389</v>
      </c>
      <c r="D151" s="75">
        <v>7.9</v>
      </c>
      <c r="F151" s="95">
        <v>89</v>
      </c>
      <c r="G151" s="96"/>
      <c r="O151" s="97"/>
      <c r="P151" s="96"/>
      <c r="X151" s="98"/>
      <c r="Z151" s="98"/>
      <c r="AA151" s="86">
        <f>((B151-B150)*F151)-((B151-B150)*(F151-F150)*0.5)</f>
        <v>728</v>
      </c>
      <c r="AC151" s="75">
        <f t="shared" si="57"/>
        <v>93</v>
      </c>
      <c r="AD151" s="109"/>
      <c r="AE151" s="99"/>
      <c r="AF151" s="74">
        <f t="shared" si="58"/>
        <v>161.81818181818181</v>
      </c>
      <c r="AG151" s="77">
        <f t="shared" ref="AG151:AG195" si="60">$AH$1</f>
        <v>0.55000000000000004</v>
      </c>
      <c r="AH151" s="77"/>
      <c r="AI151" s="77">
        <f>((B151-B150)*AF151)-((B151-B150)*(AF151-AF150)*0.5)</f>
        <v>1323.6363636363635</v>
      </c>
      <c r="AJ151" s="152"/>
      <c r="AK151" s="95">
        <f t="shared" si="59"/>
        <v>169.09090909090907</v>
      </c>
      <c r="AL151" s="109"/>
      <c r="AM151" s="77"/>
      <c r="AN151" s="189"/>
      <c r="AO151" s="206"/>
      <c r="AP151" s="189"/>
      <c r="AQ151" s="206"/>
      <c r="AR151" s="189"/>
      <c r="AS151" s="206"/>
      <c r="AT151" s="100" t="e">
        <f>F151/AV151</f>
        <v>#N/A</v>
      </c>
      <c r="AU151" s="75">
        <f>B151/D151</f>
        <v>14.556962025316455</v>
      </c>
      <c r="AV151" s="75" t="e">
        <f>VLOOKUP(AU151,$CA$102:$CB$270,2)</f>
        <v>#N/A</v>
      </c>
      <c r="AX151" s="86"/>
      <c r="AY151" s="75" t="e">
        <f>((B151-B150)*AT151)-((B151-B150)*(AT151-AT150)*0.5)</f>
        <v>#N/A</v>
      </c>
      <c r="AZ151" s="99"/>
      <c r="BA151" s="75">
        <f>B151</f>
        <v>115</v>
      </c>
      <c r="BB151" s="75">
        <f>F151/AC151</f>
        <v>0.956989247311828</v>
      </c>
      <c r="BC151" s="75">
        <v>1</v>
      </c>
      <c r="BD151" s="75">
        <v>32</v>
      </c>
      <c r="BE151" s="75">
        <f>BD151/AC151</f>
        <v>0.34408602150537637</v>
      </c>
      <c r="BF151" s="75">
        <v>25</v>
      </c>
      <c r="BG151" s="75">
        <f>BF151/AC151</f>
        <v>0.26881720430107525</v>
      </c>
      <c r="BH151" s="75">
        <v>32</v>
      </c>
      <c r="BI151" s="75">
        <f>BH151/AC151</f>
        <v>0.34408602150537637</v>
      </c>
      <c r="CF151" s="75">
        <v>50</v>
      </c>
      <c r="CG151" s="75">
        <f t="shared" si="53"/>
        <v>0.44999999999999996</v>
      </c>
      <c r="CI151" s="75">
        <v>50</v>
      </c>
      <c r="CK151" s="75">
        <f t="shared" si="42"/>
        <v>0.15</v>
      </c>
      <c r="CL151" s="75">
        <f t="shared" si="43"/>
        <v>0.65280000000000005</v>
      </c>
      <c r="CM151" s="75">
        <f t="shared" si="54"/>
        <v>0.2014</v>
      </c>
      <c r="CN151" s="75">
        <f t="shared" si="44"/>
        <v>0.80280000000000007</v>
      </c>
      <c r="CO151" s="75">
        <f t="shared" si="45"/>
        <v>0.85420000000000007</v>
      </c>
      <c r="CQ151" s="75">
        <v>0.21</v>
      </c>
      <c r="CR151" s="75">
        <v>0.5</v>
      </c>
      <c r="CS151" s="75">
        <v>0.28000000000000003</v>
      </c>
      <c r="CT151" s="75">
        <f t="shared" si="46"/>
        <v>0.71</v>
      </c>
      <c r="CU151" s="75">
        <f t="shared" si="47"/>
        <v>0.78</v>
      </c>
    </row>
    <row r="152" spans="1:99" s="75" customFormat="1" x14ac:dyDescent="0.25">
      <c r="A152" s="75">
        <v>2013</v>
      </c>
      <c r="B152" s="75">
        <f t="shared" si="56"/>
        <v>123</v>
      </c>
      <c r="C152" s="94">
        <v>41397</v>
      </c>
      <c r="D152" s="75">
        <v>6.2</v>
      </c>
      <c r="F152" s="95">
        <v>89</v>
      </c>
      <c r="G152" s="96"/>
      <c r="O152" s="97"/>
      <c r="P152" s="96"/>
      <c r="X152" s="98"/>
      <c r="Z152" s="98"/>
      <c r="AA152" s="86">
        <f>0.5*(B153-B152)*F152</f>
        <v>1246</v>
      </c>
      <c r="AC152" s="75">
        <f t="shared" si="57"/>
        <v>93</v>
      </c>
      <c r="AD152" s="109"/>
      <c r="AE152" s="99"/>
      <c r="AF152" s="74">
        <f t="shared" si="58"/>
        <v>161.81818181818181</v>
      </c>
      <c r="AG152" s="77">
        <f t="shared" si="60"/>
        <v>0.55000000000000004</v>
      </c>
      <c r="AH152" s="77"/>
      <c r="AI152" s="77">
        <f>((B152-B151)*AF152)-((B152-B151)*(AF152-AF151)*0.5)</f>
        <v>1294.5454545454545</v>
      </c>
      <c r="AJ152" s="152"/>
      <c r="AK152" s="95">
        <f t="shared" si="59"/>
        <v>169.09090909090907</v>
      </c>
      <c r="AL152" s="109"/>
      <c r="AM152" s="77"/>
      <c r="AN152" s="189"/>
      <c r="AO152" s="206"/>
      <c r="AP152" s="189"/>
      <c r="AQ152" s="206"/>
      <c r="AR152" s="189"/>
      <c r="AS152" s="206"/>
      <c r="AT152" s="100" t="e">
        <f>F152/AV152</f>
        <v>#N/A</v>
      </c>
      <c r="AU152" s="75">
        <f>B152/D152</f>
        <v>19.838709677419356</v>
      </c>
      <c r="AV152" s="75" t="e">
        <f>VLOOKUP(AU152,$CA$102:$CB$270,2)</f>
        <v>#N/A</v>
      </c>
      <c r="AX152" s="86"/>
      <c r="AY152" s="75" t="e">
        <f>((B152-B151)*AT152)-((B152-B151)*(AT152-AT151)*0.5)</f>
        <v>#N/A</v>
      </c>
      <c r="AZ152" s="99"/>
      <c r="BA152" s="75">
        <f>B152</f>
        <v>123</v>
      </c>
      <c r="BB152" s="75">
        <f>F152/AC152</f>
        <v>0.956989247311828</v>
      </c>
      <c r="BC152" s="75">
        <v>1</v>
      </c>
      <c r="BD152" s="75">
        <v>45</v>
      </c>
      <c r="BE152" s="75">
        <f>BD152/AC152</f>
        <v>0.4838709677419355</v>
      </c>
      <c r="BF152" s="75">
        <v>24</v>
      </c>
      <c r="BG152" s="75">
        <f>BF152/AC152</f>
        <v>0.25806451612903225</v>
      </c>
      <c r="BH152" s="75">
        <v>20</v>
      </c>
      <c r="BI152" s="75">
        <f>BH152/AC152</f>
        <v>0.21505376344086022</v>
      </c>
      <c r="CF152" s="75">
        <v>51</v>
      </c>
      <c r="CG152" s="75">
        <f t="shared" si="53"/>
        <v>0.45899999999999996</v>
      </c>
      <c r="CI152" s="75">
        <v>51</v>
      </c>
      <c r="CK152" s="75">
        <f t="shared" si="42"/>
        <v>0.153</v>
      </c>
      <c r="CL152" s="75">
        <f t="shared" si="43"/>
        <v>0.64890000000000003</v>
      </c>
      <c r="CM152" s="75">
        <f t="shared" si="54"/>
        <v>0.2016</v>
      </c>
      <c r="CN152" s="75">
        <f t="shared" si="44"/>
        <v>0.80190000000000006</v>
      </c>
      <c r="CO152" s="75">
        <f t="shared" si="45"/>
        <v>0.85050000000000003</v>
      </c>
      <c r="CQ152" s="75">
        <v>0.21</v>
      </c>
      <c r="CR152" s="75">
        <v>0.5</v>
      </c>
      <c r="CS152" s="75">
        <v>0.28000000000000003</v>
      </c>
      <c r="CT152" s="75">
        <f t="shared" si="46"/>
        <v>0.71</v>
      </c>
      <c r="CU152" s="75">
        <f t="shared" si="47"/>
        <v>0.78</v>
      </c>
    </row>
    <row r="153" spans="1:99" s="75" customFormat="1" x14ac:dyDescent="0.25">
      <c r="A153" s="75">
        <v>2013</v>
      </c>
      <c r="B153" s="75">
        <f t="shared" si="56"/>
        <v>151</v>
      </c>
      <c r="C153" s="94">
        <v>41425</v>
      </c>
      <c r="F153" s="95">
        <v>0</v>
      </c>
      <c r="G153" s="96"/>
      <c r="O153" s="97"/>
      <c r="P153" s="96"/>
      <c r="X153" s="98"/>
      <c r="Z153" s="98"/>
      <c r="AA153" s="86"/>
      <c r="AB153" s="75">
        <f>AE153/$AE$1</f>
        <v>149.55000000000001</v>
      </c>
      <c r="AC153" s="75">
        <f>MAX(F147:F153)</f>
        <v>93</v>
      </c>
      <c r="AD153" s="109">
        <f>AB153/AC153</f>
        <v>1.6080645161290323</v>
      </c>
      <c r="AE153" s="183">
        <f>SUM(AA148:AA153)</f>
        <v>7477.5</v>
      </c>
      <c r="AF153" s="74">
        <f t="shared" si="58"/>
        <v>0</v>
      </c>
      <c r="AG153" s="77">
        <f t="shared" si="60"/>
        <v>0.55000000000000004</v>
      </c>
      <c r="AH153" s="77"/>
      <c r="AI153" s="77">
        <f>0.5*(B153-B152)*AF152</f>
        <v>2265.4545454545455</v>
      </c>
      <c r="AJ153" s="152">
        <f>AM153/$AM$1</f>
        <v>297.8</v>
      </c>
      <c r="AK153" s="95">
        <f t="shared" si="59"/>
        <v>169.09090909090907</v>
      </c>
      <c r="AL153" s="109">
        <f>AJ153/AK153</f>
        <v>1.761182795698925</v>
      </c>
      <c r="AM153" s="77">
        <f>SUM(AI148:AI153)</f>
        <v>14890</v>
      </c>
      <c r="AN153" s="189">
        <v>124</v>
      </c>
      <c r="AO153" s="206">
        <v>1.39</v>
      </c>
      <c r="AP153" s="193">
        <f>AN153</f>
        <v>124</v>
      </c>
      <c r="AQ153" s="206">
        <v>834</v>
      </c>
      <c r="AR153" s="189">
        <v>9.3699999999999992</v>
      </c>
      <c r="AS153" s="206">
        <f>AK153*$AR$188</f>
        <v>0</v>
      </c>
      <c r="AT153" s="100">
        <v>0</v>
      </c>
      <c r="AW153" s="75">
        <f>AZ153/$AZ$1</f>
        <v>149.22999999999999</v>
      </c>
      <c r="AX153" s="86">
        <f>AW153/AC153</f>
        <v>1.6046236559139784</v>
      </c>
      <c r="AY153" s="75" t="e">
        <f>0.5*(B153-B152)*AT152</f>
        <v>#N/A</v>
      </c>
      <c r="AZ153" s="99">
        <v>7461.5</v>
      </c>
      <c r="CF153" s="75">
        <v>52</v>
      </c>
      <c r="CG153" s="75">
        <f t="shared" si="53"/>
        <v>0.46799999999999997</v>
      </c>
      <c r="CI153" s="75">
        <v>52</v>
      </c>
      <c r="CK153" s="75">
        <f t="shared" si="42"/>
        <v>0.156</v>
      </c>
      <c r="CL153" s="75">
        <f t="shared" si="43"/>
        <v>0.64500000000000002</v>
      </c>
      <c r="CM153" s="75">
        <f t="shared" si="54"/>
        <v>0.20179999999999998</v>
      </c>
      <c r="CN153" s="75">
        <f t="shared" si="44"/>
        <v>0.80100000000000005</v>
      </c>
      <c r="CO153" s="75">
        <f t="shared" si="45"/>
        <v>0.8468</v>
      </c>
      <c r="CQ153" s="75">
        <v>0.21</v>
      </c>
      <c r="CR153" s="75">
        <v>0.5</v>
      </c>
      <c r="CS153" s="75">
        <v>0.28000000000000003</v>
      </c>
      <c r="CT153" s="75">
        <f t="shared" si="46"/>
        <v>0.71</v>
      </c>
      <c r="CU153" s="75">
        <f t="shared" si="47"/>
        <v>0.78</v>
      </c>
    </row>
    <row r="154" spans="1:99" x14ac:dyDescent="0.25">
      <c r="A154">
        <v>2014</v>
      </c>
      <c r="B154">
        <f t="shared" si="56"/>
        <v>1</v>
      </c>
      <c r="C154" s="12">
        <v>41275</v>
      </c>
      <c r="F154" s="4">
        <v>0</v>
      </c>
      <c r="AC154">
        <f>AC155</f>
        <v>68</v>
      </c>
      <c r="AF154" s="74">
        <f t="shared" si="58"/>
        <v>0</v>
      </c>
      <c r="AG154" s="11">
        <f t="shared" si="60"/>
        <v>0.55000000000000004</v>
      </c>
      <c r="AH154" s="11"/>
      <c r="AI154" s="11"/>
      <c r="AJ154" s="152"/>
      <c r="AK154" s="4">
        <f>MAX($F$154:$F$158)/AG154</f>
        <v>123.63636363636363</v>
      </c>
      <c r="AL154" s="2"/>
      <c r="AM154" s="11"/>
      <c r="AN154" s="189"/>
      <c r="AO154" s="206"/>
      <c r="AP154" s="189"/>
      <c r="AQ154" s="206"/>
      <c r="AR154" s="189"/>
      <c r="AS154" s="206"/>
      <c r="AT154" s="6">
        <v>0</v>
      </c>
      <c r="CF154">
        <v>53</v>
      </c>
      <c r="CG154">
        <f t="shared" si="53"/>
        <v>0.47699999999999998</v>
      </c>
      <c r="CI154">
        <v>53</v>
      </c>
      <c r="CK154">
        <f t="shared" si="42"/>
        <v>0.159</v>
      </c>
      <c r="CL154">
        <f t="shared" si="43"/>
        <v>0.6411</v>
      </c>
      <c r="CM154">
        <f t="shared" si="54"/>
        <v>0.20199999999999999</v>
      </c>
      <c r="CN154">
        <f t="shared" si="44"/>
        <v>0.80010000000000003</v>
      </c>
      <c r="CO154">
        <f t="shared" si="45"/>
        <v>0.84309999999999996</v>
      </c>
      <c r="CQ154">
        <v>0.21</v>
      </c>
      <c r="CR154">
        <v>0.5</v>
      </c>
      <c r="CS154">
        <v>0.28000000000000003</v>
      </c>
      <c r="CT154">
        <f t="shared" si="46"/>
        <v>0.71</v>
      </c>
      <c r="CU154">
        <f t="shared" si="47"/>
        <v>0.78</v>
      </c>
    </row>
    <row r="155" spans="1:99" x14ac:dyDescent="0.25">
      <c r="A155">
        <v>2014</v>
      </c>
      <c r="B155">
        <f t="shared" si="56"/>
        <v>84</v>
      </c>
      <c r="C155" s="12">
        <v>41723</v>
      </c>
      <c r="D155">
        <v>7.9</v>
      </c>
      <c r="F155" s="4">
        <v>39</v>
      </c>
      <c r="AA155" s="1">
        <f>0.5*(B155-B154)*F155</f>
        <v>1618.5</v>
      </c>
      <c r="AC155">
        <f>AC156</f>
        <v>68</v>
      </c>
      <c r="AF155" s="74">
        <f t="shared" si="58"/>
        <v>70.909090909090907</v>
      </c>
      <c r="AG155" s="11">
        <f t="shared" si="60"/>
        <v>0.55000000000000004</v>
      </c>
      <c r="AH155" s="11"/>
      <c r="AI155" s="11">
        <f>0.5*($B155-$B154)*$AF155</f>
        <v>2942.7272727272725</v>
      </c>
      <c r="AJ155" s="152"/>
      <c r="AK155" s="4">
        <f>MAX($F$154:$F$158)/AG155</f>
        <v>123.63636363636363</v>
      </c>
      <c r="AL155" s="2"/>
      <c r="AM155" s="11"/>
      <c r="AN155" s="189"/>
      <c r="AO155" s="206"/>
      <c r="AP155" s="189"/>
      <c r="AQ155" s="206"/>
      <c r="AR155" s="189"/>
      <c r="AS155" s="206"/>
      <c r="AT155" s="6" t="e">
        <f>F155/AV155</f>
        <v>#N/A</v>
      </c>
      <c r="AU155">
        <f>B155/D155</f>
        <v>10.632911392405063</v>
      </c>
      <c r="AV155" t="e">
        <f>VLOOKUP(AU155,$CA$102:$CB$270,2)</f>
        <v>#N/A</v>
      </c>
      <c r="AY155" t="e">
        <f>0.5*(B155-B154)*AT155</f>
        <v>#N/A</v>
      </c>
      <c r="BA155" s="20">
        <f>B155</f>
        <v>84</v>
      </c>
      <c r="BB155" s="20">
        <f>F155/AC155</f>
        <v>0.57352941176470584</v>
      </c>
      <c r="BC155" s="20">
        <v>0.47058823529411764</v>
      </c>
      <c r="BD155" s="15">
        <v>4</v>
      </c>
      <c r="BE155" s="15">
        <f>BD155/AC155</f>
        <v>5.8823529411764705E-2</v>
      </c>
      <c r="BF155" s="15">
        <v>26</v>
      </c>
      <c r="BG155" s="15">
        <f>BF155/AC155</f>
        <v>0.38235294117647056</v>
      </c>
      <c r="BH155" s="15">
        <v>9</v>
      </c>
      <c r="BI155" s="15">
        <f>BH155/AC155</f>
        <v>0.13235294117647059</v>
      </c>
      <c r="CF155">
        <v>54</v>
      </c>
      <c r="CG155">
        <f t="shared" si="53"/>
        <v>0.48599999999999999</v>
      </c>
      <c r="CI155">
        <v>54</v>
      </c>
      <c r="CK155">
        <f t="shared" si="42"/>
        <v>0.16200000000000001</v>
      </c>
      <c r="CL155">
        <f t="shared" si="43"/>
        <v>0.63719999999999999</v>
      </c>
      <c r="CM155">
        <f t="shared" si="54"/>
        <v>0.20219999999999999</v>
      </c>
      <c r="CN155">
        <f t="shared" si="44"/>
        <v>0.79920000000000002</v>
      </c>
      <c r="CO155">
        <f t="shared" si="45"/>
        <v>0.83939999999999992</v>
      </c>
      <c r="CQ155">
        <v>0.21</v>
      </c>
      <c r="CR155">
        <v>0.5</v>
      </c>
      <c r="CS155">
        <v>0.28000000000000003</v>
      </c>
      <c r="CT155">
        <f t="shared" si="46"/>
        <v>0.71</v>
      </c>
      <c r="CU155">
        <f t="shared" si="47"/>
        <v>0.78</v>
      </c>
    </row>
    <row r="156" spans="1:99" x14ac:dyDescent="0.25">
      <c r="A156">
        <v>2014</v>
      </c>
      <c r="B156">
        <f t="shared" si="56"/>
        <v>101</v>
      </c>
      <c r="C156" s="12">
        <v>41740</v>
      </c>
      <c r="D156">
        <v>8.9700000000000006</v>
      </c>
      <c r="F156" s="4">
        <v>68</v>
      </c>
      <c r="AA156" s="1">
        <f>((B156-B155)*F156)-((B156-B155)*(F156-F155)*0.5)</f>
        <v>909.5</v>
      </c>
      <c r="AC156">
        <f>AC157</f>
        <v>68</v>
      </c>
      <c r="AF156" s="74">
        <f t="shared" si="58"/>
        <v>123.63636363636363</v>
      </c>
      <c r="AG156" s="11">
        <f t="shared" si="60"/>
        <v>0.55000000000000004</v>
      </c>
      <c r="AH156" s="11"/>
      <c r="AI156" s="11">
        <f>((B156-B155)*AF156)-((B156-B155)*(AF156-AF155)*0.5)</f>
        <v>1653.6363636363635</v>
      </c>
      <c r="AJ156" s="152"/>
      <c r="AK156" s="4">
        <f>MAX($F$154:$F$158)/AG156</f>
        <v>123.63636363636363</v>
      </c>
      <c r="AL156" s="2"/>
      <c r="AM156" s="11"/>
      <c r="AN156" s="189"/>
      <c r="AO156" s="206"/>
      <c r="AP156" s="189"/>
      <c r="AQ156" s="206"/>
      <c r="AR156" s="189"/>
      <c r="AS156" s="206"/>
      <c r="AT156" s="6" t="e">
        <f>F156/AV156</f>
        <v>#N/A</v>
      </c>
      <c r="AU156">
        <f>B156/D156</f>
        <v>11.259754738015607</v>
      </c>
      <c r="AV156" t="e">
        <f>VLOOKUP(AU156,$CA$102:$CB$270,2)</f>
        <v>#N/A</v>
      </c>
      <c r="AY156" t="e">
        <f>((B156-B155)*AT156)-((B156-B155)*(AT156-AT155)*0.5)</f>
        <v>#N/A</v>
      </c>
      <c r="BA156" s="20">
        <f>B156</f>
        <v>101</v>
      </c>
      <c r="BB156" s="20">
        <f>F156/AC156</f>
        <v>1</v>
      </c>
      <c r="BC156" s="20">
        <v>1</v>
      </c>
      <c r="BD156" s="15">
        <v>17</v>
      </c>
      <c r="BE156" s="15">
        <f>BD156/AC156</f>
        <v>0.25</v>
      </c>
      <c r="BF156" s="15">
        <v>35</v>
      </c>
      <c r="BG156" s="15">
        <f>BF156/AC156</f>
        <v>0.51470588235294112</v>
      </c>
      <c r="BH156" s="15">
        <v>16</v>
      </c>
      <c r="BI156" s="15">
        <f>BH156/AC156</f>
        <v>0.23529411764705882</v>
      </c>
      <c r="CF156">
        <v>55</v>
      </c>
      <c r="CG156">
        <f t="shared" si="53"/>
        <v>0.49499999999999994</v>
      </c>
      <c r="CI156">
        <v>55</v>
      </c>
      <c r="CK156">
        <f t="shared" si="42"/>
        <v>0.16500000000000001</v>
      </c>
      <c r="CL156">
        <f t="shared" si="43"/>
        <v>0.63329999999999997</v>
      </c>
      <c r="CM156">
        <f t="shared" si="54"/>
        <v>0.2024</v>
      </c>
      <c r="CN156">
        <f t="shared" si="44"/>
        <v>0.79830000000000001</v>
      </c>
      <c r="CO156">
        <f t="shared" si="45"/>
        <v>0.8357</v>
      </c>
      <c r="CQ156">
        <v>0.21</v>
      </c>
      <c r="CR156">
        <v>0.5</v>
      </c>
      <c r="CS156">
        <v>0.28000000000000003</v>
      </c>
      <c r="CT156">
        <f t="shared" si="46"/>
        <v>0.71</v>
      </c>
      <c r="CU156">
        <f t="shared" si="47"/>
        <v>0.78</v>
      </c>
    </row>
    <row r="157" spans="1:99" x14ac:dyDescent="0.25">
      <c r="A157">
        <v>2014</v>
      </c>
      <c r="B157">
        <f t="shared" si="56"/>
        <v>114</v>
      </c>
      <c r="C157" s="12">
        <v>41753</v>
      </c>
      <c r="D157">
        <v>13.5</v>
      </c>
      <c r="F157" s="4">
        <v>62</v>
      </c>
      <c r="AA157" s="1">
        <f>((B157-B156)*F157)-((B157-B156)*(F157-F156)*0.5)</f>
        <v>845</v>
      </c>
      <c r="AC157">
        <f>AC158</f>
        <v>68</v>
      </c>
      <c r="AF157" s="74">
        <f t="shared" si="58"/>
        <v>112.72727272727272</v>
      </c>
      <c r="AG157" s="11">
        <f t="shared" si="60"/>
        <v>0.55000000000000004</v>
      </c>
      <c r="AH157" s="11"/>
      <c r="AI157" s="11">
        <f>((B157-B156)*AF157)-((B157-B156)*(AF157-AF156)*0.5)</f>
        <v>1536.3636363636363</v>
      </c>
      <c r="AJ157" s="152"/>
      <c r="AK157" s="4">
        <f>MAX($F$154:$F$158)/AG157</f>
        <v>123.63636363636363</v>
      </c>
      <c r="AL157" s="2"/>
      <c r="AM157" s="11"/>
      <c r="AN157" s="189"/>
      <c r="AO157" s="206"/>
      <c r="AP157" s="189"/>
      <c r="AQ157" s="206"/>
      <c r="AR157" s="189"/>
      <c r="AS157" s="206"/>
      <c r="AT157" s="6" t="e">
        <f>F157/AV157</f>
        <v>#N/A</v>
      </c>
      <c r="AU157">
        <f>B157/D157</f>
        <v>8.4444444444444446</v>
      </c>
      <c r="AV157" t="e">
        <f>VLOOKUP(AU157,$CA$102:$CB$270,2)</f>
        <v>#N/A</v>
      </c>
      <c r="AY157" t="e">
        <f>((B157-B156)*AT157)-((B157-B156)*(AT157-AT156)*0.5)</f>
        <v>#N/A</v>
      </c>
      <c r="BA157" s="20">
        <f>B157</f>
        <v>114</v>
      </c>
      <c r="BB157" s="20">
        <f>F157/AC157</f>
        <v>0.91176470588235292</v>
      </c>
      <c r="BD157" s="15">
        <v>2</v>
      </c>
      <c r="BE157" s="15">
        <f>BD157/AC157</f>
        <v>2.9411764705882353E-2</v>
      </c>
      <c r="BF157" s="15">
        <v>40</v>
      </c>
      <c r="BG157" s="15">
        <f>BF157/AC157</f>
        <v>0.58823529411764708</v>
      </c>
      <c r="BH157" s="15">
        <v>20</v>
      </c>
      <c r="BI157" s="15">
        <f>BH157/AC157</f>
        <v>0.29411764705882354</v>
      </c>
      <c r="CF157">
        <v>56</v>
      </c>
      <c r="CG157">
        <f t="shared" si="53"/>
        <v>0.504</v>
      </c>
      <c r="CI157">
        <v>56</v>
      </c>
      <c r="CK157">
        <f t="shared" si="42"/>
        <v>0.16800000000000001</v>
      </c>
      <c r="CL157">
        <f t="shared" si="43"/>
        <v>0.62939999999999996</v>
      </c>
      <c r="CM157">
        <f t="shared" si="54"/>
        <v>0.20259999999999997</v>
      </c>
      <c r="CN157">
        <f t="shared" si="44"/>
        <v>0.7974</v>
      </c>
      <c r="CO157">
        <f t="shared" si="45"/>
        <v>0.83199999999999996</v>
      </c>
      <c r="CQ157">
        <v>0.21</v>
      </c>
      <c r="CR157">
        <v>0.5</v>
      </c>
      <c r="CS157">
        <v>0.28000000000000003</v>
      </c>
      <c r="CT157">
        <f t="shared" si="46"/>
        <v>0.71</v>
      </c>
      <c r="CU157">
        <f t="shared" si="47"/>
        <v>0.78</v>
      </c>
    </row>
    <row r="158" spans="1:99" x14ac:dyDescent="0.25">
      <c r="A158">
        <v>2014</v>
      </c>
      <c r="B158">
        <f t="shared" si="56"/>
        <v>151</v>
      </c>
      <c r="C158" s="12">
        <v>41790</v>
      </c>
      <c r="F158" s="4">
        <v>0</v>
      </c>
      <c r="AA158" s="1">
        <f>((B158-B157)*F158)-((B158-B157)*(F158-F157)*0.5)</f>
        <v>1147</v>
      </c>
      <c r="AB158">
        <f>AE158/$AE$1</f>
        <v>90.4</v>
      </c>
      <c r="AC158">
        <f>MAX(F154:F158)</f>
        <v>68</v>
      </c>
      <c r="AD158" s="2">
        <f>AB158/AC158</f>
        <v>1.3294117647058825</v>
      </c>
      <c r="AE158" s="182">
        <f>SUM(AA155:AA158)</f>
        <v>4520</v>
      </c>
      <c r="AF158" s="74">
        <f t="shared" si="58"/>
        <v>0</v>
      </c>
      <c r="AG158" s="11">
        <f t="shared" si="60"/>
        <v>0.55000000000000004</v>
      </c>
      <c r="AH158" s="11"/>
      <c r="AI158" s="11">
        <f>0.5*(B158-B157)*AF157</f>
        <v>2085.4545454545455</v>
      </c>
      <c r="AJ158" s="151">
        <f>AM158/$AM$1</f>
        <v>164.36363636363637</v>
      </c>
      <c r="AK158" s="4">
        <f>MAX($F$154:$F$158)/AG158</f>
        <v>123.63636363636363</v>
      </c>
      <c r="AL158" s="2">
        <f>AJ158/AK158</f>
        <v>1.3294117647058825</v>
      </c>
      <c r="AM158" s="11">
        <f>SUM(AI155:AI158)</f>
        <v>8218.181818181818</v>
      </c>
      <c r="AN158" s="189">
        <v>118</v>
      </c>
      <c r="AO158" s="206">
        <v>1.74</v>
      </c>
      <c r="AP158" s="193">
        <f>AN158</f>
        <v>118</v>
      </c>
      <c r="AQ158" s="206">
        <v>117</v>
      </c>
      <c r="AR158" s="189">
        <v>1.72</v>
      </c>
      <c r="AS158" s="206">
        <f>AK158*$AR$188</f>
        <v>0</v>
      </c>
      <c r="AT158" s="6">
        <v>0</v>
      </c>
      <c r="AW158" t="e">
        <f>AZ158/$AZ$1</f>
        <v>#N/A</v>
      </c>
      <c r="AX158" s="1" t="e">
        <f>AW158/AC158</f>
        <v>#N/A</v>
      </c>
      <c r="AY158" t="e">
        <f>0.5*(B158-B157)*AT157</f>
        <v>#N/A</v>
      </c>
      <c r="AZ158" s="5" t="e">
        <f>SUM(AY154:AY158)</f>
        <v>#N/A</v>
      </c>
      <c r="CF158">
        <v>57</v>
      </c>
      <c r="CG158">
        <f t="shared" si="53"/>
        <v>0.51300000000000001</v>
      </c>
      <c r="CI158">
        <v>57</v>
      </c>
      <c r="CK158">
        <f t="shared" si="42"/>
        <v>0.17100000000000001</v>
      </c>
      <c r="CL158">
        <f t="shared" si="43"/>
        <v>0.62549999999999994</v>
      </c>
      <c r="CM158">
        <f t="shared" si="54"/>
        <v>0.20279999999999998</v>
      </c>
      <c r="CN158">
        <f t="shared" si="44"/>
        <v>0.79649999999999999</v>
      </c>
      <c r="CO158">
        <f t="shared" si="45"/>
        <v>0.82829999999999993</v>
      </c>
      <c r="CQ158">
        <v>0.21</v>
      </c>
      <c r="CR158">
        <v>0.5</v>
      </c>
      <c r="CS158">
        <v>0.28000000000000003</v>
      </c>
      <c r="CT158">
        <f t="shared" si="46"/>
        <v>0.71</v>
      </c>
      <c r="CU158">
        <f t="shared" si="47"/>
        <v>0.78</v>
      </c>
    </row>
    <row r="159" spans="1:99" s="75" customFormat="1" x14ac:dyDescent="0.25">
      <c r="A159" s="75">
        <v>2015</v>
      </c>
      <c r="B159" s="75">
        <f t="shared" si="56"/>
        <v>1</v>
      </c>
      <c r="C159" s="94">
        <v>42005</v>
      </c>
      <c r="F159" s="95">
        <v>0</v>
      </c>
      <c r="G159" s="96"/>
      <c r="O159" s="97"/>
      <c r="P159" s="96"/>
      <c r="X159" s="98"/>
      <c r="Z159" s="98"/>
      <c r="AA159" s="86"/>
      <c r="AC159" s="75">
        <f>AC160</f>
        <v>109</v>
      </c>
      <c r="AD159" s="109"/>
      <c r="AE159" s="99"/>
      <c r="AF159" s="74">
        <f t="shared" si="58"/>
        <v>0</v>
      </c>
      <c r="AG159" s="77">
        <f t="shared" si="60"/>
        <v>0.55000000000000004</v>
      </c>
      <c r="AH159" s="77"/>
      <c r="AI159" s="77"/>
      <c r="AJ159" s="152"/>
      <c r="AK159" s="95">
        <f>MAX($F$159:$F$163)/AG159</f>
        <v>198.18181818181816</v>
      </c>
      <c r="AL159" s="109"/>
      <c r="AM159" s="77"/>
      <c r="AN159" s="189"/>
      <c r="AO159" s="206"/>
      <c r="AP159" s="189"/>
      <c r="AQ159" s="206"/>
      <c r="AR159" s="189"/>
      <c r="AS159" s="206"/>
      <c r="AT159" s="100">
        <v>0</v>
      </c>
      <c r="AX159" s="86"/>
      <c r="AZ159" s="99"/>
      <c r="CF159" s="75">
        <v>58</v>
      </c>
      <c r="CG159" s="75">
        <f t="shared" si="53"/>
        <v>0.52199999999999991</v>
      </c>
      <c r="CI159" s="75">
        <v>58</v>
      </c>
      <c r="CK159" s="75">
        <f t="shared" si="42"/>
        <v>0.17400000000000002</v>
      </c>
      <c r="CL159" s="75">
        <f t="shared" si="43"/>
        <v>0.62160000000000004</v>
      </c>
      <c r="CM159" s="75">
        <f t="shared" si="54"/>
        <v>0.20299999999999999</v>
      </c>
      <c r="CN159" s="75">
        <f t="shared" si="44"/>
        <v>0.79560000000000008</v>
      </c>
      <c r="CO159" s="75">
        <f t="shared" si="45"/>
        <v>0.8246</v>
      </c>
      <c r="CQ159" s="75">
        <v>0.21</v>
      </c>
      <c r="CR159" s="75">
        <v>0.5</v>
      </c>
      <c r="CS159" s="75">
        <v>0.28000000000000003</v>
      </c>
      <c r="CT159" s="75">
        <f t="shared" si="46"/>
        <v>0.71</v>
      </c>
      <c r="CU159" s="75">
        <f t="shared" si="47"/>
        <v>0.78</v>
      </c>
    </row>
    <row r="160" spans="1:99" s="75" customFormat="1" x14ac:dyDescent="0.25">
      <c r="A160" s="75">
        <v>2015</v>
      </c>
      <c r="B160" s="75">
        <f t="shared" si="56"/>
        <v>86</v>
      </c>
      <c r="C160" s="94">
        <v>42090</v>
      </c>
      <c r="D160" s="75">
        <v>10</v>
      </c>
      <c r="F160" s="95">
        <v>109</v>
      </c>
      <c r="G160" s="96"/>
      <c r="O160" s="97"/>
      <c r="P160" s="96"/>
      <c r="X160" s="98"/>
      <c r="Z160" s="98"/>
      <c r="AA160" s="86">
        <f>0.5*(B160-B159)*F160</f>
        <v>4632.5</v>
      </c>
      <c r="AC160" s="75">
        <f>AC161</f>
        <v>109</v>
      </c>
      <c r="AD160" s="109"/>
      <c r="AE160" s="99"/>
      <c r="AF160" s="74">
        <f t="shared" si="58"/>
        <v>198.18181818181816</v>
      </c>
      <c r="AG160" s="77">
        <f t="shared" si="60"/>
        <v>0.55000000000000004</v>
      </c>
      <c r="AH160" s="77"/>
      <c r="AI160" s="77">
        <f>0.5*($B160-$B159)*$AF160</f>
        <v>8422.7272727272721</v>
      </c>
      <c r="AJ160" s="152"/>
      <c r="AK160" s="95">
        <f>MAX($F$159:$F$163)/AG160</f>
        <v>198.18181818181816</v>
      </c>
      <c r="AL160" s="109"/>
      <c r="AM160" s="77"/>
      <c r="AN160" s="189"/>
      <c r="AO160" s="206"/>
      <c r="AP160" s="189"/>
      <c r="AQ160" s="206"/>
      <c r="AR160" s="189"/>
      <c r="AS160" s="206"/>
      <c r="AT160" s="100" t="e">
        <f>F160/AV160</f>
        <v>#N/A</v>
      </c>
      <c r="AU160" s="75">
        <f>B160/D160</f>
        <v>8.6</v>
      </c>
      <c r="AV160" s="75" t="e">
        <f>VLOOKUP(AU160,$CA$102:$CB$270,2)</f>
        <v>#N/A</v>
      </c>
      <c r="AX160" s="86"/>
      <c r="AY160" s="75" t="e">
        <f>0.5*(B160-B159)*AT160</f>
        <v>#N/A</v>
      </c>
      <c r="AZ160" s="99"/>
      <c r="BA160" s="75">
        <f>B160</f>
        <v>86</v>
      </c>
      <c r="BB160" s="75">
        <f>F160/AC160</f>
        <v>1</v>
      </c>
      <c r="BC160" s="75">
        <v>1</v>
      </c>
      <c r="CF160" s="75">
        <v>59</v>
      </c>
      <c r="CG160" s="75">
        <f t="shared" si="53"/>
        <v>0.53099999999999992</v>
      </c>
      <c r="CI160" s="75">
        <v>59</v>
      </c>
      <c r="CK160" s="75">
        <f t="shared" si="42"/>
        <v>0.17699999999999999</v>
      </c>
      <c r="CL160" s="75">
        <f t="shared" si="43"/>
        <v>0.61770000000000003</v>
      </c>
      <c r="CM160" s="75">
        <f t="shared" si="54"/>
        <v>0.20319999999999999</v>
      </c>
      <c r="CN160" s="75">
        <f t="shared" si="44"/>
        <v>0.79469999999999996</v>
      </c>
      <c r="CO160" s="75">
        <f t="shared" si="45"/>
        <v>0.82089999999999996</v>
      </c>
      <c r="CQ160" s="75">
        <v>0.21</v>
      </c>
      <c r="CR160" s="75">
        <v>0.5</v>
      </c>
      <c r="CS160" s="75">
        <v>0.28000000000000003</v>
      </c>
      <c r="CT160" s="75">
        <f t="shared" si="46"/>
        <v>0.71</v>
      </c>
      <c r="CU160" s="75">
        <f t="shared" si="47"/>
        <v>0.78</v>
      </c>
    </row>
    <row r="161" spans="1:99" s="75" customFormat="1" x14ac:dyDescent="0.25">
      <c r="A161" s="75">
        <v>2015</v>
      </c>
      <c r="B161" s="75">
        <f t="shared" si="56"/>
        <v>98</v>
      </c>
      <c r="C161" s="94">
        <v>42102</v>
      </c>
      <c r="D161" s="75">
        <v>6.2</v>
      </c>
      <c r="F161" s="95">
        <v>106</v>
      </c>
      <c r="G161" s="96"/>
      <c r="O161" s="97"/>
      <c r="P161" s="96"/>
      <c r="X161" s="98"/>
      <c r="Z161" s="98"/>
      <c r="AA161" s="86">
        <f>((B161-B160)*F161)-((B161-B160)*(F161-F160)*0.5)</f>
        <v>1290</v>
      </c>
      <c r="AC161" s="75">
        <f>AC162</f>
        <v>109</v>
      </c>
      <c r="AD161" s="109"/>
      <c r="AE161" s="99"/>
      <c r="AF161" s="74">
        <f t="shared" si="58"/>
        <v>192.72727272727272</v>
      </c>
      <c r="AG161" s="77">
        <f t="shared" si="60"/>
        <v>0.55000000000000004</v>
      </c>
      <c r="AH161" s="77"/>
      <c r="AI161" s="77">
        <f>((B161-B160)*AF161)-((B161-B160)*(AF161-AF160)*0.5)</f>
        <v>2345.454545454545</v>
      </c>
      <c r="AJ161" s="152"/>
      <c r="AK161" s="95">
        <f>MAX($F$159:$F$163)/AG161</f>
        <v>198.18181818181816</v>
      </c>
      <c r="AL161" s="109"/>
      <c r="AM161" s="77"/>
      <c r="AN161" s="189"/>
      <c r="AO161" s="206"/>
      <c r="AP161" s="189"/>
      <c r="AQ161" s="206"/>
      <c r="AR161" s="189"/>
      <c r="AS161" s="206"/>
      <c r="AT161" s="100" t="e">
        <f>F161/AV161</f>
        <v>#N/A</v>
      </c>
      <c r="AU161" s="75">
        <f>B161/D161</f>
        <v>15.806451612903226</v>
      </c>
      <c r="AV161" s="75" t="e">
        <f>VLOOKUP(AU161,$CA$102:$CB$270,2)</f>
        <v>#N/A</v>
      </c>
      <c r="AX161" s="86"/>
      <c r="AY161" s="75" t="e">
        <f>((B161-B160)*AT161)-((B161-B160)*(AT161-AT160)*0.5)</f>
        <v>#N/A</v>
      </c>
      <c r="AZ161" s="99"/>
      <c r="BA161" s="75">
        <f>B161</f>
        <v>98</v>
      </c>
      <c r="BB161" s="75">
        <f>F161/AC161</f>
        <v>0.97247706422018354</v>
      </c>
      <c r="BD161" s="75">
        <v>2</v>
      </c>
      <c r="BE161" s="75">
        <f>BD161/AC161</f>
        <v>1.834862385321101E-2</v>
      </c>
      <c r="BF161" s="75">
        <v>57</v>
      </c>
      <c r="BG161" s="75">
        <f>BF161/AC161</f>
        <v>0.52293577981651373</v>
      </c>
      <c r="BH161" s="75">
        <v>47</v>
      </c>
      <c r="BI161" s="75">
        <f>BH161/AC161</f>
        <v>0.43119266055045874</v>
      </c>
      <c r="CF161" s="75">
        <v>60</v>
      </c>
      <c r="CG161" s="75">
        <f t="shared" si="53"/>
        <v>0.53999999999999992</v>
      </c>
      <c r="CI161" s="75">
        <v>60</v>
      </c>
      <c r="CK161" s="75">
        <f t="shared" si="42"/>
        <v>0.18</v>
      </c>
      <c r="CL161" s="75">
        <f t="shared" si="43"/>
        <v>0.61380000000000001</v>
      </c>
      <c r="CM161" s="75">
        <f t="shared" si="54"/>
        <v>0.2034</v>
      </c>
      <c r="CN161" s="75">
        <f t="shared" si="44"/>
        <v>0.79380000000000006</v>
      </c>
      <c r="CO161" s="75">
        <f t="shared" si="45"/>
        <v>0.81720000000000004</v>
      </c>
      <c r="CQ161" s="75">
        <v>0.21</v>
      </c>
      <c r="CR161" s="75">
        <v>0.5</v>
      </c>
      <c r="CS161" s="75">
        <v>0.28000000000000003</v>
      </c>
      <c r="CT161" s="75">
        <f t="shared" si="46"/>
        <v>0.71</v>
      </c>
      <c r="CU161" s="75">
        <f t="shared" si="47"/>
        <v>0.78</v>
      </c>
    </row>
    <row r="162" spans="1:99" s="75" customFormat="1" x14ac:dyDescent="0.25">
      <c r="A162" s="75">
        <v>2015</v>
      </c>
      <c r="B162" s="75">
        <f t="shared" si="56"/>
        <v>117</v>
      </c>
      <c r="C162" s="94">
        <v>42121</v>
      </c>
      <c r="D162" s="75">
        <v>4.7</v>
      </c>
      <c r="F162" s="95">
        <v>81</v>
      </c>
      <c r="G162" s="96"/>
      <c r="O162" s="97"/>
      <c r="P162" s="96"/>
      <c r="X162" s="98"/>
      <c r="Z162" s="98"/>
      <c r="AA162" s="86">
        <f>((B162-B161)*F162)-((B162-B161)*(F162-F161)*0.5)</f>
        <v>1776.5</v>
      </c>
      <c r="AC162" s="75">
        <f>AC163</f>
        <v>109</v>
      </c>
      <c r="AD162" s="109"/>
      <c r="AE162" s="99"/>
      <c r="AF162" s="74">
        <f t="shared" si="58"/>
        <v>147.27272727272725</v>
      </c>
      <c r="AG162" s="77">
        <f t="shared" si="60"/>
        <v>0.55000000000000004</v>
      </c>
      <c r="AH162" s="77"/>
      <c r="AI162" s="77">
        <f>((B162-B161)*AF162)-((B162-B161)*(AF162-AF161)*0.5)</f>
        <v>3230</v>
      </c>
      <c r="AJ162" s="152"/>
      <c r="AK162" s="95">
        <f>MAX($F$159:$F$163)/AG162</f>
        <v>198.18181818181816</v>
      </c>
      <c r="AL162" s="109"/>
      <c r="AM162" s="77"/>
      <c r="AN162" s="189"/>
      <c r="AO162" s="206"/>
      <c r="AP162" s="189"/>
      <c r="AQ162" s="206"/>
      <c r="AR162" s="189"/>
      <c r="AS162" s="206"/>
      <c r="AT162" s="100" t="e">
        <f>F162/AV162</f>
        <v>#N/A</v>
      </c>
      <c r="AU162" s="75">
        <f>B162/D162</f>
        <v>24.893617021276594</v>
      </c>
      <c r="AV162" s="75" t="e">
        <f>VLOOKUP(AU162,$CA$102:$CB$270,2)</f>
        <v>#N/A</v>
      </c>
      <c r="AX162" s="86"/>
      <c r="AY162" s="75" t="e">
        <f>((B162-B161)*AT162)-((B162-B161)*(AT162-AT161)*0.5)</f>
        <v>#N/A</v>
      </c>
      <c r="AZ162" s="99"/>
      <c r="BA162" s="75">
        <f>B162</f>
        <v>117</v>
      </c>
      <c r="BB162" s="75">
        <f>F162/AC162</f>
        <v>0.74311926605504586</v>
      </c>
      <c r="BD162" s="75">
        <v>9</v>
      </c>
      <c r="BE162" s="75">
        <f>BD162/AC162</f>
        <v>8.2568807339449546E-2</v>
      </c>
      <c r="BF162" s="75">
        <v>44</v>
      </c>
      <c r="BG162" s="75">
        <f>BF162/AC162</f>
        <v>0.40366972477064222</v>
      </c>
      <c r="BH162" s="75">
        <v>28</v>
      </c>
      <c r="BI162" s="75">
        <f>BH162/AC162</f>
        <v>0.25688073394495414</v>
      </c>
      <c r="CF162" s="75">
        <v>61</v>
      </c>
      <c r="CG162" s="75">
        <f t="shared" si="53"/>
        <v>0.54899999999999993</v>
      </c>
      <c r="CI162" s="75">
        <v>61</v>
      </c>
      <c r="CK162" s="75">
        <f t="shared" si="42"/>
        <v>0.183</v>
      </c>
      <c r="CL162" s="75">
        <f t="shared" si="43"/>
        <v>0.6099</v>
      </c>
      <c r="CM162" s="75">
        <f t="shared" si="54"/>
        <v>0.20359999999999998</v>
      </c>
      <c r="CN162" s="75">
        <f t="shared" si="44"/>
        <v>0.79289999999999994</v>
      </c>
      <c r="CO162" s="75">
        <f t="shared" si="45"/>
        <v>0.8135</v>
      </c>
      <c r="CQ162" s="75">
        <v>0.21</v>
      </c>
      <c r="CR162" s="75">
        <v>0.5</v>
      </c>
      <c r="CS162" s="75">
        <v>0.28000000000000003</v>
      </c>
      <c r="CT162" s="75">
        <f t="shared" si="46"/>
        <v>0.71</v>
      </c>
      <c r="CU162" s="75">
        <f t="shared" si="47"/>
        <v>0.78</v>
      </c>
    </row>
    <row r="163" spans="1:99" s="75" customFormat="1" x14ac:dyDescent="0.25">
      <c r="A163" s="75">
        <v>2015</v>
      </c>
      <c r="B163" s="75">
        <f t="shared" si="56"/>
        <v>151</v>
      </c>
      <c r="C163" s="94">
        <v>42155</v>
      </c>
      <c r="F163" s="95">
        <v>0</v>
      </c>
      <c r="G163" s="96"/>
      <c r="O163" s="97"/>
      <c r="P163" s="96"/>
      <c r="X163" s="98"/>
      <c r="Z163" s="98"/>
      <c r="AA163" s="86">
        <f>((B163-B162)*F163)-((B163-B162)*(F163-F162)*0.5)</f>
        <v>1377</v>
      </c>
      <c r="AB163" s="75">
        <f>AE163/$AE$1</f>
        <v>181.52</v>
      </c>
      <c r="AC163" s="75">
        <f>MAX(F159:F163)</f>
        <v>109</v>
      </c>
      <c r="AD163" s="109">
        <f>AB163/AC163</f>
        <v>1.6653211009174314</v>
      </c>
      <c r="AE163" s="183">
        <f>SUM(AA160:AA163)</f>
        <v>9076</v>
      </c>
      <c r="AF163" s="74">
        <f t="shared" si="58"/>
        <v>0</v>
      </c>
      <c r="AG163" s="77">
        <f t="shared" si="60"/>
        <v>0.55000000000000004</v>
      </c>
      <c r="AH163" s="77"/>
      <c r="AI163" s="77">
        <f>0.5*(B163-B162)*AF162</f>
        <v>2503.6363636363631</v>
      </c>
      <c r="AJ163" s="152">
        <f>AM163/$AM$1</f>
        <v>330.0363636363636</v>
      </c>
      <c r="AK163" s="95">
        <f>MAX($F$159:$F$163)/AG163</f>
        <v>198.18181818181816</v>
      </c>
      <c r="AL163" s="109">
        <f>AJ163/AK163</f>
        <v>1.6653211009174311</v>
      </c>
      <c r="AM163" s="77">
        <f>SUM(AI160:AI163)</f>
        <v>16501.81818181818</v>
      </c>
      <c r="AN163" s="189">
        <v>196</v>
      </c>
      <c r="AO163" s="206">
        <v>1.79</v>
      </c>
      <c r="AP163" s="193">
        <f>AN163</f>
        <v>196</v>
      </c>
      <c r="AQ163" s="206">
        <v>196</v>
      </c>
      <c r="AR163" s="189">
        <v>1.8</v>
      </c>
      <c r="AS163" s="206">
        <f>AK163*$AR$188</f>
        <v>0</v>
      </c>
      <c r="AT163" s="100">
        <v>0</v>
      </c>
      <c r="AW163" s="75" t="e">
        <f>AZ163/$AZ$1</f>
        <v>#N/A</v>
      </c>
      <c r="AX163" s="86" t="e">
        <f>AW163/AC163</f>
        <v>#N/A</v>
      </c>
      <c r="AY163" s="75" t="e">
        <f>0.5*(B163-B162)*AT162</f>
        <v>#N/A</v>
      </c>
      <c r="AZ163" s="99" t="e">
        <f>SUM(AY160:AY163)</f>
        <v>#N/A</v>
      </c>
      <c r="CF163" s="75">
        <v>62</v>
      </c>
      <c r="CG163" s="75">
        <f t="shared" si="53"/>
        <v>0.55799999999999994</v>
      </c>
      <c r="CI163" s="75">
        <v>62</v>
      </c>
      <c r="CK163" s="75">
        <f t="shared" si="42"/>
        <v>0.186</v>
      </c>
      <c r="CL163" s="75">
        <f t="shared" si="43"/>
        <v>0.60599999999999998</v>
      </c>
      <c r="CM163" s="75">
        <f t="shared" si="54"/>
        <v>0.20379999999999998</v>
      </c>
      <c r="CN163" s="75">
        <f t="shared" si="44"/>
        <v>0.79200000000000004</v>
      </c>
      <c r="CO163" s="75">
        <f t="shared" si="45"/>
        <v>0.80979999999999996</v>
      </c>
      <c r="CQ163" s="75">
        <v>0.21</v>
      </c>
      <c r="CR163" s="75">
        <v>0.5</v>
      </c>
      <c r="CS163" s="75">
        <v>0.28000000000000003</v>
      </c>
      <c r="CT163" s="75">
        <f t="shared" si="46"/>
        <v>0.71</v>
      </c>
      <c r="CU163" s="75">
        <f t="shared" si="47"/>
        <v>0.78</v>
      </c>
    </row>
    <row r="164" spans="1:99" x14ac:dyDescent="0.25">
      <c r="A164">
        <v>2016</v>
      </c>
      <c r="B164">
        <f t="shared" si="56"/>
        <v>1</v>
      </c>
      <c r="C164" s="12">
        <v>42370</v>
      </c>
      <c r="F164" s="4">
        <v>0</v>
      </c>
      <c r="AC164">
        <f>AC165</f>
        <v>96</v>
      </c>
      <c r="AF164" s="74">
        <f t="shared" si="58"/>
        <v>0</v>
      </c>
      <c r="AG164" s="11">
        <f t="shared" si="60"/>
        <v>0.55000000000000004</v>
      </c>
      <c r="AH164" s="11"/>
      <c r="AI164" s="11"/>
      <c r="AJ164" s="152"/>
      <c r="AK164" s="4">
        <f>MAX($F$164:$F$168)/AG164</f>
        <v>174.54545454545453</v>
      </c>
      <c r="AL164" s="2"/>
      <c r="AM164" s="11"/>
      <c r="AN164" s="189"/>
      <c r="AO164" s="206"/>
      <c r="AP164" s="189"/>
      <c r="AQ164" s="206"/>
      <c r="AR164" s="189"/>
      <c r="AS164" s="206"/>
      <c r="AT164" s="6">
        <v>0</v>
      </c>
      <c r="CF164">
        <v>63</v>
      </c>
      <c r="CG164">
        <f t="shared" si="53"/>
        <v>0.56699999999999995</v>
      </c>
      <c r="CI164">
        <v>63</v>
      </c>
      <c r="CK164">
        <f t="shared" si="42"/>
        <v>0.189</v>
      </c>
      <c r="CL164">
        <f t="shared" si="43"/>
        <v>0.60209999999999997</v>
      </c>
      <c r="CM164">
        <f t="shared" si="54"/>
        <v>0.20399999999999999</v>
      </c>
      <c r="CN164">
        <f t="shared" si="44"/>
        <v>0.79109999999999991</v>
      </c>
      <c r="CO164">
        <f t="shared" si="45"/>
        <v>0.80609999999999993</v>
      </c>
      <c r="CQ164">
        <v>0.21</v>
      </c>
      <c r="CR164">
        <v>0.5</v>
      </c>
      <c r="CS164">
        <v>0.28000000000000003</v>
      </c>
      <c r="CT164">
        <f t="shared" si="46"/>
        <v>0.71</v>
      </c>
      <c r="CU164">
        <f t="shared" si="47"/>
        <v>0.78</v>
      </c>
    </row>
    <row r="165" spans="1:99" x14ac:dyDescent="0.25">
      <c r="A165">
        <v>2016</v>
      </c>
      <c r="B165">
        <f t="shared" si="56"/>
        <v>87</v>
      </c>
      <c r="C165" s="12">
        <v>42456</v>
      </c>
      <c r="D165">
        <v>9.83</v>
      </c>
      <c r="F165" s="4">
        <v>81</v>
      </c>
      <c r="AA165" s="1">
        <f>0.5*(B165-B164)*F165</f>
        <v>3483</v>
      </c>
      <c r="AC165">
        <f>AC166</f>
        <v>96</v>
      </c>
      <c r="AF165" s="74">
        <f t="shared" si="58"/>
        <v>147.27272727272725</v>
      </c>
      <c r="AG165" s="11">
        <f t="shared" si="60"/>
        <v>0.55000000000000004</v>
      </c>
      <c r="AH165" s="11"/>
      <c r="AI165" s="11">
        <f>0.5*($B165-$B164)*$AF165</f>
        <v>6332.7272727272721</v>
      </c>
      <c r="AJ165" s="152"/>
      <c r="AK165" s="4">
        <f>MAX($F$164:$F$168)/AG165</f>
        <v>174.54545454545453</v>
      </c>
      <c r="AL165" s="2"/>
      <c r="AM165" s="11"/>
      <c r="AN165" s="189"/>
      <c r="AO165" s="206"/>
      <c r="AP165" s="189"/>
      <c r="AQ165" s="206"/>
      <c r="AR165" s="189"/>
      <c r="AS165" s="206"/>
      <c r="AT165" s="6" t="e">
        <f>F165/AV165</f>
        <v>#N/A</v>
      </c>
      <c r="AU165">
        <f>B165/D165</f>
        <v>8.8504577822990846</v>
      </c>
      <c r="AV165" t="e">
        <f>VLOOKUP(AU165,$CA$102:$CB$270,2)</f>
        <v>#N/A</v>
      </c>
      <c r="AY165" t="e">
        <f>0.5*(B165-B164)*AT165</f>
        <v>#N/A</v>
      </c>
      <c r="BA165" s="20">
        <f>B165</f>
        <v>87</v>
      </c>
      <c r="BB165" s="20">
        <f>F165/AC165</f>
        <v>0.84375</v>
      </c>
      <c r="BC165" s="20">
        <v>0.84375</v>
      </c>
      <c r="BD165" s="15">
        <v>16</v>
      </c>
      <c r="BE165" s="15">
        <f>BD165/AC165</f>
        <v>0.16666666666666666</v>
      </c>
      <c r="BF165" s="15">
        <v>41</v>
      </c>
      <c r="BG165" s="15">
        <f>BF165/AC165</f>
        <v>0.42708333333333331</v>
      </c>
      <c r="BH165" s="15">
        <v>24</v>
      </c>
      <c r="BI165" s="15">
        <f>BH165/AC165</f>
        <v>0.25</v>
      </c>
      <c r="CF165">
        <v>64</v>
      </c>
      <c r="CG165">
        <f t="shared" si="53"/>
        <v>0.57599999999999996</v>
      </c>
      <c r="CI165">
        <v>64</v>
      </c>
      <c r="CK165">
        <f t="shared" si="42"/>
        <v>0.192</v>
      </c>
      <c r="CL165">
        <f t="shared" si="43"/>
        <v>0.59820000000000007</v>
      </c>
      <c r="CM165">
        <f t="shared" ref="CM165:CM200" si="61">(0.0002*CI165)+0.1914</f>
        <v>0.20419999999999999</v>
      </c>
      <c r="CN165">
        <f t="shared" si="44"/>
        <v>0.79020000000000001</v>
      </c>
      <c r="CO165">
        <f t="shared" si="45"/>
        <v>0.8024</v>
      </c>
      <c r="CQ165">
        <v>0.21</v>
      </c>
      <c r="CR165">
        <v>0.5</v>
      </c>
      <c r="CS165">
        <v>0.28000000000000003</v>
      </c>
      <c r="CT165">
        <f t="shared" si="46"/>
        <v>0.71</v>
      </c>
      <c r="CU165">
        <f t="shared" si="47"/>
        <v>0.78</v>
      </c>
    </row>
    <row r="166" spans="1:99" x14ac:dyDescent="0.25">
      <c r="A166">
        <v>2016</v>
      </c>
      <c r="B166">
        <f t="shared" si="56"/>
        <v>98</v>
      </c>
      <c r="C166" s="12">
        <v>42467</v>
      </c>
      <c r="D166">
        <v>11</v>
      </c>
      <c r="F166" s="4">
        <v>94</v>
      </c>
      <c r="AA166" s="1">
        <f>((B166-B165)*F166)-((B166-B165)*(F166-F165)*0.5)</f>
        <v>962.5</v>
      </c>
      <c r="AC166">
        <f>AC167</f>
        <v>96</v>
      </c>
      <c r="AF166" s="74">
        <f t="shared" si="58"/>
        <v>170.90909090909091</v>
      </c>
      <c r="AG166" s="11">
        <f t="shared" si="60"/>
        <v>0.55000000000000004</v>
      </c>
      <c r="AH166" s="11"/>
      <c r="AI166" s="11">
        <f>((B166-B165)*AF166)-((B166-B165)*(AF166-AF165)*0.5)</f>
        <v>1750</v>
      </c>
      <c r="AJ166" s="152"/>
      <c r="AK166" s="4">
        <f>MAX($F$164:$F$168)/AG166</f>
        <v>174.54545454545453</v>
      </c>
      <c r="AL166" s="2"/>
      <c r="AM166" s="11"/>
      <c r="AN166" s="189"/>
      <c r="AO166" s="206"/>
      <c r="AP166" s="189"/>
      <c r="AQ166" s="206"/>
      <c r="AR166" s="189"/>
      <c r="AS166" s="206"/>
      <c r="AT166" s="6" t="e">
        <f>F166/AV166</f>
        <v>#N/A</v>
      </c>
      <c r="AU166">
        <f>B166/D166</f>
        <v>8.9090909090909083</v>
      </c>
      <c r="AV166" t="e">
        <f>VLOOKUP(AU166,$CA$102:$CB$270,2)</f>
        <v>#N/A</v>
      </c>
      <c r="AY166" t="e">
        <f>((B166-B165)*AT166)-((B166-B165)*(AT166-AT165)*0.5)</f>
        <v>#N/A</v>
      </c>
      <c r="BA166" s="20">
        <f>B166</f>
        <v>98</v>
      </c>
      <c r="BB166" s="20">
        <f>F166/AC166</f>
        <v>0.97916666666666663</v>
      </c>
      <c r="BC166" s="20">
        <v>0.97916666666666663</v>
      </c>
      <c r="BD166" s="15">
        <v>16</v>
      </c>
      <c r="BE166" s="15">
        <f>BD166/AC166</f>
        <v>0.16666666666666666</v>
      </c>
      <c r="BF166" s="15">
        <v>40</v>
      </c>
      <c r="BG166" s="15">
        <f>BF166/AC166</f>
        <v>0.41666666666666669</v>
      </c>
      <c r="BH166" s="15">
        <v>38</v>
      </c>
      <c r="BI166" s="15">
        <f>BH166/AC166</f>
        <v>0.39583333333333331</v>
      </c>
      <c r="CF166">
        <v>65</v>
      </c>
      <c r="CG166">
        <f t="shared" ref="CG166:CG201" si="62">CF166*0.009</f>
        <v>0.58499999999999996</v>
      </c>
      <c r="CI166">
        <v>65</v>
      </c>
      <c r="CK166">
        <f t="shared" ref="CK166:CK233" si="63">((0.003)*CI166)</f>
        <v>0.19500000000000001</v>
      </c>
      <c r="CL166">
        <f t="shared" ref="CL166:CL233" si="64">((-0.0039)*CI166)+0.8478</f>
        <v>0.59430000000000005</v>
      </c>
      <c r="CM166">
        <f t="shared" si="61"/>
        <v>0.2044</v>
      </c>
      <c r="CN166">
        <f t="shared" ref="CN166:CO233" si="65">CK166+CL166</f>
        <v>0.78930000000000011</v>
      </c>
      <c r="CO166">
        <f t="shared" si="65"/>
        <v>0.79870000000000008</v>
      </c>
      <c r="CQ166">
        <v>0.21</v>
      </c>
      <c r="CR166">
        <v>0.5</v>
      </c>
      <c r="CS166">
        <v>0.28000000000000003</v>
      </c>
      <c r="CT166">
        <f t="shared" ref="CT166:CT233" si="66">CQ166+CR166</f>
        <v>0.71</v>
      </c>
      <c r="CU166">
        <f t="shared" ref="CU166:CU233" si="67">CR166+CS166</f>
        <v>0.78</v>
      </c>
    </row>
    <row r="167" spans="1:99" x14ac:dyDescent="0.25">
      <c r="A167">
        <v>2016</v>
      </c>
      <c r="B167">
        <f t="shared" si="56"/>
        <v>111</v>
      </c>
      <c r="C167" s="12">
        <v>42480</v>
      </c>
      <c r="D167">
        <v>11</v>
      </c>
      <c r="F167" s="4">
        <v>96</v>
      </c>
      <c r="AA167" s="1">
        <f>((B167-B166)*F167)-((B167-B166)*(F167-F166)*0.5)</f>
        <v>1235</v>
      </c>
      <c r="AC167">
        <f>AC168</f>
        <v>96</v>
      </c>
      <c r="AF167" s="74">
        <f t="shared" si="58"/>
        <v>174.54545454545453</v>
      </c>
      <c r="AG167" s="11">
        <f t="shared" si="60"/>
        <v>0.55000000000000004</v>
      </c>
      <c r="AH167" s="11"/>
      <c r="AI167" s="11">
        <f>((B167-B166)*AF167)-((B167-B166)*(AF167-AF166)*0.5)</f>
        <v>2245.4545454545455</v>
      </c>
      <c r="AJ167" s="152"/>
      <c r="AK167" s="4">
        <f>MAX($F$164:$F$168)/AG167</f>
        <v>174.54545454545453</v>
      </c>
      <c r="AL167" s="2"/>
      <c r="AM167" s="11"/>
      <c r="AN167" s="189"/>
      <c r="AO167" s="206"/>
      <c r="AP167" s="189"/>
      <c r="AQ167" s="206"/>
      <c r="AR167" s="189"/>
      <c r="AS167" s="206"/>
      <c r="AT167" s="6" t="e">
        <f>F167/AV167</f>
        <v>#N/A</v>
      </c>
      <c r="AU167">
        <f>B167/D167</f>
        <v>10.090909090909092</v>
      </c>
      <c r="AV167" t="e">
        <f>VLOOKUP(AU167,$CA$102:$CB$270,2)</f>
        <v>#N/A</v>
      </c>
      <c r="AY167" t="e">
        <f>((B167-B166)*AT167)-((B167-B166)*(AT167-AT166)*0.5)</f>
        <v>#N/A</v>
      </c>
      <c r="BA167" s="20">
        <f>B167</f>
        <v>111</v>
      </c>
      <c r="BB167" s="20">
        <f>F167/AC167</f>
        <v>1</v>
      </c>
      <c r="BC167" s="20">
        <v>1</v>
      </c>
      <c r="BD167" s="15">
        <v>30</v>
      </c>
      <c r="BE167" s="15">
        <f>BD167/AC167</f>
        <v>0.3125</v>
      </c>
      <c r="BF167" s="15">
        <v>32</v>
      </c>
      <c r="BG167" s="15">
        <f>BF167/AC167</f>
        <v>0.33333333333333331</v>
      </c>
      <c r="BH167" s="15">
        <v>34</v>
      </c>
      <c r="BI167" s="15">
        <f>BH167/AC167</f>
        <v>0.35416666666666669</v>
      </c>
      <c r="CF167">
        <v>66</v>
      </c>
      <c r="CG167">
        <f t="shared" si="62"/>
        <v>0.59399999999999997</v>
      </c>
      <c r="CI167">
        <v>66</v>
      </c>
      <c r="CK167">
        <f t="shared" si="63"/>
        <v>0.19800000000000001</v>
      </c>
      <c r="CL167">
        <f t="shared" si="64"/>
        <v>0.59040000000000004</v>
      </c>
      <c r="CM167">
        <f t="shared" si="61"/>
        <v>0.20459999999999998</v>
      </c>
      <c r="CN167">
        <f t="shared" si="65"/>
        <v>0.78839999999999999</v>
      </c>
      <c r="CO167">
        <f t="shared" si="65"/>
        <v>0.79500000000000004</v>
      </c>
      <c r="CQ167">
        <v>0.21</v>
      </c>
      <c r="CR167">
        <v>0.5</v>
      </c>
      <c r="CS167">
        <v>0.28000000000000003</v>
      </c>
      <c r="CT167">
        <f t="shared" si="66"/>
        <v>0.71</v>
      </c>
      <c r="CU167">
        <f t="shared" si="67"/>
        <v>0.78</v>
      </c>
    </row>
    <row r="168" spans="1:99" x14ac:dyDescent="0.25">
      <c r="A168">
        <v>2016</v>
      </c>
      <c r="B168">
        <f t="shared" si="56"/>
        <v>152</v>
      </c>
      <c r="C168" s="12">
        <v>42521</v>
      </c>
      <c r="F168" s="4">
        <v>0</v>
      </c>
      <c r="AA168" s="1">
        <f>((B168-B167)*F168)-((B168-B167)*(F168-F167)*0.5)</f>
        <v>1968</v>
      </c>
      <c r="AB168">
        <f>AE168/$AE$1</f>
        <v>152.97</v>
      </c>
      <c r="AC168">
        <f>MAX(F164:F168)</f>
        <v>96</v>
      </c>
      <c r="AD168" s="2">
        <f>AB168/AC168</f>
        <v>1.5934375000000001</v>
      </c>
      <c r="AE168" s="182">
        <f>SUM(AA165:AA168)</f>
        <v>7648.5</v>
      </c>
      <c r="AF168" s="74">
        <f t="shared" si="58"/>
        <v>0</v>
      </c>
      <c r="AG168" s="11">
        <f t="shared" si="60"/>
        <v>0.55000000000000004</v>
      </c>
      <c r="AH168" s="11"/>
      <c r="AI168" s="11">
        <f>0.5*(B168-B167)*AF167</f>
        <v>3578.181818181818</v>
      </c>
      <c r="AJ168" s="151">
        <f>AM168/$AM$1</f>
        <v>278.12727272727273</v>
      </c>
      <c r="AK168" s="4">
        <f>MAX($F$164:$F$168)/AG168</f>
        <v>174.54545454545453</v>
      </c>
      <c r="AL168" s="2">
        <f>AJ168/AK168</f>
        <v>1.5934375000000001</v>
      </c>
      <c r="AM168" s="11">
        <f>SUM(AI165:AI168)</f>
        <v>13906.363636363636</v>
      </c>
      <c r="AN168" s="189">
        <v>191</v>
      </c>
      <c r="AO168" s="206">
        <v>1.84</v>
      </c>
      <c r="AP168" s="193">
        <f>AN168</f>
        <v>191</v>
      </c>
      <c r="AQ168" s="206">
        <v>191</v>
      </c>
      <c r="AR168" s="189">
        <v>1.98</v>
      </c>
      <c r="AS168" s="206">
        <f>AK168*$AR$188</f>
        <v>0</v>
      </c>
      <c r="AT168" s="6">
        <v>0</v>
      </c>
      <c r="AW168" t="e">
        <f>AZ168/$AZ$1</f>
        <v>#N/A</v>
      </c>
      <c r="AX168" s="1" t="e">
        <f>AW168/AC168</f>
        <v>#N/A</v>
      </c>
      <c r="AY168" t="e">
        <f>0.5*(B168-B167)*AT167</f>
        <v>#N/A</v>
      </c>
      <c r="AZ168" s="5" t="e">
        <f>SUM(AY165:AY168)</f>
        <v>#N/A</v>
      </c>
      <c r="BB168" s="20">
        <f>F168/AC168</f>
        <v>0</v>
      </c>
      <c r="CF168">
        <v>67</v>
      </c>
      <c r="CG168">
        <f t="shared" si="62"/>
        <v>0.60299999999999998</v>
      </c>
      <c r="CI168">
        <v>67</v>
      </c>
      <c r="CK168">
        <f t="shared" si="63"/>
        <v>0.20100000000000001</v>
      </c>
      <c r="CL168">
        <f t="shared" si="64"/>
        <v>0.58650000000000002</v>
      </c>
      <c r="CM168">
        <f t="shared" si="61"/>
        <v>0.20479999999999998</v>
      </c>
      <c r="CN168">
        <f t="shared" si="65"/>
        <v>0.78750000000000009</v>
      </c>
      <c r="CO168">
        <f t="shared" si="65"/>
        <v>0.7913</v>
      </c>
      <c r="CQ168">
        <v>0.21</v>
      </c>
      <c r="CR168">
        <v>0.5</v>
      </c>
      <c r="CS168">
        <v>0.28000000000000003</v>
      </c>
      <c r="CT168">
        <f t="shared" si="66"/>
        <v>0.71</v>
      </c>
      <c r="CU168">
        <f t="shared" si="67"/>
        <v>0.78</v>
      </c>
    </row>
    <row r="169" spans="1:99" s="15" customFormat="1" x14ac:dyDescent="0.25">
      <c r="A169" s="15">
        <v>2017</v>
      </c>
      <c r="B169" s="15">
        <f t="shared" si="56"/>
        <v>1</v>
      </c>
      <c r="C169" s="195">
        <v>42736</v>
      </c>
      <c r="F169" s="196">
        <v>0</v>
      </c>
      <c r="G169" s="197"/>
      <c r="O169" s="198"/>
      <c r="P169" s="197"/>
      <c r="X169" s="199"/>
      <c r="Z169" s="199"/>
      <c r="AA169" s="200"/>
      <c r="AC169" s="15">
        <f>AC170</f>
        <v>41</v>
      </c>
      <c r="AD169" s="201"/>
      <c r="AE169" s="202"/>
      <c r="AF169" s="208">
        <f t="shared" ref="AF169:AF174" si="68">F169/AG169</f>
        <v>0</v>
      </c>
      <c r="AG169" s="17">
        <f t="shared" si="60"/>
        <v>0.55000000000000004</v>
      </c>
      <c r="AH169" s="17"/>
      <c r="AI169" s="17"/>
      <c r="AJ169" s="152"/>
      <c r="AK169" s="196">
        <f>MAX($F$169:$F$173)/AG169</f>
        <v>74.545454545454533</v>
      </c>
      <c r="AL169" s="201"/>
      <c r="AM169" s="17"/>
      <c r="AN169" s="189"/>
      <c r="AO169" s="17"/>
      <c r="AP169" s="189"/>
      <c r="AQ169" s="17"/>
      <c r="AR169" s="189"/>
      <c r="AS169" s="17"/>
      <c r="AT169" s="203">
        <v>1</v>
      </c>
      <c r="AX169" s="200"/>
      <c r="AZ169" s="202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CF169" s="15">
        <v>68</v>
      </c>
      <c r="CG169" s="15">
        <f t="shared" si="62"/>
        <v>0.61199999999999999</v>
      </c>
      <c r="CI169" s="15">
        <v>68</v>
      </c>
      <c r="CK169" s="15">
        <f t="shared" si="63"/>
        <v>0.20400000000000001</v>
      </c>
      <c r="CL169" s="15">
        <f t="shared" si="64"/>
        <v>0.58260000000000001</v>
      </c>
      <c r="CM169" s="15">
        <f t="shared" si="61"/>
        <v>0.20499999999999999</v>
      </c>
      <c r="CN169" s="15">
        <f t="shared" si="65"/>
        <v>0.78659999999999997</v>
      </c>
      <c r="CO169" s="15">
        <f t="shared" si="65"/>
        <v>0.78759999999999997</v>
      </c>
      <c r="CQ169" s="15">
        <v>0.21</v>
      </c>
      <c r="CR169" s="15">
        <v>0.5</v>
      </c>
      <c r="CS169" s="15">
        <v>0.28000000000000003</v>
      </c>
      <c r="CT169" s="15">
        <f t="shared" si="66"/>
        <v>0.71</v>
      </c>
      <c r="CU169" s="15">
        <f t="shared" si="67"/>
        <v>0.78</v>
      </c>
    </row>
    <row r="170" spans="1:99" s="15" customFormat="1" x14ac:dyDescent="0.25">
      <c r="A170" s="15">
        <v>2017</v>
      </c>
      <c r="B170" s="15">
        <f t="shared" si="56"/>
        <v>68</v>
      </c>
      <c r="C170" s="195">
        <v>42803</v>
      </c>
      <c r="F170" s="196">
        <v>41</v>
      </c>
      <c r="G170" s="197"/>
      <c r="O170" s="198"/>
      <c r="P170" s="197"/>
      <c r="X170" s="199"/>
      <c r="Z170" s="199"/>
      <c r="AA170" s="200">
        <f>0.5*(B170-B169)*F170</f>
        <v>1373.5</v>
      </c>
      <c r="AC170" s="15">
        <f>AC171</f>
        <v>41</v>
      </c>
      <c r="AD170" s="201"/>
      <c r="AE170" s="202"/>
      <c r="AF170" s="208">
        <f t="shared" si="68"/>
        <v>74.545454545454533</v>
      </c>
      <c r="AG170" s="17">
        <f t="shared" si="60"/>
        <v>0.55000000000000004</v>
      </c>
      <c r="AH170" s="17"/>
      <c r="AI170" s="17">
        <f>0.5*($B170-$B169)*$AF170</f>
        <v>2497.272727272727</v>
      </c>
      <c r="AJ170" s="152"/>
      <c r="AK170" s="196">
        <f>MAX($F$169:$F$173)/AG170</f>
        <v>74.545454545454533</v>
      </c>
      <c r="AL170" s="201"/>
      <c r="AM170" s="17"/>
      <c r="AN170" s="189"/>
      <c r="AO170" s="17"/>
      <c r="AP170" s="189"/>
      <c r="AQ170" s="17"/>
      <c r="AR170" s="189"/>
      <c r="AS170" s="17"/>
      <c r="AT170" s="203"/>
      <c r="AX170" s="200"/>
      <c r="AZ170" s="202"/>
      <c r="BA170" s="15">
        <f>B170</f>
        <v>68</v>
      </c>
      <c r="BB170" s="15">
        <f>F170/AC170</f>
        <v>1</v>
      </c>
      <c r="BC170" s="15">
        <v>1.0972222222222201</v>
      </c>
      <c r="BD170" s="15">
        <v>34.6666666666667</v>
      </c>
      <c r="BE170" s="15">
        <f>BD170/AC170</f>
        <v>0.84552845528455367</v>
      </c>
      <c r="BF170" s="15">
        <v>28.6666666666667</v>
      </c>
      <c r="BG170" s="15">
        <f>BF170/AC170</f>
        <v>0.69918699186991951</v>
      </c>
      <c r="BH170" s="15">
        <v>42</v>
      </c>
      <c r="BI170" s="15">
        <f>BH170/AC170</f>
        <v>1.024390243902439</v>
      </c>
      <c r="CF170" s="15">
        <v>69</v>
      </c>
      <c r="CG170" s="15">
        <f t="shared" si="62"/>
        <v>0.621</v>
      </c>
      <c r="CI170" s="15">
        <v>69</v>
      </c>
      <c r="CK170" s="15">
        <f t="shared" si="63"/>
        <v>0.20700000000000002</v>
      </c>
      <c r="CL170" s="15">
        <f t="shared" si="64"/>
        <v>0.57869999999999999</v>
      </c>
      <c r="CM170" s="15">
        <f t="shared" si="61"/>
        <v>0.20519999999999999</v>
      </c>
      <c r="CN170" s="15">
        <f t="shared" si="65"/>
        <v>0.78570000000000007</v>
      </c>
      <c r="CO170" s="15">
        <f t="shared" si="65"/>
        <v>0.78390000000000004</v>
      </c>
      <c r="CQ170" s="15">
        <v>0.21</v>
      </c>
      <c r="CR170" s="15">
        <v>0.5</v>
      </c>
      <c r="CS170" s="15">
        <v>0.28000000000000003</v>
      </c>
      <c r="CT170" s="15">
        <f t="shared" si="66"/>
        <v>0.71</v>
      </c>
      <c r="CU170" s="15">
        <f t="shared" si="67"/>
        <v>0.78</v>
      </c>
    </row>
    <row r="171" spans="1:99" s="15" customFormat="1" x14ac:dyDescent="0.25">
      <c r="A171" s="15">
        <v>2017</v>
      </c>
      <c r="B171" s="15">
        <f t="shared" si="56"/>
        <v>94</v>
      </c>
      <c r="C171" s="195">
        <v>42829</v>
      </c>
      <c r="F171" s="196">
        <v>34</v>
      </c>
      <c r="G171" s="197"/>
      <c r="O171" s="198"/>
      <c r="P171" s="197"/>
      <c r="X171" s="199"/>
      <c r="Z171" s="199"/>
      <c r="AA171" s="200">
        <f>((B171-B170)*F171)-((B171-B170)*(F171-F170)*0.5)</f>
        <v>975</v>
      </c>
      <c r="AC171" s="15">
        <f>AC172</f>
        <v>41</v>
      </c>
      <c r="AD171" s="201"/>
      <c r="AE171" s="202"/>
      <c r="AF171" s="208">
        <f t="shared" si="68"/>
        <v>61.818181818181813</v>
      </c>
      <c r="AG171" s="17">
        <f t="shared" si="60"/>
        <v>0.55000000000000004</v>
      </c>
      <c r="AH171" s="17"/>
      <c r="AI171" s="17">
        <f>((B171-B170)*AF171)-((B171-B170)*(AF171-AF170)*0.5)</f>
        <v>1772.7272727272723</v>
      </c>
      <c r="AJ171" s="152"/>
      <c r="AK171" s="196">
        <f>MAX($F$169:$F$173)/AG171</f>
        <v>74.545454545454533</v>
      </c>
      <c r="AL171" s="201"/>
      <c r="AM171" s="17"/>
      <c r="AN171" s="189"/>
      <c r="AO171" s="17"/>
      <c r="AP171" s="189"/>
      <c r="AQ171" s="17"/>
      <c r="AR171" s="189"/>
      <c r="AS171" s="17"/>
      <c r="AT171" s="203"/>
      <c r="AX171" s="200"/>
      <c r="AZ171" s="202"/>
      <c r="BA171" s="15">
        <f>B171</f>
        <v>94</v>
      </c>
      <c r="BB171" s="15">
        <f>F171/AC171</f>
        <v>0.82926829268292679</v>
      </c>
      <c r="BC171" s="15">
        <v>1.1753472222222201</v>
      </c>
      <c r="BD171" s="15">
        <v>41.6666666666667</v>
      </c>
      <c r="BE171" s="15">
        <f>BD171/AC171</f>
        <v>1.0162601626016268</v>
      </c>
      <c r="BF171" s="15">
        <v>24.1666666666667</v>
      </c>
      <c r="BG171" s="15">
        <f>BF171/AC171</f>
        <v>0.58943089430894391</v>
      </c>
      <c r="BH171" s="15">
        <v>47</v>
      </c>
      <c r="BI171" s="15">
        <f>BH171/AC171</f>
        <v>1.1463414634146341</v>
      </c>
      <c r="CF171" s="15">
        <v>70</v>
      </c>
      <c r="CG171" s="15">
        <f t="shared" si="62"/>
        <v>0.63</v>
      </c>
      <c r="CI171" s="15">
        <v>70</v>
      </c>
      <c r="CK171" s="15">
        <f t="shared" si="63"/>
        <v>0.21</v>
      </c>
      <c r="CL171" s="15">
        <f t="shared" si="64"/>
        <v>0.57479999999999998</v>
      </c>
      <c r="CM171" s="15">
        <f t="shared" si="61"/>
        <v>0.2054</v>
      </c>
      <c r="CN171" s="15">
        <f t="shared" si="65"/>
        <v>0.78479999999999994</v>
      </c>
      <c r="CO171" s="15">
        <f t="shared" si="65"/>
        <v>0.7802</v>
      </c>
      <c r="CQ171" s="15">
        <v>0.21</v>
      </c>
      <c r="CR171" s="15">
        <v>0.5</v>
      </c>
      <c r="CS171" s="15">
        <v>0.28000000000000003</v>
      </c>
      <c r="CT171" s="15">
        <f t="shared" si="66"/>
        <v>0.71</v>
      </c>
      <c r="CU171" s="15">
        <f t="shared" si="67"/>
        <v>0.78</v>
      </c>
    </row>
    <row r="172" spans="1:99" s="15" customFormat="1" x14ac:dyDescent="0.25">
      <c r="A172" s="15">
        <v>2017</v>
      </c>
      <c r="B172" s="15">
        <f t="shared" si="56"/>
        <v>121</v>
      </c>
      <c r="C172" s="195">
        <v>42856</v>
      </c>
      <c r="F172" s="196">
        <v>35</v>
      </c>
      <c r="G172" s="197"/>
      <c r="O172" s="198"/>
      <c r="P172" s="197"/>
      <c r="X172" s="199"/>
      <c r="Z172" s="199"/>
      <c r="AA172" s="200">
        <f>((B172-B171)*F172)-((B172-B171)*(F172-F171)*0.5)</f>
        <v>931.5</v>
      </c>
      <c r="AC172" s="15">
        <f>AC173</f>
        <v>41</v>
      </c>
      <c r="AD172" s="201"/>
      <c r="AE172" s="202"/>
      <c r="AF172" s="208">
        <f t="shared" si="68"/>
        <v>63.636363636363633</v>
      </c>
      <c r="AG172" s="17">
        <f t="shared" si="60"/>
        <v>0.55000000000000004</v>
      </c>
      <c r="AH172" s="17"/>
      <c r="AI172" s="17">
        <f>((B172-B171)*AF172)-((B172-B171)*(AF172-AF171)*0.5)</f>
        <v>1693.6363636363635</v>
      </c>
      <c r="AJ172" s="152"/>
      <c r="AK172" s="196">
        <f>MAX($F$169:$F$173)/AG172</f>
        <v>74.545454545454533</v>
      </c>
      <c r="AL172" s="201"/>
      <c r="AM172" s="17"/>
      <c r="AN172" s="189"/>
      <c r="AO172" s="17"/>
      <c r="AP172" s="189"/>
      <c r="AQ172" s="17"/>
      <c r="AR172" s="189"/>
      <c r="AS172" s="17"/>
      <c r="AT172" s="203"/>
      <c r="AX172" s="200"/>
      <c r="AZ172" s="202"/>
      <c r="BA172" s="15">
        <f>B172</f>
        <v>121</v>
      </c>
      <c r="BB172" s="15">
        <f>F172/AC172</f>
        <v>0.85365853658536583</v>
      </c>
      <c r="BC172" s="15">
        <v>1.2534722222222201</v>
      </c>
      <c r="BD172" s="15">
        <v>48.6666666666667</v>
      </c>
      <c r="BE172" s="15">
        <f>BD172/AC172</f>
        <v>1.1869918699187001</v>
      </c>
      <c r="BF172" s="15">
        <v>19.6666666666667</v>
      </c>
      <c r="BG172" s="15">
        <f>BF172/AC172</f>
        <v>0.47967479674796831</v>
      </c>
      <c r="BH172" s="15">
        <v>52</v>
      </c>
      <c r="BI172" s="15">
        <f>BH172/AC172</f>
        <v>1.2682926829268293</v>
      </c>
      <c r="CF172" s="15">
        <v>71</v>
      </c>
      <c r="CG172" s="15">
        <f t="shared" si="62"/>
        <v>0.6389999999999999</v>
      </c>
      <c r="CI172" s="15">
        <v>71</v>
      </c>
      <c r="CK172" s="15">
        <f t="shared" si="63"/>
        <v>0.21299999999999999</v>
      </c>
      <c r="CL172" s="15">
        <f t="shared" si="64"/>
        <v>0.57089999999999996</v>
      </c>
      <c r="CM172" s="15">
        <f t="shared" si="61"/>
        <v>0.20559999999999998</v>
      </c>
      <c r="CN172" s="15">
        <f t="shared" si="65"/>
        <v>0.78389999999999993</v>
      </c>
      <c r="CO172" s="15">
        <f t="shared" si="65"/>
        <v>0.77649999999999997</v>
      </c>
      <c r="CQ172" s="15">
        <v>0.21</v>
      </c>
      <c r="CR172" s="15">
        <v>0.5</v>
      </c>
      <c r="CS172" s="15">
        <v>0.28000000000000003</v>
      </c>
      <c r="CT172" s="15">
        <f t="shared" si="66"/>
        <v>0.71</v>
      </c>
      <c r="CU172" s="15">
        <f t="shared" si="67"/>
        <v>0.78</v>
      </c>
    </row>
    <row r="173" spans="1:99" s="15" customFormat="1" x14ac:dyDescent="0.25">
      <c r="A173" s="15">
        <v>2017</v>
      </c>
      <c r="B173" s="15">
        <f t="shared" si="56"/>
        <v>151</v>
      </c>
      <c r="C173" s="195">
        <v>42886</v>
      </c>
      <c r="F173" s="196">
        <v>0</v>
      </c>
      <c r="G173" s="197"/>
      <c r="O173" s="198"/>
      <c r="P173" s="197"/>
      <c r="X173" s="199"/>
      <c r="Z173" s="199"/>
      <c r="AA173" s="200">
        <f>((B173-B172)*F173)-((B173-B172)*(F173-F172)*0.5)</f>
        <v>525</v>
      </c>
      <c r="AB173" s="15">
        <f>AE173/$AE$1</f>
        <v>76.099999999999994</v>
      </c>
      <c r="AC173" s="15">
        <f>MAX(F169:F173)</f>
        <v>41</v>
      </c>
      <c r="AD173" s="201">
        <f>AB173/AC173</f>
        <v>1.8560975609756096</v>
      </c>
      <c r="AE173" s="209">
        <f>SUM(AA170:AA173)</f>
        <v>3805</v>
      </c>
      <c r="AF173" s="208">
        <f t="shared" si="68"/>
        <v>0</v>
      </c>
      <c r="AG173" s="17">
        <f t="shared" si="60"/>
        <v>0.55000000000000004</v>
      </c>
      <c r="AH173" s="17"/>
      <c r="AI173" s="17">
        <f>0.5*(B173-B172)*AF172</f>
        <v>954.5454545454545</v>
      </c>
      <c r="AJ173" s="151">
        <f>AM173/$AM$1</f>
        <v>138.36363636363632</v>
      </c>
      <c r="AK173" s="196">
        <f>MAX($F$169:$F$173)/AG173</f>
        <v>74.545454545454533</v>
      </c>
      <c r="AL173" s="201">
        <f>AJ173/AK173</f>
        <v>1.8560975609756094</v>
      </c>
      <c r="AM173" s="17">
        <f>SUM(AI170:AI173)</f>
        <v>6918.1818181818162</v>
      </c>
      <c r="AN173" s="189"/>
      <c r="AO173" s="17"/>
      <c r="AP173" s="193">
        <f>AK173*AO188</f>
        <v>0</v>
      </c>
      <c r="AQ173" s="17"/>
      <c r="AR173" s="189"/>
      <c r="AS173" s="206">
        <f>AK173*$AR$188</f>
        <v>0</v>
      </c>
      <c r="AT173" s="203"/>
      <c r="AX173" s="200"/>
      <c r="AZ173" s="202"/>
      <c r="BB173" s="15">
        <f>F173/AC173</f>
        <v>0</v>
      </c>
      <c r="CF173" s="15">
        <v>72</v>
      </c>
      <c r="CG173" s="15">
        <f t="shared" si="62"/>
        <v>0.64799999999999991</v>
      </c>
      <c r="CI173" s="15">
        <v>72</v>
      </c>
      <c r="CK173" s="15">
        <f t="shared" si="63"/>
        <v>0.216</v>
      </c>
      <c r="CL173" s="15">
        <f t="shared" si="64"/>
        <v>0.56699999999999995</v>
      </c>
      <c r="CM173" s="15">
        <f t="shared" si="61"/>
        <v>0.20579999999999998</v>
      </c>
      <c r="CN173" s="15">
        <f t="shared" si="65"/>
        <v>0.78299999999999992</v>
      </c>
      <c r="CO173" s="15">
        <f t="shared" si="65"/>
        <v>0.77279999999999993</v>
      </c>
      <c r="CQ173" s="15">
        <v>0.21</v>
      </c>
      <c r="CR173" s="15">
        <v>0.5</v>
      </c>
      <c r="CS173" s="15">
        <v>0.28000000000000003</v>
      </c>
      <c r="CT173" s="15">
        <f t="shared" si="66"/>
        <v>0.71</v>
      </c>
      <c r="CU173" s="15">
        <f t="shared" si="67"/>
        <v>0.78</v>
      </c>
    </row>
    <row r="174" spans="1:99" x14ac:dyDescent="0.25">
      <c r="A174">
        <v>2018</v>
      </c>
      <c r="B174">
        <f>C174-DATE(YEAR(C174),1,1)+1</f>
        <v>1</v>
      </c>
      <c r="C174" s="12">
        <v>43101</v>
      </c>
      <c r="F174" s="4">
        <v>0</v>
      </c>
      <c r="AC174">
        <v>27</v>
      </c>
      <c r="AF174" s="29">
        <f t="shared" si="68"/>
        <v>0</v>
      </c>
      <c r="AG174" s="11">
        <f t="shared" si="60"/>
        <v>0.55000000000000004</v>
      </c>
      <c r="AH174" s="11"/>
      <c r="AI174" s="11"/>
      <c r="AJ174" s="152"/>
      <c r="AK174" s="4">
        <f>MAX($F$174:$F$177)/AG174</f>
        <v>32.727272727272727</v>
      </c>
      <c r="AL174" s="2"/>
      <c r="AM174" s="11"/>
      <c r="AN174" s="189"/>
      <c r="AO174" s="11"/>
      <c r="AP174" s="189"/>
      <c r="AQ174" s="11"/>
      <c r="AR174" s="189"/>
      <c r="AS174" s="11"/>
      <c r="CF174">
        <v>73</v>
      </c>
      <c r="CG174">
        <f t="shared" si="62"/>
        <v>0.65699999999999992</v>
      </c>
      <c r="CI174">
        <v>73</v>
      </c>
      <c r="CK174">
        <f t="shared" si="63"/>
        <v>0.219</v>
      </c>
      <c r="CL174">
        <f t="shared" si="64"/>
        <v>0.56309999999999993</v>
      </c>
      <c r="CM174">
        <f t="shared" si="61"/>
        <v>0.20599999999999999</v>
      </c>
      <c r="CN174">
        <f t="shared" si="65"/>
        <v>0.78209999999999991</v>
      </c>
      <c r="CO174">
        <f t="shared" si="65"/>
        <v>0.76909999999999989</v>
      </c>
      <c r="CQ174">
        <v>0.21</v>
      </c>
      <c r="CR174">
        <v>0.5</v>
      </c>
      <c r="CS174">
        <v>0.28000000000000003</v>
      </c>
      <c r="CT174">
        <f t="shared" si="66"/>
        <v>0.71</v>
      </c>
      <c r="CU174">
        <f t="shared" si="67"/>
        <v>0.78</v>
      </c>
    </row>
    <row r="175" spans="1:99" x14ac:dyDescent="0.25">
      <c r="A175">
        <v>2018</v>
      </c>
      <c r="B175">
        <f>C175-DATE(YEAR(C175),1,1)+1</f>
        <v>75</v>
      </c>
      <c r="C175" s="12">
        <v>43175</v>
      </c>
      <c r="F175" s="4">
        <v>18</v>
      </c>
      <c r="AA175" s="1">
        <f>0.5*(B175-B174)*F175</f>
        <v>666</v>
      </c>
      <c r="AC175">
        <v>27</v>
      </c>
      <c r="AF175" s="29">
        <f t="shared" ref="AF175:AF189" si="69">F175/AG175</f>
        <v>32.727272727272727</v>
      </c>
      <c r="AG175" s="11">
        <f t="shared" si="60"/>
        <v>0.55000000000000004</v>
      </c>
      <c r="AH175" s="11"/>
      <c r="AI175" s="11">
        <f>0.5*($B175-$B174)*$AF175</f>
        <v>1210.909090909091</v>
      </c>
      <c r="AJ175" s="152"/>
      <c r="AK175" s="4">
        <f>MAX($F$174:$F$177)/AG175</f>
        <v>32.727272727272727</v>
      </c>
      <c r="AL175" s="2"/>
      <c r="AM175" s="11"/>
      <c r="AN175" s="189"/>
      <c r="AO175" s="11"/>
      <c r="AP175" s="189"/>
      <c r="AQ175" s="11"/>
      <c r="AR175" s="189"/>
      <c r="AS175" s="11"/>
      <c r="CF175">
        <v>74</v>
      </c>
      <c r="CG175">
        <f t="shared" si="62"/>
        <v>0.66599999999999993</v>
      </c>
      <c r="CI175">
        <v>74</v>
      </c>
      <c r="CK175">
        <f t="shared" si="63"/>
        <v>0.222</v>
      </c>
      <c r="CL175">
        <f t="shared" si="64"/>
        <v>0.55920000000000003</v>
      </c>
      <c r="CM175">
        <f t="shared" si="61"/>
        <v>0.20619999999999999</v>
      </c>
      <c r="CN175">
        <f t="shared" si="65"/>
        <v>0.78120000000000001</v>
      </c>
      <c r="CO175">
        <f t="shared" si="65"/>
        <v>0.76540000000000008</v>
      </c>
      <c r="CQ175">
        <v>0.21</v>
      </c>
      <c r="CR175">
        <v>0.5</v>
      </c>
      <c r="CS175">
        <v>0.28000000000000003</v>
      </c>
      <c r="CT175">
        <f t="shared" si="66"/>
        <v>0.71</v>
      </c>
      <c r="CU175">
        <f t="shared" si="67"/>
        <v>0.78</v>
      </c>
    </row>
    <row r="176" spans="1:99" x14ac:dyDescent="0.25">
      <c r="A176">
        <v>2018</v>
      </c>
      <c r="B176" s="214">
        <v>112</v>
      </c>
      <c r="C176" s="215">
        <v>43210</v>
      </c>
      <c r="D176" s="214"/>
      <c r="E176" s="214"/>
      <c r="F176" s="216">
        <v>16</v>
      </c>
      <c r="AA176" s="1">
        <f>((B176-B175)*F176)-((B176-B175)*(F176-F175)*0.5)</f>
        <v>629</v>
      </c>
      <c r="AC176">
        <v>27</v>
      </c>
      <c r="AF176" s="29">
        <f t="shared" si="69"/>
        <v>29.09090909090909</v>
      </c>
      <c r="AG176" s="11">
        <f t="shared" si="60"/>
        <v>0.55000000000000004</v>
      </c>
      <c r="AH176" s="11"/>
      <c r="AI176" s="11">
        <f>((B176-B175)*AF176)-((B176-B175)*(AF176-AF175)*0.5)</f>
        <v>1143.6363636363635</v>
      </c>
      <c r="AK176" s="4">
        <f>MAX($F$174:$F$177)/AG176</f>
        <v>32.727272727272727</v>
      </c>
      <c r="AL176" s="2"/>
      <c r="AM176" s="11"/>
      <c r="AN176" s="189"/>
      <c r="AO176" s="11"/>
      <c r="AP176" s="189"/>
      <c r="AQ176" s="11"/>
      <c r="AR176" s="189"/>
      <c r="AS176" s="11"/>
      <c r="CF176">
        <v>75</v>
      </c>
      <c r="CG176">
        <f t="shared" si="62"/>
        <v>0.67499999999999993</v>
      </c>
      <c r="CI176">
        <v>75</v>
      </c>
      <c r="CK176">
        <f t="shared" si="63"/>
        <v>0.22500000000000001</v>
      </c>
      <c r="CL176">
        <f t="shared" si="64"/>
        <v>0.55530000000000002</v>
      </c>
      <c r="CM176">
        <f t="shared" si="61"/>
        <v>0.2064</v>
      </c>
      <c r="CN176">
        <f t="shared" si="65"/>
        <v>0.78029999999999999</v>
      </c>
      <c r="CO176">
        <f t="shared" si="65"/>
        <v>0.76170000000000004</v>
      </c>
      <c r="CQ176">
        <v>0.21</v>
      </c>
      <c r="CR176">
        <v>0.5</v>
      </c>
      <c r="CS176">
        <v>0.28000000000000003</v>
      </c>
      <c r="CT176">
        <f t="shared" si="66"/>
        <v>0.71</v>
      </c>
      <c r="CU176">
        <f t="shared" si="67"/>
        <v>0.78</v>
      </c>
    </row>
    <row r="177" spans="1:99" x14ac:dyDescent="0.25">
      <c r="A177">
        <v>2018</v>
      </c>
      <c r="B177">
        <f t="shared" ref="B177:B190" si="70">C177-DATE(YEAR(C177),1,1)+1</f>
        <v>151</v>
      </c>
      <c r="C177" s="12">
        <v>42886</v>
      </c>
      <c r="F177" s="4">
        <v>0</v>
      </c>
      <c r="AA177" s="1">
        <f>((B177-B176)*F177)-((B177-B176)*(F177-F176)*0.5)</f>
        <v>312</v>
      </c>
      <c r="AB177">
        <f>AE177/$AE$1</f>
        <v>32.14</v>
      </c>
      <c r="AC177">
        <v>27</v>
      </c>
      <c r="AD177" s="2">
        <f>AB177/AC177</f>
        <v>1.1903703703703703</v>
      </c>
      <c r="AE177" s="182">
        <f>SUM(AA174:AA177)</f>
        <v>1607</v>
      </c>
      <c r="AF177" s="29">
        <f t="shared" si="69"/>
        <v>0</v>
      </c>
      <c r="AG177" s="11">
        <f t="shared" si="60"/>
        <v>0.55000000000000004</v>
      </c>
      <c r="AH177" s="11"/>
      <c r="AI177" s="11">
        <f>0.5*(B177-B176)*AF176</f>
        <v>567.27272727272725</v>
      </c>
      <c r="AJ177" s="151">
        <f>AM177/$AM$1</f>
        <v>58.436363636363637</v>
      </c>
      <c r="AK177" s="4">
        <f>MAX($F$174:$F$177)/AG177</f>
        <v>32.727272727272727</v>
      </c>
      <c r="AL177" s="2">
        <f>AJ177/AK177</f>
        <v>1.7855555555555556</v>
      </c>
      <c r="AM177" s="11">
        <f>SUM(AI174:AI177)</f>
        <v>2921.818181818182</v>
      </c>
      <c r="AN177" s="189"/>
      <c r="AO177" s="11"/>
      <c r="AP177" s="189">
        <f>AK176*AO188</f>
        <v>0</v>
      </c>
      <c r="AQ177" s="11"/>
      <c r="AR177" s="189"/>
      <c r="AS177" s="11"/>
      <c r="CF177">
        <v>77</v>
      </c>
      <c r="CG177">
        <f t="shared" si="62"/>
        <v>0.69299999999999995</v>
      </c>
      <c r="CI177">
        <v>77</v>
      </c>
      <c r="CK177">
        <f t="shared" si="63"/>
        <v>0.23100000000000001</v>
      </c>
      <c r="CL177">
        <f t="shared" si="64"/>
        <v>0.54749999999999999</v>
      </c>
      <c r="CM177">
        <f t="shared" si="61"/>
        <v>0.20679999999999998</v>
      </c>
      <c r="CN177">
        <f t="shared" si="65"/>
        <v>0.77849999999999997</v>
      </c>
      <c r="CO177">
        <f t="shared" si="65"/>
        <v>0.75429999999999997</v>
      </c>
      <c r="CQ177">
        <v>0.21</v>
      </c>
      <c r="CR177">
        <v>0.5</v>
      </c>
      <c r="CS177">
        <v>0.28000000000000003</v>
      </c>
      <c r="CT177">
        <f t="shared" si="66"/>
        <v>0.71</v>
      </c>
      <c r="CU177">
        <f t="shared" si="67"/>
        <v>0.78</v>
      </c>
    </row>
    <row r="178" spans="1:99" s="15" customFormat="1" x14ac:dyDescent="0.25">
      <c r="A178" s="15">
        <v>2019</v>
      </c>
      <c r="B178" s="15">
        <f t="shared" si="70"/>
        <v>1</v>
      </c>
      <c r="C178" s="195">
        <v>43466</v>
      </c>
      <c r="F178" s="196">
        <v>0</v>
      </c>
      <c r="G178" s="197"/>
      <c r="O178" s="198"/>
      <c r="P178" s="197"/>
      <c r="X178" s="199"/>
      <c r="Z178" s="199"/>
      <c r="AA178" s="200"/>
      <c r="AC178" s="196">
        <f>MAX($F$178:$F$181)</f>
        <v>45</v>
      </c>
      <c r="AD178" s="201"/>
      <c r="AE178" s="202"/>
      <c r="AF178" s="208">
        <f t="shared" ref="AF178:AF184" si="71">F178/AG178</f>
        <v>0</v>
      </c>
      <c r="AG178" s="17">
        <f t="shared" si="60"/>
        <v>0.55000000000000004</v>
      </c>
      <c r="AH178" s="17"/>
      <c r="AI178" s="17"/>
      <c r="AJ178" s="153"/>
      <c r="AK178" s="196">
        <f>MAX($F$178:$F$181)/AG178</f>
        <v>81.818181818181813</v>
      </c>
      <c r="AL178" s="201"/>
      <c r="AN178" s="211"/>
      <c r="AO178" s="17"/>
      <c r="AP178" s="212"/>
      <c r="AQ178" s="17"/>
      <c r="AR178" s="211"/>
      <c r="AS178" s="17">
        <f>AK178*$AR$188</f>
        <v>0</v>
      </c>
      <c r="AT178" s="203"/>
      <c r="AX178" s="200"/>
      <c r="AZ178" s="202"/>
      <c r="CF178" s="15">
        <v>78</v>
      </c>
      <c r="CG178" s="15">
        <f t="shared" si="62"/>
        <v>0.70199999999999996</v>
      </c>
      <c r="CI178" s="15">
        <v>78</v>
      </c>
      <c r="CK178" s="15">
        <f t="shared" si="63"/>
        <v>0.23400000000000001</v>
      </c>
      <c r="CL178" s="15">
        <f t="shared" si="64"/>
        <v>0.54360000000000008</v>
      </c>
      <c r="CM178" s="15">
        <f t="shared" si="61"/>
        <v>0.20699999999999999</v>
      </c>
      <c r="CN178" s="15">
        <f t="shared" si="65"/>
        <v>0.77760000000000007</v>
      </c>
      <c r="CO178" s="15">
        <f t="shared" si="65"/>
        <v>0.75060000000000004</v>
      </c>
      <c r="CQ178" s="15">
        <v>0.21</v>
      </c>
      <c r="CR178" s="15">
        <v>0.5</v>
      </c>
      <c r="CS178" s="15">
        <v>0.28000000000000003</v>
      </c>
      <c r="CT178" s="15">
        <f t="shared" si="66"/>
        <v>0.71</v>
      </c>
      <c r="CU178" s="15">
        <f t="shared" si="67"/>
        <v>0.78</v>
      </c>
    </row>
    <row r="179" spans="1:99" s="15" customFormat="1" x14ac:dyDescent="0.25">
      <c r="A179" s="15">
        <v>2019</v>
      </c>
      <c r="B179" s="15">
        <f t="shared" si="70"/>
        <v>92</v>
      </c>
      <c r="C179" s="195">
        <v>43557</v>
      </c>
      <c r="F179" s="196">
        <v>45</v>
      </c>
      <c r="G179" s="197"/>
      <c r="O179" s="198"/>
      <c r="P179" s="197"/>
      <c r="X179" s="199"/>
      <c r="Z179" s="199"/>
      <c r="AA179" s="200">
        <f>0.5*(B179-B178)*F179</f>
        <v>2047.5</v>
      </c>
      <c r="AC179" s="196">
        <f t="shared" ref="AC179:AC185" si="72">MAX($F$178:$F$181)</f>
        <v>45</v>
      </c>
      <c r="AD179" s="201"/>
      <c r="AE179" s="202"/>
      <c r="AF179" s="196">
        <f t="shared" si="71"/>
        <v>81.818181818181813</v>
      </c>
      <c r="AG179" s="17">
        <f t="shared" si="60"/>
        <v>0.55000000000000004</v>
      </c>
      <c r="AI179" s="15">
        <f>0.5*($B179-$B178)*$AF179</f>
        <v>3722.7272727272725</v>
      </c>
      <c r="AJ179" s="153"/>
      <c r="AK179" s="196">
        <f>MAX($F$178:$F$181)/AG179</f>
        <v>81.818181818181813</v>
      </c>
      <c r="AN179" s="210"/>
      <c r="AP179" s="210"/>
      <c r="AR179" s="210"/>
      <c r="AT179" s="203"/>
      <c r="AX179" s="200"/>
      <c r="AZ179" s="202"/>
      <c r="CF179" s="15">
        <v>79</v>
      </c>
      <c r="CG179" s="15">
        <f t="shared" si="62"/>
        <v>0.71099999999999997</v>
      </c>
      <c r="CI179" s="15">
        <v>79</v>
      </c>
      <c r="CK179" s="15">
        <f t="shared" si="63"/>
        <v>0.23700000000000002</v>
      </c>
      <c r="CL179" s="15">
        <f t="shared" si="64"/>
        <v>0.53970000000000007</v>
      </c>
      <c r="CM179" s="15">
        <f t="shared" si="61"/>
        <v>0.2072</v>
      </c>
      <c r="CN179" s="15">
        <f t="shared" si="65"/>
        <v>0.77670000000000006</v>
      </c>
      <c r="CO179" s="15">
        <f t="shared" si="65"/>
        <v>0.74690000000000012</v>
      </c>
      <c r="CQ179" s="15">
        <v>0.21</v>
      </c>
      <c r="CR179" s="15">
        <v>0.5</v>
      </c>
      <c r="CS179" s="15">
        <v>0.28000000000000003</v>
      </c>
      <c r="CT179" s="15">
        <f t="shared" si="66"/>
        <v>0.71</v>
      </c>
      <c r="CU179" s="15">
        <f t="shared" si="67"/>
        <v>0.78</v>
      </c>
    </row>
    <row r="180" spans="1:99" s="15" customFormat="1" x14ac:dyDescent="0.25">
      <c r="A180" s="15">
        <v>2019</v>
      </c>
      <c r="B180" s="15">
        <f t="shared" si="70"/>
        <v>116</v>
      </c>
      <c r="C180" s="195">
        <v>43581</v>
      </c>
      <c r="F180" s="196">
        <v>38</v>
      </c>
      <c r="G180" s="197"/>
      <c r="O180" s="198"/>
      <c r="P180" s="197"/>
      <c r="X180" s="199"/>
      <c r="Z180" s="199"/>
      <c r="AA180" s="200">
        <f>((B180-B179)*F180)-((B180-B179)*(F180-F179)*0.5)</f>
        <v>996</v>
      </c>
      <c r="AC180" s="196">
        <f t="shared" si="72"/>
        <v>45</v>
      </c>
      <c r="AD180" s="201"/>
      <c r="AE180" s="202"/>
      <c r="AF180" s="196">
        <f t="shared" si="71"/>
        <v>69.090909090909079</v>
      </c>
      <c r="AG180" s="17">
        <f t="shared" si="60"/>
        <v>0.55000000000000004</v>
      </c>
      <c r="AI180" s="15">
        <f>((B180-B179)*AF180)-((B180-B179)*(AF180-AF179)*0.5)</f>
        <v>1810.9090909090908</v>
      </c>
      <c r="AJ180" s="153"/>
      <c r="AK180" s="196">
        <f>MAX($F$178:$F$181)/AG180</f>
        <v>81.818181818181813</v>
      </c>
      <c r="AN180" s="210"/>
      <c r="AP180" s="210"/>
      <c r="AR180" s="210"/>
      <c r="AT180" s="203"/>
      <c r="AX180" s="200"/>
      <c r="AZ180" s="202"/>
      <c r="CF180" s="15">
        <v>80</v>
      </c>
      <c r="CG180" s="15">
        <f t="shared" si="62"/>
        <v>0.72</v>
      </c>
      <c r="CI180" s="15">
        <v>80</v>
      </c>
      <c r="CK180" s="15">
        <f t="shared" si="63"/>
        <v>0.24</v>
      </c>
      <c r="CL180" s="15">
        <f t="shared" si="64"/>
        <v>0.53580000000000005</v>
      </c>
      <c r="CM180" s="15">
        <f t="shared" si="61"/>
        <v>0.20739999999999997</v>
      </c>
      <c r="CN180" s="15">
        <f t="shared" si="65"/>
        <v>0.77580000000000005</v>
      </c>
      <c r="CO180" s="15">
        <f t="shared" si="65"/>
        <v>0.74320000000000008</v>
      </c>
      <c r="CQ180" s="15">
        <v>0.21</v>
      </c>
      <c r="CR180" s="15">
        <v>0.5</v>
      </c>
      <c r="CS180" s="15">
        <v>0.28000000000000003</v>
      </c>
      <c r="CT180" s="15">
        <f t="shared" si="66"/>
        <v>0.71</v>
      </c>
      <c r="CU180" s="15">
        <f t="shared" si="67"/>
        <v>0.78</v>
      </c>
    </row>
    <row r="181" spans="1:99" s="15" customFormat="1" x14ac:dyDescent="0.25">
      <c r="A181" s="15">
        <v>2019</v>
      </c>
      <c r="B181" s="15">
        <f t="shared" si="70"/>
        <v>151</v>
      </c>
      <c r="C181" s="195">
        <v>43616</v>
      </c>
      <c r="F181" s="196">
        <v>0</v>
      </c>
      <c r="G181" s="197"/>
      <c r="O181" s="198"/>
      <c r="P181" s="197"/>
      <c r="X181" s="199"/>
      <c r="Z181" s="199"/>
      <c r="AA181" s="200">
        <f>((B181-B180)*F181)-((B181-B180)*(F181-F180)*0.5)</f>
        <v>665</v>
      </c>
      <c r="AB181" s="15">
        <f>AE181/$AE$1</f>
        <v>74.17</v>
      </c>
      <c r="AC181" s="196">
        <f t="shared" si="72"/>
        <v>45</v>
      </c>
      <c r="AD181" s="201">
        <f>AB181/AC181</f>
        <v>1.6482222222222223</v>
      </c>
      <c r="AE181" s="209">
        <f>SUM(AA178:AA181)</f>
        <v>3708.5</v>
      </c>
      <c r="AF181" s="196">
        <f t="shared" si="71"/>
        <v>0</v>
      </c>
      <c r="AG181" s="17">
        <f t="shared" si="60"/>
        <v>0.55000000000000004</v>
      </c>
      <c r="AI181" s="15">
        <f>0.5*(B181-B180)*AF180</f>
        <v>1209.0909090909088</v>
      </c>
      <c r="AJ181" s="152">
        <f>AM181/$AM$1</f>
        <v>134.85454545454544</v>
      </c>
      <c r="AK181" s="196">
        <f>MAX($F$178:$F$181)/AG181</f>
        <v>81.818181818181813</v>
      </c>
      <c r="AL181" s="201">
        <f>AJ181/AK181</f>
        <v>1.6482222222222223</v>
      </c>
      <c r="AM181" s="201">
        <f>SUM(AI178:AI181)</f>
        <v>6742.7272727272721</v>
      </c>
      <c r="AN181" s="210"/>
      <c r="AP181" s="210">
        <f>AK181*AO188</f>
        <v>0</v>
      </c>
      <c r="AR181" s="210"/>
      <c r="AT181" s="203"/>
      <c r="AX181" s="200"/>
      <c r="AZ181" s="202"/>
      <c r="CF181" s="15">
        <v>81</v>
      </c>
      <c r="CG181" s="15">
        <f t="shared" si="62"/>
        <v>0.72899999999999998</v>
      </c>
      <c r="CI181" s="15">
        <v>81</v>
      </c>
      <c r="CK181" s="15">
        <f t="shared" si="63"/>
        <v>0.24299999999999999</v>
      </c>
      <c r="CL181" s="15">
        <f t="shared" si="64"/>
        <v>0.53190000000000004</v>
      </c>
      <c r="CM181" s="15">
        <f t="shared" si="61"/>
        <v>0.20759999999999998</v>
      </c>
      <c r="CN181" s="15">
        <f t="shared" si="65"/>
        <v>0.77490000000000003</v>
      </c>
      <c r="CO181" s="15">
        <f t="shared" si="65"/>
        <v>0.73950000000000005</v>
      </c>
      <c r="CQ181" s="15">
        <v>0.21</v>
      </c>
      <c r="CR181" s="15">
        <v>0.5</v>
      </c>
      <c r="CS181" s="15">
        <v>0.28000000000000003</v>
      </c>
      <c r="CT181" s="15">
        <f t="shared" si="66"/>
        <v>0.71</v>
      </c>
      <c r="CU181" s="15">
        <f t="shared" si="67"/>
        <v>0.78</v>
      </c>
    </row>
    <row r="182" spans="1:99" x14ac:dyDescent="0.25">
      <c r="A182">
        <v>2020</v>
      </c>
      <c r="B182">
        <f t="shared" si="70"/>
        <v>1</v>
      </c>
      <c r="C182" s="12">
        <v>43466</v>
      </c>
      <c r="F182" s="4">
        <v>0</v>
      </c>
      <c r="AC182" s="4">
        <f>MAX($F$178:$F$181)</f>
        <v>45</v>
      </c>
      <c r="AF182" s="29">
        <f t="shared" si="71"/>
        <v>0</v>
      </c>
      <c r="AG182" s="11">
        <f t="shared" si="60"/>
        <v>0.55000000000000004</v>
      </c>
      <c r="AH182" s="11"/>
      <c r="AI182" s="11"/>
      <c r="AK182" s="4">
        <f>MAX($F$182:$F$185)/AG182</f>
        <v>50.909090909090907</v>
      </c>
      <c r="AL182" s="2"/>
      <c r="AN182" s="11"/>
      <c r="AO182" s="11"/>
      <c r="AP182" s="213"/>
      <c r="AQ182" s="11"/>
      <c r="AR182" s="11"/>
      <c r="AS182" s="11">
        <f>AK182*$AR$188</f>
        <v>0</v>
      </c>
      <c r="BA182"/>
      <c r="BB182"/>
      <c r="BC182"/>
      <c r="BD182"/>
      <c r="BE182"/>
      <c r="BF182"/>
      <c r="BG182"/>
      <c r="BH182"/>
      <c r="BI182"/>
      <c r="BJ182"/>
      <c r="CF182">
        <v>78</v>
      </c>
      <c r="CG182">
        <f t="shared" ref="CG182:CG190" si="73">CF182*0.009</f>
        <v>0.70199999999999996</v>
      </c>
      <c r="CI182">
        <v>78</v>
      </c>
      <c r="CK182">
        <f t="shared" ref="CK182:CK190" si="74">((0.003)*CI182)</f>
        <v>0.23400000000000001</v>
      </c>
      <c r="CL182">
        <f t="shared" ref="CL182:CL190" si="75">((-0.0039)*CI182)+0.8478</f>
        <v>0.54360000000000008</v>
      </c>
      <c r="CM182">
        <f t="shared" ref="CM182:CM190" si="76">(0.0002*CI182)+0.1914</f>
        <v>0.20699999999999999</v>
      </c>
      <c r="CN182">
        <f t="shared" ref="CN182" si="77">CK182+CL182</f>
        <v>0.77760000000000007</v>
      </c>
      <c r="CO182">
        <f t="shared" si="65"/>
        <v>0.75060000000000004</v>
      </c>
      <c r="CQ182">
        <v>0.21</v>
      </c>
      <c r="CR182">
        <v>0.5</v>
      </c>
      <c r="CS182">
        <v>0.28000000000000003</v>
      </c>
      <c r="CT182">
        <f t="shared" ref="CT182:CT190" si="78">CQ182+CR182</f>
        <v>0.71</v>
      </c>
      <c r="CU182">
        <f t="shared" si="67"/>
        <v>0.78</v>
      </c>
    </row>
    <row r="183" spans="1:99" x14ac:dyDescent="0.25">
      <c r="A183">
        <v>2020</v>
      </c>
      <c r="B183">
        <f t="shared" si="70"/>
        <v>65</v>
      </c>
      <c r="C183" s="12">
        <v>43895</v>
      </c>
      <c r="F183" s="4">
        <v>7</v>
      </c>
      <c r="AA183" s="1">
        <f>0.5*(B183-B182)*F183</f>
        <v>224</v>
      </c>
      <c r="AC183" s="4">
        <f t="shared" si="72"/>
        <v>45</v>
      </c>
      <c r="AF183" s="4">
        <f t="shared" si="71"/>
        <v>12.727272727272727</v>
      </c>
      <c r="AG183" s="11">
        <f t="shared" si="60"/>
        <v>0.55000000000000004</v>
      </c>
      <c r="AI183">
        <f>0.5*($B183-$B182)*$AF183</f>
        <v>407.27272727272725</v>
      </c>
      <c r="AK183" s="4">
        <f>MAX($F$182:$F$185)/AG183</f>
        <v>50.909090909090907</v>
      </c>
      <c r="AN183"/>
      <c r="AO183"/>
      <c r="AP183"/>
      <c r="AQ183"/>
      <c r="AR183"/>
      <c r="AS183"/>
      <c r="BA183"/>
      <c r="BB183"/>
      <c r="BC183"/>
      <c r="BD183"/>
      <c r="BE183"/>
      <c r="BF183"/>
      <c r="BG183"/>
      <c r="BH183"/>
      <c r="BI183"/>
      <c r="BJ183"/>
      <c r="CF183">
        <v>79</v>
      </c>
      <c r="CG183">
        <f t="shared" si="73"/>
        <v>0.71099999999999997</v>
      </c>
      <c r="CI183">
        <v>79</v>
      </c>
      <c r="CK183">
        <f t="shared" si="74"/>
        <v>0.23700000000000002</v>
      </c>
      <c r="CL183">
        <f t="shared" si="75"/>
        <v>0.53970000000000007</v>
      </c>
      <c r="CM183">
        <f t="shared" si="76"/>
        <v>0.2072</v>
      </c>
      <c r="CN183">
        <f t="shared" si="65"/>
        <v>0.77670000000000006</v>
      </c>
      <c r="CO183">
        <f t="shared" si="65"/>
        <v>0.74690000000000012</v>
      </c>
      <c r="CQ183">
        <v>0.21</v>
      </c>
      <c r="CR183">
        <v>0.5</v>
      </c>
      <c r="CS183">
        <v>0.28000000000000003</v>
      </c>
      <c r="CT183">
        <f t="shared" si="78"/>
        <v>0.71</v>
      </c>
      <c r="CU183">
        <f t="shared" si="67"/>
        <v>0.78</v>
      </c>
    </row>
    <row r="184" spans="1:99" x14ac:dyDescent="0.25">
      <c r="A184">
        <v>2020</v>
      </c>
      <c r="B184">
        <f t="shared" si="70"/>
        <v>98</v>
      </c>
      <c r="C184" s="12">
        <v>43928</v>
      </c>
      <c r="F184" s="4">
        <v>28</v>
      </c>
      <c r="AA184" s="1">
        <f>((B184-B183)*F184)-((B184-B183)*(F184-F183)*0.5)</f>
        <v>577.5</v>
      </c>
      <c r="AC184" s="4">
        <f t="shared" si="72"/>
        <v>45</v>
      </c>
      <c r="AF184" s="4">
        <f t="shared" si="71"/>
        <v>50.909090909090907</v>
      </c>
      <c r="AG184" s="11">
        <f t="shared" si="60"/>
        <v>0.55000000000000004</v>
      </c>
      <c r="AI184">
        <f>((B184-B183)*AF184)-((B184-B183)*(AF184-AF183)*0.5)</f>
        <v>1050</v>
      </c>
      <c r="AK184" s="4">
        <f>MAX($F$182:$F$185)/AG184</f>
        <v>50.909090909090907</v>
      </c>
      <c r="AN184"/>
      <c r="AO184"/>
      <c r="AP184"/>
      <c r="AQ184"/>
      <c r="AR184"/>
      <c r="AS184"/>
      <c r="BA184"/>
      <c r="BB184"/>
      <c r="BC184"/>
      <c r="BD184"/>
      <c r="BE184"/>
      <c r="BF184"/>
      <c r="BG184"/>
      <c r="BH184"/>
      <c r="BI184"/>
      <c r="BJ184"/>
      <c r="CF184">
        <v>80</v>
      </c>
      <c r="CG184">
        <f t="shared" si="73"/>
        <v>0.72</v>
      </c>
      <c r="CI184">
        <v>80</v>
      </c>
      <c r="CK184">
        <f t="shared" si="74"/>
        <v>0.24</v>
      </c>
      <c r="CL184">
        <f t="shared" si="75"/>
        <v>0.53580000000000005</v>
      </c>
      <c r="CM184">
        <f t="shared" si="76"/>
        <v>0.20739999999999997</v>
      </c>
      <c r="CN184">
        <f t="shared" si="65"/>
        <v>0.77580000000000005</v>
      </c>
      <c r="CO184">
        <f t="shared" si="65"/>
        <v>0.74320000000000008</v>
      </c>
      <c r="CQ184">
        <v>0.21</v>
      </c>
      <c r="CR184">
        <v>0.5</v>
      </c>
      <c r="CS184">
        <v>0.28000000000000003</v>
      </c>
      <c r="CT184">
        <f t="shared" si="78"/>
        <v>0.71</v>
      </c>
      <c r="CU184">
        <f t="shared" si="67"/>
        <v>0.78</v>
      </c>
    </row>
    <row r="185" spans="1:99" x14ac:dyDescent="0.25">
      <c r="A185">
        <v>2020</v>
      </c>
      <c r="B185">
        <f t="shared" si="70"/>
        <v>151</v>
      </c>
      <c r="C185" s="12">
        <v>43616</v>
      </c>
      <c r="F185" s="4">
        <v>0</v>
      </c>
      <c r="AA185" s="1">
        <f>((B185-B184)*F185)-((B185-B184)*(F185-F184)*0.5)</f>
        <v>742</v>
      </c>
      <c r="AB185">
        <f>AE185/$AE$1</f>
        <v>30.87</v>
      </c>
      <c r="AC185" s="4">
        <f t="shared" si="72"/>
        <v>45</v>
      </c>
      <c r="AD185" s="2">
        <f>AB185/AC185</f>
        <v>0.68600000000000005</v>
      </c>
      <c r="AE185" s="182">
        <f>SUM(AA182:AA185)</f>
        <v>1543.5</v>
      </c>
      <c r="AF185" s="4">
        <f t="shared" si="69"/>
        <v>0</v>
      </c>
      <c r="AG185" s="11">
        <f t="shared" si="60"/>
        <v>0.55000000000000004</v>
      </c>
      <c r="AI185">
        <f>0.5*(B185-B184)*AF184</f>
        <v>1349.090909090909</v>
      </c>
      <c r="AJ185" s="152">
        <f>AM185/$AM$1</f>
        <v>56.127272727272718</v>
      </c>
      <c r="AK185" s="4">
        <f>MAX($F$182:$F$185)/AG185</f>
        <v>50.909090909090907</v>
      </c>
      <c r="AL185" s="2">
        <f>AJ185/AK185</f>
        <v>1.1024999999999998</v>
      </c>
      <c r="AM185" s="2">
        <f>SUM(AI182:AI185)</f>
        <v>2806.363636363636</v>
      </c>
      <c r="AN185"/>
      <c r="AO185"/>
      <c r="AP185">
        <f>AK185*AO192</f>
        <v>0</v>
      </c>
      <c r="AQ185"/>
      <c r="AR185"/>
      <c r="AS185"/>
      <c r="BA185"/>
      <c r="BB185"/>
      <c r="BC185"/>
      <c r="BD185"/>
      <c r="BE185"/>
      <c r="BF185"/>
      <c r="BG185"/>
      <c r="BH185"/>
      <c r="BI185"/>
      <c r="BJ185"/>
      <c r="CF185">
        <v>81</v>
      </c>
      <c r="CG185">
        <f t="shared" si="73"/>
        <v>0.72899999999999998</v>
      </c>
      <c r="CI185">
        <v>81</v>
      </c>
      <c r="CK185">
        <f t="shared" si="74"/>
        <v>0.24299999999999999</v>
      </c>
      <c r="CL185">
        <f t="shared" si="75"/>
        <v>0.53190000000000004</v>
      </c>
      <c r="CM185">
        <f t="shared" si="76"/>
        <v>0.20759999999999998</v>
      </c>
      <c r="CN185">
        <f t="shared" si="65"/>
        <v>0.77490000000000003</v>
      </c>
      <c r="CO185">
        <f t="shared" si="65"/>
        <v>0.73950000000000005</v>
      </c>
      <c r="CQ185">
        <v>0.21</v>
      </c>
      <c r="CR185">
        <v>0.5</v>
      </c>
      <c r="CS185">
        <v>0.28000000000000003</v>
      </c>
      <c r="CT185">
        <f t="shared" si="78"/>
        <v>0.71</v>
      </c>
      <c r="CU185">
        <f t="shared" si="67"/>
        <v>0.78</v>
      </c>
    </row>
    <row r="186" spans="1:99" s="15" customFormat="1" x14ac:dyDescent="0.25">
      <c r="A186" s="15">
        <v>2021</v>
      </c>
      <c r="B186" s="15">
        <f t="shared" si="70"/>
        <v>1</v>
      </c>
      <c r="C186" s="195">
        <v>44197</v>
      </c>
      <c r="F186" s="196">
        <v>0</v>
      </c>
      <c r="G186" s="197"/>
      <c r="O186" s="198"/>
      <c r="P186" s="197"/>
      <c r="X186" s="199"/>
      <c r="Z186" s="199"/>
      <c r="AA186" s="200"/>
      <c r="AC186" s="196">
        <f t="shared" ref="AC186:AC195" si="79">MAX($F$186:$F$190)</f>
        <v>20</v>
      </c>
      <c r="AD186" s="201"/>
      <c r="AE186" s="202"/>
      <c r="AF186" s="208">
        <f t="shared" si="69"/>
        <v>0</v>
      </c>
      <c r="AG186" s="17">
        <f t="shared" si="60"/>
        <v>0.55000000000000004</v>
      </c>
      <c r="AH186" s="17"/>
      <c r="AI186" s="17"/>
      <c r="AJ186" s="153"/>
      <c r="AK186" s="196">
        <f>MAX($F$186:$F$189)/AG186</f>
        <v>36.36363636363636</v>
      </c>
      <c r="AL186" s="201"/>
      <c r="AN186" s="17"/>
      <c r="AO186" s="17"/>
      <c r="AP186" s="218"/>
      <c r="AQ186" s="17"/>
      <c r="AR186" s="17"/>
      <c r="AS186" s="17">
        <f>AK186*$AR$188</f>
        <v>0</v>
      </c>
      <c r="AT186" s="203"/>
      <c r="AX186" s="200"/>
      <c r="AZ186" s="202"/>
      <c r="CF186" s="15">
        <v>78</v>
      </c>
      <c r="CG186" s="15">
        <f t="shared" si="73"/>
        <v>0.70199999999999996</v>
      </c>
      <c r="CI186" s="15">
        <v>78</v>
      </c>
      <c r="CK186" s="15">
        <f t="shared" si="74"/>
        <v>0.23400000000000001</v>
      </c>
      <c r="CL186" s="15">
        <f t="shared" si="75"/>
        <v>0.54360000000000008</v>
      </c>
      <c r="CM186" s="15">
        <f t="shared" si="76"/>
        <v>0.20699999999999999</v>
      </c>
      <c r="CN186" s="15">
        <f t="shared" si="65"/>
        <v>0.77760000000000007</v>
      </c>
      <c r="CO186" s="15">
        <f t="shared" si="65"/>
        <v>0.75060000000000004</v>
      </c>
      <c r="CQ186" s="15">
        <v>0.21</v>
      </c>
      <c r="CR186" s="15">
        <v>0.5</v>
      </c>
      <c r="CS186" s="15">
        <v>0.28000000000000003</v>
      </c>
      <c r="CT186" s="15">
        <f t="shared" si="78"/>
        <v>0.71</v>
      </c>
      <c r="CU186" s="15">
        <f t="shared" si="67"/>
        <v>0.78</v>
      </c>
    </row>
    <row r="187" spans="1:99" s="15" customFormat="1" x14ac:dyDescent="0.25">
      <c r="A187" s="15">
        <v>2021</v>
      </c>
      <c r="B187" s="15">
        <f t="shared" si="70"/>
        <v>69</v>
      </c>
      <c r="C187" s="195">
        <v>44265</v>
      </c>
      <c r="F187" s="196">
        <v>20</v>
      </c>
      <c r="G187" s="197"/>
      <c r="O187" s="198"/>
      <c r="P187" s="197"/>
      <c r="X187" s="199"/>
      <c r="Z187" s="199"/>
      <c r="AA187" s="200"/>
      <c r="AC187" s="196">
        <f t="shared" si="79"/>
        <v>20</v>
      </c>
      <c r="AD187" s="201"/>
      <c r="AE187" s="202"/>
      <c r="AF187" s="208">
        <f>F187/AG187</f>
        <v>36.36363636363636</v>
      </c>
      <c r="AG187" s="17">
        <f t="shared" si="60"/>
        <v>0.55000000000000004</v>
      </c>
      <c r="AH187" s="17"/>
      <c r="AI187" s="15">
        <f>0.5*($B187-$B186)*$AF187</f>
        <v>1236.3636363636363</v>
      </c>
      <c r="AJ187" s="153"/>
      <c r="AK187" s="196">
        <f>MAX($F$186:$F$189)/AG187</f>
        <v>36.36363636363636</v>
      </c>
      <c r="AL187" s="201"/>
      <c r="AN187" s="17"/>
      <c r="AO187" s="17"/>
      <c r="AP187" s="218"/>
      <c r="AQ187" s="17"/>
      <c r="AR187" s="17"/>
      <c r="AS187" s="17">
        <f>AK187*$AR$188</f>
        <v>0</v>
      </c>
      <c r="AT187" s="203"/>
      <c r="AX187" s="200"/>
      <c r="AZ187" s="202"/>
      <c r="CF187" s="15">
        <v>79</v>
      </c>
      <c r="CG187" s="15">
        <f t="shared" si="73"/>
        <v>0.71099999999999997</v>
      </c>
      <c r="CI187" s="15">
        <v>79</v>
      </c>
      <c r="CK187" s="15">
        <f t="shared" si="74"/>
        <v>0.23700000000000002</v>
      </c>
      <c r="CL187" s="15">
        <f t="shared" si="75"/>
        <v>0.53970000000000007</v>
      </c>
      <c r="CM187" s="15">
        <f t="shared" si="76"/>
        <v>0.2072</v>
      </c>
      <c r="CN187" s="15">
        <f t="shared" si="65"/>
        <v>0.77670000000000006</v>
      </c>
      <c r="CO187" s="15">
        <f t="shared" si="65"/>
        <v>0.74690000000000012</v>
      </c>
      <c r="CQ187" s="15">
        <v>0.21</v>
      </c>
      <c r="CR187" s="15">
        <v>0.5</v>
      </c>
      <c r="CS187" s="15">
        <v>0.28000000000000003</v>
      </c>
      <c r="CT187" s="15">
        <f t="shared" si="78"/>
        <v>0.71</v>
      </c>
      <c r="CU187" s="15">
        <f t="shared" si="67"/>
        <v>0.78</v>
      </c>
    </row>
    <row r="188" spans="1:99" s="15" customFormat="1" x14ac:dyDescent="0.25">
      <c r="A188" s="15">
        <v>2021</v>
      </c>
      <c r="B188" s="15">
        <f t="shared" si="70"/>
        <v>90</v>
      </c>
      <c r="C188" s="195">
        <v>44286</v>
      </c>
      <c r="F188" s="196">
        <v>20</v>
      </c>
      <c r="G188" s="197"/>
      <c r="O188" s="198"/>
      <c r="P188" s="197"/>
      <c r="X188" s="199"/>
      <c r="Z188" s="199"/>
      <c r="AA188" s="200">
        <f>0.5*(B188-B186)*F188</f>
        <v>890</v>
      </c>
      <c r="AC188" s="196">
        <f t="shared" si="79"/>
        <v>20</v>
      </c>
      <c r="AD188" s="201"/>
      <c r="AE188" s="202"/>
      <c r="AF188" s="196">
        <f t="shared" si="69"/>
        <v>36.36363636363636</v>
      </c>
      <c r="AG188" s="17">
        <f t="shared" si="60"/>
        <v>0.55000000000000004</v>
      </c>
      <c r="AI188" s="15">
        <f>((B188-B187)*AF188)-((B188-B187)*(AF188-AF187)*0.5)</f>
        <v>763.63636363636351</v>
      </c>
      <c r="AJ188" s="153"/>
      <c r="AK188" s="196">
        <f>MAX($F$186:$F$189)/AG188</f>
        <v>36.36363636363636</v>
      </c>
      <c r="AT188" s="203"/>
      <c r="AX188" s="200"/>
      <c r="AZ188" s="202"/>
      <c r="CF188" s="15">
        <v>79</v>
      </c>
      <c r="CG188" s="15">
        <f t="shared" si="73"/>
        <v>0.71099999999999997</v>
      </c>
      <c r="CI188" s="15">
        <v>79</v>
      </c>
      <c r="CK188" s="15">
        <f t="shared" si="74"/>
        <v>0.23700000000000002</v>
      </c>
      <c r="CL188" s="15">
        <f t="shared" si="75"/>
        <v>0.53970000000000007</v>
      </c>
      <c r="CM188" s="15">
        <f t="shared" si="76"/>
        <v>0.2072</v>
      </c>
      <c r="CN188" s="15">
        <f t="shared" si="65"/>
        <v>0.77670000000000006</v>
      </c>
      <c r="CO188" s="15">
        <f t="shared" si="65"/>
        <v>0.74690000000000012</v>
      </c>
      <c r="CQ188" s="15">
        <v>0.21</v>
      </c>
      <c r="CR188" s="15">
        <v>0.5</v>
      </c>
      <c r="CS188" s="15">
        <v>0.28000000000000003</v>
      </c>
      <c r="CT188" s="15">
        <f t="shared" si="78"/>
        <v>0.71</v>
      </c>
      <c r="CU188" s="15">
        <f t="shared" si="67"/>
        <v>0.78</v>
      </c>
    </row>
    <row r="189" spans="1:99" s="15" customFormat="1" x14ac:dyDescent="0.25">
      <c r="A189" s="15">
        <v>2021</v>
      </c>
      <c r="B189" s="15">
        <f t="shared" si="70"/>
        <v>127</v>
      </c>
      <c r="C189" s="195">
        <v>44323</v>
      </c>
      <c r="F189" s="196">
        <v>7</v>
      </c>
      <c r="G189" s="197"/>
      <c r="O189" s="198"/>
      <c r="P189" s="197"/>
      <c r="X189" s="199"/>
      <c r="Z189" s="199"/>
      <c r="AA189" s="200">
        <f>((B189-B188)*F189)-((B189-B188)*(F189-F188)*0.5)</f>
        <v>499.5</v>
      </c>
      <c r="AC189" s="196">
        <f t="shared" si="79"/>
        <v>20</v>
      </c>
      <c r="AD189" s="201"/>
      <c r="AE189" s="202"/>
      <c r="AF189" s="196">
        <f t="shared" si="69"/>
        <v>12.727272727272727</v>
      </c>
      <c r="AG189" s="17">
        <f t="shared" si="60"/>
        <v>0.55000000000000004</v>
      </c>
      <c r="AI189" s="15">
        <f>((B189-B188)*AF189)-((B189-B188)*(AF189-AF188)*0.5)</f>
        <v>908.18181818181802</v>
      </c>
      <c r="AJ189" s="153"/>
      <c r="AK189" s="196">
        <f>MAX($F$186:$F$189)/AG189</f>
        <v>36.36363636363636</v>
      </c>
      <c r="AT189" s="203"/>
      <c r="AX189" s="200"/>
      <c r="AZ189" s="202"/>
      <c r="CF189" s="15">
        <v>80</v>
      </c>
      <c r="CG189" s="15">
        <f t="shared" si="73"/>
        <v>0.72</v>
      </c>
      <c r="CI189" s="15">
        <v>80</v>
      </c>
      <c r="CK189" s="15">
        <f t="shared" si="74"/>
        <v>0.24</v>
      </c>
      <c r="CL189" s="15">
        <f t="shared" si="75"/>
        <v>0.53580000000000005</v>
      </c>
      <c r="CM189" s="15">
        <f t="shared" si="76"/>
        <v>0.20739999999999997</v>
      </c>
      <c r="CN189" s="15">
        <f t="shared" si="65"/>
        <v>0.77580000000000005</v>
      </c>
      <c r="CO189" s="15">
        <f t="shared" si="65"/>
        <v>0.74320000000000008</v>
      </c>
      <c r="CQ189" s="15">
        <v>0.21</v>
      </c>
      <c r="CR189" s="15">
        <v>0.5</v>
      </c>
      <c r="CS189" s="15">
        <v>0.28000000000000003</v>
      </c>
      <c r="CT189" s="15">
        <f t="shared" si="78"/>
        <v>0.71</v>
      </c>
      <c r="CU189" s="15">
        <f t="shared" si="67"/>
        <v>0.78</v>
      </c>
    </row>
    <row r="190" spans="1:99" s="15" customFormat="1" x14ac:dyDescent="0.25">
      <c r="A190" s="15">
        <v>2021</v>
      </c>
      <c r="B190" s="15">
        <f t="shared" si="70"/>
        <v>151</v>
      </c>
      <c r="C190" s="195">
        <v>44347</v>
      </c>
      <c r="F190" s="196">
        <v>0</v>
      </c>
      <c r="G190" s="197"/>
      <c r="O190" s="198"/>
      <c r="P190" s="197"/>
      <c r="X190" s="199"/>
      <c r="Z190" s="199"/>
      <c r="AA190" s="200">
        <f>((B190-B189)*F190)-((B190-B189)*(F190-F189)*0.5)</f>
        <v>84</v>
      </c>
      <c r="AB190" s="15">
        <f>AE190/$AE$1</f>
        <v>29.47</v>
      </c>
      <c r="AC190" s="196">
        <f t="shared" si="79"/>
        <v>20</v>
      </c>
      <c r="AD190" s="201">
        <f>AB190/AC190</f>
        <v>1.4735</v>
      </c>
      <c r="AE190" s="209">
        <f>SUM(AA186:AA190)</f>
        <v>1473.5</v>
      </c>
      <c r="AF190" s="196">
        <f>F190/AG190</f>
        <v>0</v>
      </c>
      <c r="AG190" s="17">
        <f t="shared" si="60"/>
        <v>0.55000000000000004</v>
      </c>
      <c r="AI190" s="15">
        <f>0.5*(B190-B189)*AF189</f>
        <v>152.72727272727272</v>
      </c>
      <c r="AJ190" s="152">
        <f>AM190/$AM$1</f>
        <v>61.218181818181812</v>
      </c>
      <c r="AK190" s="196">
        <f>MAX($F$186:$F$189)/AG190</f>
        <v>36.36363636363636</v>
      </c>
      <c r="AL190" s="201">
        <f>AJ190/AK190</f>
        <v>1.6835</v>
      </c>
      <c r="AM190" s="201">
        <f>SUM(AI186:AI190)</f>
        <v>3060.9090909090905</v>
      </c>
      <c r="AP190" s="15">
        <f>AK190*AO196</f>
        <v>0</v>
      </c>
      <c r="AT190" s="203"/>
      <c r="AX190" s="200"/>
      <c r="AZ190" s="202"/>
      <c r="CF190" s="15">
        <v>81</v>
      </c>
      <c r="CG190" s="15">
        <f t="shared" si="73"/>
        <v>0.72899999999999998</v>
      </c>
      <c r="CI190" s="15">
        <v>81</v>
      </c>
      <c r="CK190" s="15">
        <f t="shared" si="74"/>
        <v>0.24299999999999999</v>
      </c>
      <c r="CL190" s="15">
        <f t="shared" si="75"/>
        <v>0.53190000000000004</v>
      </c>
      <c r="CM190" s="15">
        <f t="shared" si="76"/>
        <v>0.20759999999999998</v>
      </c>
      <c r="CN190" s="15">
        <f t="shared" si="65"/>
        <v>0.77490000000000003</v>
      </c>
      <c r="CO190" s="15">
        <f t="shared" si="65"/>
        <v>0.73950000000000005</v>
      </c>
      <c r="CQ190" s="15">
        <v>0.21</v>
      </c>
      <c r="CR190" s="15">
        <v>0.5</v>
      </c>
      <c r="CS190" s="15">
        <v>0.28000000000000003</v>
      </c>
      <c r="CT190" s="15">
        <f t="shared" si="78"/>
        <v>0.71</v>
      </c>
      <c r="CU190" s="15">
        <f t="shared" si="67"/>
        <v>0.78</v>
      </c>
    </row>
    <row r="191" spans="1:99" x14ac:dyDescent="0.25">
      <c r="A191">
        <v>2022</v>
      </c>
      <c r="B191">
        <f t="shared" ref="B191:B195" si="80">C191-DATE(YEAR(C191),1,1)+1</f>
        <v>1</v>
      </c>
      <c r="C191" s="12">
        <v>44562</v>
      </c>
      <c r="F191" s="4">
        <v>0</v>
      </c>
      <c r="AC191" s="4">
        <f t="shared" si="79"/>
        <v>20</v>
      </c>
      <c r="AF191" s="29">
        <f t="shared" ref="AF191" si="81">F191/AG191</f>
        <v>0</v>
      </c>
      <c r="AG191" s="11">
        <f t="shared" si="60"/>
        <v>0.55000000000000004</v>
      </c>
      <c r="AH191" s="11"/>
      <c r="AI191" s="11"/>
      <c r="AK191" s="4">
        <f>MAX($F$191:$O$195)/AG191</f>
        <v>27.27272727272727</v>
      </c>
      <c r="AL191" s="2"/>
      <c r="AN191" s="11"/>
      <c r="AO191" s="11"/>
      <c r="AP191" s="213"/>
      <c r="AQ191" s="11"/>
      <c r="AR191" s="11"/>
      <c r="AS191" s="11">
        <f>AK191*$AR$188</f>
        <v>0</v>
      </c>
      <c r="BA191"/>
      <c r="BB191"/>
      <c r="BC191"/>
      <c r="BD191"/>
      <c r="BE191"/>
      <c r="BF191"/>
      <c r="BG191"/>
      <c r="BH191"/>
      <c r="BI191"/>
      <c r="BJ191"/>
      <c r="CF191">
        <v>78</v>
      </c>
      <c r="CG191">
        <f t="shared" ref="CG191:CG195" si="82">CF191*0.009</f>
        <v>0.70199999999999996</v>
      </c>
      <c r="CI191">
        <v>78</v>
      </c>
      <c r="CK191">
        <f t="shared" ref="CK191:CK195" si="83">((0.003)*CI191)</f>
        <v>0.23400000000000001</v>
      </c>
      <c r="CL191">
        <f t="shared" ref="CL191:CL195" si="84">((-0.0039)*CI191)+0.8478</f>
        <v>0.54360000000000008</v>
      </c>
      <c r="CM191">
        <f t="shared" ref="CM191:CM195" si="85">(0.0002*CI191)+0.1914</f>
        <v>0.20699999999999999</v>
      </c>
      <c r="CN191">
        <f t="shared" ref="CN191:CN195" si="86">CK191+CL191</f>
        <v>0.77760000000000007</v>
      </c>
      <c r="CO191">
        <f t="shared" ref="CO191:CO195" si="87">CL191+CM191</f>
        <v>0.75060000000000004</v>
      </c>
      <c r="CQ191">
        <v>0.21</v>
      </c>
      <c r="CR191">
        <v>0.5</v>
      </c>
      <c r="CS191">
        <v>0.28000000000000003</v>
      </c>
      <c r="CT191">
        <f t="shared" ref="CT191:CT195" si="88">CQ191+CR191</f>
        <v>0.71</v>
      </c>
      <c r="CU191">
        <f t="shared" ref="CU191:CU195" si="89">CR191+CS191</f>
        <v>0.78</v>
      </c>
    </row>
    <row r="192" spans="1:99" x14ac:dyDescent="0.25">
      <c r="A192">
        <v>2022</v>
      </c>
      <c r="B192">
        <f t="shared" si="80"/>
        <v>67</v>
      </c>
      <c r="C192" s="12">
        <v>44628</v>
      </c>
      <c r="F192" s="4">
        <v>15</v>
      </c>
      <c r="AC192" s="4">
        <f t="shared" si="79"/>
        <v>20</v>
      </c>
      <c r="AF192" s="29">
        <f>F192/AG192</f>
        <v>27.27272727272727</v>
      </c>
      <c r="AG192" s="11">
        <f t="shared" si="60"/>
        <v>0.55000000000000004</v>
      </c>
      <c r="AH192" s="11"/>
      <c r="AI192">
        <f>0.5*($B192-$B191)*$AF192</f>
        <v>899.99999999999989</v>
      </c>
      <c r="AK192" s="4">
        <f>MAX($F$191:$O$195)/AG192</f>
        <v>27.27272727272727</v>
      </c>
      <c r="AL192" s="2"/>
      <c r="AN192" s="11"/>
      <c r="AO192" s="11"/>
      <c r="AP192" s="213"/>
      <c r="AQ192" s="11"/>
      <c r="AR192" s="11"/>
      <c r="AS192" s="11">
        <f>AK192*$AR$188</f>
        <v>0</v>
      </c>
      <c r="BA192"/>
      <c r="BB192"/>
      <c r="BC192"/>
      <c r="BD192"/>
      <c r="BE192"/>
      <c r="BF192"/>
      <c r="BG192"/>
      <c r="BH192"/>
      <c r="BI192"/>
      <c r="BJ192"/>
      <c r="CF192">
        <v>79</v>
      </c>
      <c r="CG192">
        <f t="shared" si="82"/>
        <v>0.71099999999999997</v>
      </c>
      <c r="CI192">
        <v>79</v>
      </c>
      <c r="CK192">
        <f t="shared" si="83"/>
        <v>0.23700000000000002</v>
      </c>
      <c r="CL192">
        <f t="shared" si="84"/>
        <v>0.53970000000000007</v>
      </c>
      <c r="CM192">
        <f t="shared" si="85"/>
        <v>0.2072</v>
      </c>
      <c r="CN192">
        <f t="shared" si="86"/>
        <v>0.77670000000000006</v>
      </c>
      <c r="CO192">
        <f t="shared" si="87"/>
        <v>0.74690000000000012</v>
      </c>
      <c r="CQ192">
        <v>0.21</v>
      </c>
      <c r="CR192">
        <v>0.5</v>
      </c>
      <c r="CS192">
        <v>0.28000000000000003</v>
      </c>
      <c r="CT192">
        <f t="shared" si="88"/>
        <v>0.71</v>
      </c>
      <c r="CU192">
        <f t="shared" si="89"/>
        <v>0.78</v>
      </c>
    </row>
    <row r="193" spans="1:99" x14ac:dyDescent="0.25">
      <c r="A193">
        <v>2022</v>
      </c>
      <c r="B193">
        <f t="shared" si="80"/>
        <v>90</v>
      </c>
      <c r="C193" s="12">
        <v>44286</v>
      </c>
      <c r="F193" s="4">
        <v>15</v>
      </c>
      <c r="AA193" s="1">
        <f>0.5*(B193-B191)*F193</f>
        <v>667.5</v>
      </c>
      <c r="AC193" s="4">
        <f t="shared" si="79"/>
        <v>20</v>
      </c>
      <c r="AF193" s="4">
        <f t="shared" ref="AF193:AF194" si="90">F193/AG193</f>
        <v>27.27272727272727</v>
      </c>
      <c r="AG193" s="11">
        <f t="shared" si="60"/>
        <v>0.55000000000000004</v>
      </c>
      <c r="AI193">
        <f>((B193-B192)*AF193)-((B193-B192)*(AF193-AF192)*0.5)</f>
        <v>627.27272727272725</v>
      </c>
      <c r="AK193" s="4">
        <f t="shared" ref="AK193:AK195" si="91">MAX($F$191:$O$195)/AG193</f>
        <v>27.27272727272727</v>
      </c>
      <c r="AN193"/>
      <c r="AO193"/>
      <c r="AP193"/>
      <c r="AQ193"/>
      <c r="AR193"/>
      <c r="AS193"/>
      <c r="BA193"/>
      <c r="BB193"/>
      <c r="BC193"/>
      <c r="BD193"/>
      <c r="BE193"/>
      <c r="BF193"/>
      <c r="BG193"/>
      <c r="BH193"/>
      <c r="BI193"/>
      <c r="BJ193"/>
      <c r="CF193">
        <v>79</v>
      </c>
      <c r="CG193">
        <f t="shared" si="82"/>
        <v>0.71099999999999997</v>
      </c>
      <c r="CI193">
        <v>79</v>
      </c>
      <c r="CK193">
        <f t="shared" si="83"/>
        <v>0.23700000000000002</v>
      </c>
      <c r="CL193">
        <f t="shared" si="84"/>
        <v>0.53970000000000007</v>
      </c>
      <c r="CM193">
        <f t="shared" si="85"/>
        <v>0.2072</v>
      </c>
      <c r="CN193">
        <f t="shared" si="86"/>
        <v>0.77670000000000006</v>
      </c>
      <c r="CO193">
        <f t="shared" si="87"/>
        <v>0.74690000000000012</v>
      </c>
      <c r="CQ193">
        <v>0.21</v>
      </c>
      <c r="CR193">
        <v>0.5</v>
      </c>
      <c r="CS193">
        <v>0.28000000000000003</v>
      </c>
      <c r="CT193">
        <f t="shared" si="88"/>
        <v>0.71</v>
      </c>
      <c r="CU193">
        <f t="shared" si="89"/>
        <v>0.78</v>
      </c>
    </row>
    <row r="194" spans="1:99" x14ac:dyDescent="0.25">
      <c r="A194">
        <v>2022</v>
      </c>
      <c r="B194">
        <f t="shared" si="80"/>
        <v>116</v>
      </c>
      <c r="C194" s="12">
        <v>44677</v>
      </c>
      <c r="F194" s="4">
        <v>15</v>
      </c>
      <c r="AA194" s="1">
        <f>((B194-B193)*F194)-((B194-B193)*(F194-F193)*0.5)</f>
        <v>390</v>
      </c>
      <c r="AC194" s="4">
        <f t="shared" si="79"/>
        <v>20</v>
      </c>
      <c r="AF194" s="4">
        <f t="shared" si="90"/>
        <v>27.27272727272727</v>
      </c>
      <c r="AG194" s="11">
        <f t="shared" si="60"/>
        <v>0.55000000000000004</v>
      </c>
      <c r="AI194">
        <f>((B194-B193)*AF194)-((B194-B193)*(AF194-AF193)*0.5)</f>
        <v>709.09090909090901</v>
      </c>
      <c r="AK194" s="4">
        <f t="shared" si="91"/>
        <v>27.27272727272727</v>
      </c>
      <c r="AN194"/>
      <c r="AO194"/>
      <c r="AP194"/>
      <c r="AQ194"/>
      <c r="AR194"/>
      <c r="AS194"/>
      <c r="BA194"/>
      <c r="BB194"/>
      <c r="BC194"/>
      <c r="BD194"/>
      <c r="BE194"/>
      <c r="BF194"/>
      <c r="BG194"/>
      <c r="BH194"/>
      <c r="BI194"/>
      <c r="BJ194"/>
      <c r="CF194">
        <v>80</v>
      </c>
      <c r="CG194">
        <f t="shared" si="82"/>
        <v>0.72</v>
      </c>
      <c r="CI194">
        <v>80</v>
      </c>
      <c r="CK194">
        <f t="shared" si="83"/>
        <v>0.24</v>
      </c>
      <c r="CL194">
        <f t="shared" si="84"/>
        <v>0.53580000000000005</v>
      </c>
      <c r="CM194">
        <f t="shared" si="85"/>
        <v>0.20739999999999997</v>
      </c>
      <c r="CN194">
        <f t="shared" si="86"/>
        <v>0.77580000000000005</v>
      </c>
      <c r="CO194">
        <f t="shared" si="87"/>
        <v>0.74320000000000008</v>
      </c>
      <c r="CQ194">
        <v>0.21</v>
      </c>
      <c r="CR194">
        <v>0.5</v>
      </c>
      <c r="CS194">
        <v>0.28000000000000003</v>
      </c>
      <c r="CT194">
        <f t="shared" si="88"/>
        <v>0.71</v>
      </c>
      <c r="CU194">
        <f t="shared" si="89"/>
        <v>0.78</v>
      </c>
    </row>
    <row r="195" spans="1:99" x14ac:dyDescent="0.25">
      <c r="A195">
        <v>2022</v>
      </c>
      <c r="B195">
        <f t="shared" si="80"/>
        <v>151</v>
      </c>
      <c r="C195" s="12">
        <v>44712</v>
      </c>
      <c r="F195" s="4">
        <v>0</v>
      </c>
      <c r="AA195" s="1">
        <f>((B195-B194)*F195)-((B195-B194)*(F195-F194)*0.5)</f>
        <v>262.5</v>
      </c>
      <c r="AB195">
        <f>AE195/$AE$1</f>
        <v>26.4</v>
      </c>
      <c r="AC195" s="4">
        <f t="shared" si="79"/>
        <v>20</v>
      </c>
      <c r="AD195" s="2">
        <f>AB195/AC195</f>
        <v>1.3199999999999998</v>
      </c>
      <c r="AE195" s="182">
        <f>SUM(AA191:AA195)</f>
        <v>1320</v>
      </c>
      <c r="AF195" s="4">
        <f>F195/AG195</f>
        <v>0</v>
      </c>
      <c r="AG195" s="11">
        <f t="shared" si="60"/>
        <v>0.55000000000000004</v>
      </c>
      <c r="AI195">
        <f>0.5*(B195-B194)*AF194</f>
        <v>477.2727272727272</v>
      </c>
      <c r="AJ195" s="152">
        <f>AM195/$AM$1</f>
        <v>54.272727272727259</v>
      </c>
      <c r="AK195" s="4">
        <f t="shared" si="91"/>
        <v>27.27272727272727</v>
      </c>
      <c r="AL195" s="2">
        <f>AJ195/AK195</f>
        <v>1.9899999999999998</v>
      </c>
      <c r="AM195" s="2">
        <f>SUM(AI191:AI195)</f>
        <v>2713.6363636363631</v>
      </c>
      <c r="AN195"/>
      <c r="AO195"/>
      <c r="AP195">
        <f>AK195*AO201</f>
        <v>0</v>
      </c>
      <c r="AQ195"/>
      <c r="AR195"/>
      <c r="AS195"/>
      <c r="BA195"/>
      <c r="BB195"/>
      <c r="BC195"/>
      <c r="BD195"/>
      <c r="BE195"/>
      <c r="BF195"/>
      <c r="BG195"/>
      <c r="BH195"/>
      <c r="BI195"/>
      <c r="BJ195"/>
      <c r="CF195">
        <v>81</v>
      </c>
      <c r="CG195">
        <f t="shared" si="82"/>
        <v>0.72899999999999998</v>
      </c>
      <c r="CI195">
        <v>81</v>
      </c>
      <c r="CK195">
        <f t="shared" si="83"/>
        <v>0.24299999999999999</v>
      </c>
      <c r="CL195">
        <f t="shared" si="84"/>
        <v>0.53190000000000004</v>
      </c>
      <c r="CM195">
        <f t="shared" si="85"/>
        <v>0.20759999999999998</v>
      </c>
      <c r="CN195">
        <f t="shared" si="86"/>
        <v>0.77490000000000003</v>
      </c>
      <c r="CO195">
        <f t="shared" si="87"/>
        <v>0.73950000000000005</v>
      </c>
      <c r="CQ195">
        <v>0.21</v>
      </c>
      <c r="CR195">
        <v>0.5</v>
      </c>
      <c r="CS195">
        <v>0.28000000000000003</v>
      </c>
      <c r="CT195">
        <f t="shared" si="88"/>
        <v>0.71</v>
      </c>
      <c r="CU195">
        <f t="shared" si="89"/>
        <v>0.78</v>
      </c>
    </row>
    <row r="196" spans="1:99" x14ac:dyDescent="0.25">
      <c r="U196">
        <v>20</v>
      </c>
      <c r="V196">
        <f>U196*U197</f>
        <v>1240</v>
      </c>
      <c r="CF196">
        <v>91</v>
      </c>
      <c r="CG196">
        <f t="shared" si="62"/>
        <v>0.81899999999999995</v>
      </c>
      <c r="CI196">
        <v>91</v>
      </c>
      <c r="CK196">
        <f t="shared" si="63"/>
        <v>0.27300000000000002</v>
      </c>
      <c r="CL196">
        <f t="shared" si="64"/>
        <v>0.4929</v>
      </c>
      <c r="CM196">
        <f t="shared" si="61"/>
        <v>0.20959999999999998</v>
      </c>
      <c r="CN196">
        <f t="shared" si="65"/>
        <v>0.76590000000000003</v>
      </c>
      <c r="CO196">
        <f t="shared" si="65"/>
        <v>0.70250000000000001</v>
      </c>
      <c r="CQ196">
        <v>0.21</v>
      </c>
      <c r="CR196">
        <v>0.5</v>
      </c>
      <c r="CS196">
        <v>0.28000000000000003</v>
      </c>
      <c r="CT196">
        <f t="shared" si="66"/>
        <v>0.71</v>
      </c>
      <c r="CU196">
        <f t="shared" si="67"/>
        <v>0.78</v>
      </c>
    </row>
    <row r="197" spans="1:99" x14ac:dyDescent="0.25">
      <c r="U197">
        <v>62</v>
      </c>
      <c r="V197">
        <v>100</v>
      </c>
      <c r="CF197">
        <v>92</v>
      </c>
      <c r="CG197">
        <f t="shared" si="62"/>
        <v>0.82799999999999996</v>
      </c>
      <c r="CI197">
        <v>92</v>
      </c>
      <c r="CK197">
        <f t="shared" si="63"/>
        <v>0.27600000000000002</v>
      </c>
      <c r="CL197">
        <f t="shared" si="64"/>
        <v>0.48899999999999999</v>
      </c>
      <c r="CM197">
        <f t="shared" si="61"/>
        <v>0.20979999999999999</v>
      </c>
      <c r="CN197">
        <f t="shared" si="65"/>
        <v>0.76500000000000001</v>
      </c>
      <c r="CO197">
        <f t="shared" si="65"/>
        <v>0.69879999999999998</v>
      </c>
      <c r="CQ197">
        <v>0.21</v>
      </c>
      <c r="CR197">
        <v>0.5</v>
      </c>
      <c r="CS197">
        <v>0.28000000000000003</v>
      </c>
      <c r="CT197">
        <f t="shared" si="66"/>
        <v>0.71</v>
      </c>
      <c r="CU197">
        <f t="shared" si="67"/>
        <v>0.78</v>
      </c>
    </row>
    <row r="198" spans="1:99" x14ac:dyDescent="0.25">
      <c r="CF198">
        <v>93</v>
      </c>
      <c r="CG198">
        <f t="shared" si="62"/>
        <v>0.83699999999999997</v>
      </c>
      <c r="CI198">
        <v>93</v>
      </c>
      <c r="CK198">
        <f t="shared" si="63"/>
        <v>0.27900000000000003</v>
      </c>
      <c r="CL198">
        <f t="shared" si="64"/>
        <v>0.48510000000000003</v>
      </c>
      <c r="CM198">
        <f t="shared" si="61"/>
        <v>0.21</v>
      </c>
      <c r="CN198">
        <f t="shared" si="65"/>
        <v>0.7641</v>
      </c>
      <c r="CO198">
        <f t="shared" si="65"/>
        <v>0.69510000000000005</v>
      </c>
      <c r="CQ198">
        <v>0.21</v>
      </c>
      <c r="CR198">
        <v>0.5</v>
      </c>
      <c r="CS198">
        <v>0.28000000000000003</v>
      </c>
      <c r="CT198">
        <f t="shared" si="66"/>
        <v>0.71</v>
      </c>
      <c r="CU198">
        <f t="shared" si="67"/>
        <v>0.78</v>
      </c>
    </row>
    <row r="199" spans="1:99" x14ac:dyDescent="0.25">
      <c r="V199">
        <f>(20*100)/62</f>
        <v>32.258064516129032</v>
      </c>
      <c r="CF199">
        <v>94</v>
      </c>
      <c r="CG199">
        <f t="shared" si="62"/>
        <v>0.84599999999999997</v>
      </c>
      <c r="CI199">
        <v>94</v>
      </c>
      <c r="CK199">
        <f t="shared" si="63"/>
        <v>0.28200000000000003</v>
      </c>
      <c r="CL199">
        <f t="shared" si="64"/>
        <v>0.48120000000000002</v>
      </c>
      <c r="CM199">
        <f t="shared" si="61"/>
        <v>0.2102</v>
      </c>
      <c r="CN199">
        <f t="shared" si="65"/>
        <v>0.7632000000000001</v>
      </c>
      <c r="CO199">
        <f t="shared" si="65"/>
        <v>0.69140000000000001</v>
      </c>
      <c r="CQ199">
        <v>0.21</v>
      </c>
      <c r="CR199">
        <v>0.5</v>
      </c>
      <c r="CS199">
        <v>0.28000000000000003</v>
      </c>
      <c r="CT199">
        <f t="shared" si="66"/>
        <v>0.71</v>
      </c>
      <c r="CU199">
        <f t="shared" si="67"/>
        <v>0.78</v>
      </c>
    </row>
    <row r="200" spans="1:99" x14ac:dyDescent="0.25">
      <c r="CF200">
        <v>95</v>
      </c>
      <c r="CG200">
        <f t="shared" si="62"/>
        <v>0.85499999999999998</v>
      </c>
      <c r="CI200">
        <v>95</v>
      </c>
      <c r="CK200">
        <f t="shared" si="63"/>
        <v>0.28500000000000003</v>
      </c>
      <c r="CL200">
        <f t="shared" si="64"/>
        <v>0.4773</v>
      </c>
      <c r="CM200">
        <f t="shared" si="61"/>
        <v>0.21039999999999998</v>
      </c>
      <c r="CN200">
        <f t="shared" si="65"/>
        <v>0.76229999999999998</v>
      </c>
      <c r="CO200">
        <f t="shared" si="65"/>
        <v>0.68769999999999998</v>
      </c>
      <c r="CQ200">
        <v>0.21</v>
      </c>
      <c r="CR200">
        <v>0.5</v>
      </c>
      <c r="CS200">
        <v>0.28000000000000003</v>
      </c>
      <c r="CT200">
        <f t="shared" si="66"/>
        <v>0.71</v>
      </c>
      <c r="CU200">
        <f t="shared" si="67"/>
        <v>0.78</v>
      </c>
    </row>
    <row r="201" spans="1:99" x14ac:dyDescent="0.25">
      <c r="CF201">
        <v>96</v>
      </c>
      <c r="CG201">
        <f t="shared" si="62"/>
        <v>0.86399999999999988</v>
      </c>
      <c r="CI201">
        <v>96</v>
      </c>
      <c r="CK201">
        <f t="shared" si="63"/>
        <v>0.28800000000000003</v>
      </c>
      <c r="CL201">
        <f t="shared" si="64"/>
        <v>0.47340000000000004</v>
      </c>
      <c r="CM201">
        <f t="shared" ref="CM201:CM232" si="92">(0.0002*CI201)+0.1914</f>
        <v>0.21059999999999998</v>
      </c>
      <c r="CN201">
        <f t="shared" si="65"/>
        <v>0.76140000000000008</v>
      </c>
      <c r="CO201">
        <f t="shared" si="65"/>
        <v>0.68400000000000005</v>
      </c>
      <c r="CQ201">
        <v>0.21</v>
      </c>
      <c r="CR201">
        <v>0.5</v>
      </c>
      <c r="CS201">
        <v>0.28000000000000003</v>
      </c>
      <c r="CT201">
        <f t="shared" si="66"/>
        <v>0.71</v>
      </c>
      <c r="CU201">
        <f t="shared" si="67"/>
        <v>0.78</v>
      </c>
    </row>
    <row r="202" spans="1:99" x14ac:dyDescent="0.25">
      <c r="CF202">
        <v>97</v>
      </c>
      <c r="CG202">
        <f t="shared" ref="CG202:CG216" si="93">CF202*0.009</f>
        <v>0.87299999999999989</v>
      </c>
      <c r="CI202">
        <v>97</v>
      </c>
      <c r="CK202">
        <f t="shared" si="63"/>
        <v>0.29099999999999998</v>
      </c>
      <c r="CL202">
        <f t="shared" si="64"/>
        <v>0.46950000000000003</v>
      </c>
      <c r="CM202">
        <f t="shared" si="92"/>
        <v>0.21079999999999999</v>
      </c>
      <c r="CN202">
        <f t="shared" si="65"/>
        <v>0.76049999999999995</v>
      </c>
      <c r="CO202">
        <f t="shared" si="65"/>
        <v>0.68030000000000002</v>
      </c>
      <c r="CQ202">
        <v>0.21</v>
      </c>
      <c r="CR202">
        <v>0.5</v>
      </c>
      <c r="CS202">
        <v>0.28000000000000003</v>
      </c>
      <c r="CT202">
        <f t="shared" si="66"/>
        <v>0.71</v>
      </c>
      <c r="CU202">
        <f t="shared" si="67"/>
        <v>0.78</v>
      </c>
    </row>
    <row r="203" spans="1:99" x14ac:dyDescent="0.25">
      <c r="CF203">
        <v>98</v>
      </c>
      <c r="CG203">
        <f t="shared" si="93"/>
        <v>0.8819999999999999</v>
      </c>
      <c r="CI203">
        <v>98</v>
      </c>
      <c r="CK203">
        <f t="shared" si="63"/>
        <v>0.29399999999999998</v>
      </c>
      <c r="CL203">
        <f t="shared" si="64"/>
        <v>0.46560000000000001</v>
      </c>
      <c r="CM203">
        <f t="shared" si="92"/>
        <v>0.21099999999999999</v>
      </c>
      <c r="CN203">
        <f t="shared" si="65"/>
        <v>0.75960000000000005</v>
      </c>
      <c r="CO203">
        <f t="shared" si="65"/>
        <v>0.67659999999999998</v>
      </c>
      <c r="CQ203">
        <v>0.21</v>
      </c>
      <c r="CR203">
        <v>0.5</v>
      </c>
      <c r="CS203">
        <v>0.28000000000000003</v>
      </c>
      <c r="CT203">
        <f t="shared" si="66"/>
        <v>0.71</v>
      </c>
      <c r="CU203">
        <f t="shared" si="67"/>
        <v>0.78</v>
      </c>
    </row>
    <row r="204" spans="1:99" x14ac:dyDescent="0.25">
      <c r="CF204">
        <v>99</v>
      </c>
      <c r="CG204">
        <f t="shared" si="93"/>
        <v>0.8909999999999999</v>
      </c>
      <c r="CI204">
        <v>99</v>
      </c>
      <c r="CK204">
        <f t="shared" si="63"/>
        <v>0.29699999999999999</v>
      </c>
      <c r="CL204">
        <f t="shared" si="64"/>
        <v>0.4617</v>
      </c>
      <c r="CM204">
        <f t="shared" si="92"/>
        <v>0.2112</v>
      </c>
      <c r="CN204">
        <f t="shared" si="65"/>
        <v>0.75869999999999993</v>
      </c>
      <c r="CO204">
        <f t="shared" si="65"/>
        <v>0.67290000000000005</v>
      </c>
      <c r="CQ204">
        <v>0.21</v>
      </c>
      <c r="CR204">
        <v>0.5</v>
      </c>
      <c r="CS204">
        <v>0.28000000000000003</v>
      </c>
      <c r="CT204">
        <f t="shared" si="66"/>
        <v>0.71</v>
      </c>
      <c r="CU204">
        <f t="shared" si="67"/>
        <v>0.78</v>
      </c>
    </row>
    <row r="205" spans="1:99" x14ac:dyDescent="0.25">
      <c r="CF205">
        <v>100</v>
      </c>
      <c r="CG205">
        <f t="shared" si="93"/>
        <v>0.89999999999999991</v>
      </c>
      <c r="CI205">
        <v>100</v>
      </c>
      <c r="CK205">
        <f t="shared" si="63"/>
        <v>0.3</v>
      </c>
      <c r="CL205">
        <f t="shared" si="64"/>
        <v>0.45780000000000004</v>
      </c>
      <c r="CM205">
        <f t="shared" si="92"/>
        <v>0.21139999999999998</v>
      </c>
      <c r="CN205">
        <f t="shared" si="65"/>
        <v>0.75780000000000003</v>
      </c>
      <c r="CO205">
        <f t="shared" si="65"/>
        <v>0.66920000000000002</v>
      </c>
      <c r="CQ205">
        <v>0.21</v>
      </c>
      <c r="CR205">
        <v>0.5</v>
      </c>
      <c r="CS205">
        <v>0.28000000000000003</v>
      </c>
      <c r="CT205">
        <f t="shared" si="66"/>
        <v>0.71</v>
      </c>
      <c r="CU205">
        <f t="shared" si="67"/>
        <v>0.78</v>
      </c>
    </row>
    <row r="206" spans="1:99" x14ac:dyDescent="0.25">
      <c r="CF206">
        <v>101</v>
      </c>
      <c r="CG206">
        <f t="shared" si="93"/>
        <v>0.90899999999999992</v>
      </c>
      <c r="CI206">
        <v>101</v>
      </c>
      <c r="CK206">
        <f t="shared" si="63"/>
        <v>0.30299999999999999</v>
      </c>
      <c r="CL206">
        <f t="shared" si="64"/>
        <v>0.45390000000000003</v>
      </c>
      <c r="CM206">
        <f t="shared" si="92"/>
        <v>0.21159999999999998</v>
      </c>
      <c r="CN206">
        <f t="shared" si="65"/>
        <v>0.75690000000000002</v>
      </c>
      <c r="CO206">
        <f t="shared" si="65"/>
        <v>0.66549999999999998</v>
      </c>
      <c r="CQ206">
        <v>0.21</v>
      </c>
      <c r="CR206">
        <v>0.5</v>
      </c>
      <c r="CS206">
        <v>0.28000000000000003</v>
      </c>
      <c r="CT206">
        <f t="shared" si="66"/>
        <v>0.71</v>
      </c>
      <c r="CU206">
        <f t="shared" si="67"/>
        <v>0.78</v>
      </c>
    </row>
    <row r="207" spans="1:99" x14ac:dyDescent="0.25">
      <c r="CF207">
        <v>102</v>
      </c>
      <c r="CG207">
        <f t="shared" si="93"/>
        <v>0.91799999999999993</v>
      </c>
      <c r="CI207">
        <v>102</v>
      </c>
      <c r="CK207">
        <f t="shared" si="63"/>
        <v>0.30599999999999999</v>
      </c>
      <c r="CL207">
        <f t="shared" si="64"/>
        <v>0.45</v>
      </c>
      <c r="CM207">
        <f t="shared" si="92"/>
        <v>0.21179999999999999</v>
      </c>
      <c r="CN207">
        <f t="shared" si="65"/>
        <v>0.75600000000000001</v>
      </c>
      <c r="CO207">
        <f t="shared" si="65"/>
        <v>0.66179999999999994</v>
      </c>
      <c r="CQ207">
        <v>0.21</v>
      </c>
      <c r="CR207">
        <v>0.5</v>
      </c>
      <c r="CS207">
        <v>0.28000000000000003</v>
      </c>
      <c r="CT207">
        <f t="shared" si="66"/>
        <v>0.71</v>
      </c>
      <c r="CU207">
        <f t="shared" si="67"/>
        <v>0.78</v>
      </c>
    </row>
    <row r="208" spans="1:99" x14ac:dyDescent="0.25">
      <c r="CF208">
        <v>103</v>
      </c>
      <c r="CG208">
        <f t="shared" si="93"/>
        <v>0.92699999999999994</v>
      </c>
      <c r="CI208">
        <v>103</v>
      </c>
      <c r="CK208">
        <f t="shared" si="63"/>
        <v>0.309</v>
      </c>
      <c r="CL208">
        <f t="shared" si="64"/>
        <v>0.4461</v>
      </c>
      <c r="CM208">
        <f t="shared" si="92"/>
        <v>0.21199999999999999</v>
      </c>
      <c r="CN208">
        <f t="shared" si="65"/>
        <v>0.75509999999999999</v>
      </c>
      <c r="CO208">
        <f t="shared" si="65"/>
        <v>0.65810000000000002</v>
      </c>
      <c r="CQ208">
        <v>0.21</v>
      </c>
      <c r="CR208">
        <v>0.5</v>
      </c>
      <c r="CS208">
        <v>0.28000000000000003</v>
      </c>
      <c r="CT208">
        <f t="shared" si="66"/>
        <v>0.71</v>
      </c>
      <c r="CU208">
        <f t="shared" si="67"/>
        <v>0.78</v>
      </c>
    </row>
    <row r="209" spans="84:99" x14ac:dyDescent="0.25">
      <c r="CF209">
        <v>104</v>
      </c>
      <c r="CG209">
        <f t="shared" si="93"/>
        <v>0.93599999999999994</v>
      </c>
      <c r="CI209">
        <v>104</v>
      </c>
      <c r="CK209">
        <f t="shared" si="63"/>
        <v>0.312</v>
      </c>
      <c r="CL209">
        <f t="shared" si="64"/>
        <v>0.44220000000000004</v>
      </c>
      <c r="CM209">
        <f t="shared" si="92"/>
        <v>0.2122</v>
      </c>
      <c r="CN209">
        <f t="shared" si="65"/>
        <v>0.75419999999999998</v>
      </c>
      <c r="CO209">
        <f t="shared" si="65"/>
        <v>0.65440000000000009</v>
      </c>
      <c r="CQ209">
        <v>0.21</v>
      </c>
      <c r="CR209">
        <v>0.5</v>
      </c>
      <c r="CS209">
        <v>0.28000000000000003</v>
      </c>
      <c r="CT209">
        <f t="shared" si="66"/>
        <v>0.71</v>
      </c>
      <c r="CU209">
        <f t="shared" si="67"/>
        <v>0.78</v>
      </c>
    </row>
    <row r="210" spans="84:99" x14ac:dyDescent="0.25">
      <c r="CF210">
        <v>105</v>
      </c>
      <c r="CG210">
        <f t="shared" si="93"/>
        <v>0.94499999999999995</v>
      </c>
      <c r="CI210">
        <v>105</v>
      </c>
      <c r="CK210">
        <f t="shared" si="63"/>
        <v>0.315</v>
      </c>
      <c r="CL210">
        <f t="shared" si="64"/>
        <v>0.43830000000000002</v>
      </c>
      <c r="CM210">
        <f t="shared" si="92"/>
        <v>0.21239999999999998</v>
      </c>
      <c r="CN210">
        <f t="shared" si="65"/>
        <v>0.75330000000000008</v>
      </c>
      <c r="CO210">
        <f t="shared" si="65"/>
        <v>0.65070000000000006</v>
      </c>
      <c r="CQ210">
        <v>0.21</v>
      </c>
      <c r="CR210">
        <v>0.5</v>
      </c>
      <c r="CS210">
        <v>0.28000000000000003</v>
      </c>
      <c r="CT210">
        <f t="shared" si="66"/>
        <v>0.71</v>
      </c>
      <c r="CU210">
        <f t="shared" si="67"/>
        <v>0.78</v>
      </c>
    </row>
    <row r="211" spans="84:99" x14ac:dyDescent="0.25">
      <c r="CF211">
        <v>106</v>
      </c>
      <c r="CG211">
        <f t="shared" si="93"/>
        <v>0.95399999999999996</v>
      </c>
      <c r="CI211">
        <v>106</v>
      </c>
      <c r="CK211">
        <f t="shared" si="63"/>
        <v>0.318</v>
      </c>
      <c r="CL211">
        <f t="shared" si="64"/>
        <v>0.43440000000000001</v>
      </c>
      <c r="CM211">
        <f t="shared" si="92"/>
        <v>0.21259999999999998</v>
      </c>
      <c r="CN211">
        <f t="shared" si="65"/>
        <v>0.75239999999999996</v>
      </c>
      <c r="CO211">
        <f t="shared" si="65"/>
        <v>0.64700000000000002</v>
      </c>
      <c r="CQ211">
        <v>0.21</v>
      </c>
      <c r="CR211">
        <v>0.5</v>
      </c>
      <c r="CS211">
        <v>0.28000000000000003</v>
      </c>
      <c r="CT211">
        <f t="shared" si="66"/>
        <v>0.71</v>
      </c>
      <c r="CU211">
        <f t="shared" si="67"/>
        <v>0.78</v>
      </c>
    </row>
    <row r="212" spans="84:99" x14ac:dyDescent="0.25">
      <c r="CF212">
        <v>107</v>
      </c>
      <c r="CG212">
        <f t="shared" si="93"/>
        <v>0.96299999999999997</v>
      </c>
      <c r="CI212">
        <v>107</v>
      </c>
      <c r="CK212">
        <f t="shared" si="63"/>
        <v>0.32100000000000001</v>
      </c>
      <c r="CL212">
        <f t="shared" si="64"/>
        <v>0.43049999999999999</v>
      </c>
      <c r="CM212">
        <f t="shared" si="92"/>
        <v>0.21279999999999999</v>
      </c>
      <c r="CN212">
        <f t="shared" si="65"/>
        <v>0.75150000000000006</v>
      </c>
      <c r="CO212">
        <f t="shared" si="65"/>
        <v>0.64329999999999998</v>
      </c>
      <c r="CQ212">
        <v>0.21</v>
      </c>
      <c r="CR212">
        <v>0.5</v>
      </c>
      <c r="CS212">
        <v>0.28000000000000003</v>
      </c>
      <c r="CT212">
        <f t="shared" si="66"/>
        <v>0.71</v>
      </c>
      <c r="CU212">
        <f t="shared" si="67"/>
        <v>0.78</v>
      </c>
    </row>
    <row r="213" spans="84:99" x14ac:dyDescent="0.25">
      <c r="CF213">
        <v>108</v>
      </c>
      <c r="CG213">
        <f t="shared" si="93"/>
        <v>0.97199999999999998</v>
      </c>
      <c r="CI213">
        <v>108</v>
      </c>
      <c r="CK213">
        <f t="shared" si="63"/>
        <v>0.32400000000000001</v>
      </c>
      <c r="CL213">
        <f t="shared" si="64"/>
        <v>0.42660000000000003</v>
      </c>
      <c r="CM213">
        <f t="shared" si="92"/>
        <v>0.21299999999999999</v>
      </c>
      <c r="CN213">
        <f t="shared" si="65"/>
        <v>0.75060000000000004</v>
      </c>
      <c r="CO213">
        <f t="shared" si="65"/>
        <v>0.63960000000000006</v>
      </c>
      <c r="CQ213">
        <v>0.21</v>
      </c>
      <c r="CR213">
        <v>0.5</v>
      </c>
      <c r="CS213">
        <v>0.28000000000000003</v>
      </c>
      <c r="CT213">
        <f t="shared" si="66"/>
        <v>0.71</v>
      </c>
      <c r="CU213">
        <f t="shared" si="67"/>
        <v>0.78</v>
      </c>
    </row>
    <row r="214" spans="84:99" x14ac:dyDescent="0.25">
      <c r="CF214">
        <v>109</v>
      </c>
      <c r="CG214">
        <f t="shared" si="93"/>
        <v>0.98099999999999987</v>
      </c>
      <c r="CI214">
        <v>109</v>
      </c>
      <c r="CK214">
        <f t="shared" si="63"/>
        <v>0.32700000000000001</v>
      </c>
      <c r="CL214">
        <f t="shared" si="64"/>
        <v>0.42270000000000002</v>
      </c>
      <c r="CM214">
        <f t="shared" si="92"/>
        <v>0.2132</v>
      </c>
      <c r="CN214">
        <f t="shared" si="65"/>
        <v>0.74970000000000003</v>
      </c>
      <c r="CO214">
        <f t="shared" si="65"/>
        <v>0.63590000000000002</v>
      </c>
      <c r="CQ214">
        <v>0.21</v>
      </c>
      <c r="CR214">
        <v>0.5</v>
      </c>
      <c r="CS214">
        <v>0.28000000000000003</v>
      </c>
      <c r="CT214">
        <f t="shared" si="66"/>
        <v>0.71</v>
      </c>
      <c r="CU214">
        <f t="shared" si="67"/>
        <v>0.78</v>
      </c>
    </row>
    <row r="215" spans="84:99" x14ac:dyDescent="0.25">
      <c r="CF215">
        <v>110</v>
      </c>
      <c r="CG215">
        <f t="shared" si="93"/>
        <v>0.98999999999999988</v>
      </c>
      <c r="CI215">
        <v>110</v>
      </c>
      <c r="CK215">
        <f t="shared" si="63"/>
        <v>0.33</v>
      </c>
      <c r="CL215">
        <f t="shared" si="64"/>
        <v>0.41880000000000001</v>
      </c>
      <c r="CM215">
        <f t="shared" si="92"/>
        <v>0.21339999999999998</v>
      </c>
      <c r="CN215">
        <f t="shared" si="65"/>
        <v>0.74880000000000002</v>
      </c>
      <c r="CO215">
        <f t="shared" si="65"/>
        <v>0.63219999999999998</v>
      </c>
      <c r="CQ215">
        <v>0.21</v>
      </c>
      <c r="CR215">
        <v>0.5</v>
      </c>
      <c r="CS215">
        <v>0.28000000000000003</v>
      </c>
      <c r="CT215">
        <f t="shared" si="66"/>
        <v>0.71</v>
      </c>
      <c r="CU215">
        <f t="shared" si="67"/>
        <v>0.78</v>
      </c>
    </row>
    <row r="216" spans="84:99" x14ac:dyDescent="0.25">
      <c r="CF216">
        <v>111</v>
      </c>
      <c r="CG216">
        <f t="shared" si="93"/>
        <v>0.99899999999999989</v>
      </c>
      <c r="CI216">
        <v>111</v>
      </c>
      <c r="CK216">
        <f t="shared" si="63"/>
        <v>0.33300000000000002</v>
      </c>
      <c r="CL216">
        <f t="shared" si="64"/>
        <v>0.41489999999999999</v>
      </c>
      <c r="CM216">
        <f t="shared" si="92"/>
        <v>0.21359999999999998</v>
      </c>
      <c r="CN216">
        <f t="shared" si="65"/>
        <v>0.74790000000000001</v>
      </c>
      <c r="CO216">
        <f t="shared" si="65"/>
        <v>0.62849999999999995</v>
      </c>
      <c r="CQ216">
        <v>0.21</v>
      </c>
      <c r="CR216">
        <v>0.5</v>
      </c>
      <c r="CS216">
        <v>0.28000000000000003</v>
      </c>
      <c r="CT216">
        <f t="shared" si="66"/>
        <v>0.71</v>
      </c>
      <c r="CU216">
        <f t="shared" si="67"/>
        <v>0.78</v>
      </c>
    </row>
    <row r="217" spans="84:99" x14ac:dyDescent="0.25">
      <c r="CF217">
        <v>112</v>
      </c>
      <c r="CG217">
        <v>1</v>
      </c>
      <c r="CI217">
        <v>112</v>
      </c>
      <c r="CK217">
        <f t="shared" si="63"/>
        <v>0.33600000000000002</v>
      </c>
      <c r="CL217">
        <f t="shared" si="64"/>
        <v>0.41100000000000003</v>
      </c>
      <c r="CM217">
        <f t="shared" si="92"/>
        <v>0.21379999999999999</v>
      </c>
      <c r="CN217">
        <f t="shared" si="65"/>
        <v>0.74700000000000011</v>
      </c>
      <c r="CO217">
        <f t="shared" si="65"/>
        <v>0.62480000000000002</v>
      </c>
      <c r="CQ217">
        <v>0.21</v>
      </c>
      <c r="CR217">
        <v>0.5</v>
      </c>
      <c r="CS217">
        <v>0.28000000000000003</v>
      </c>
      <c r="CT217">
        <f t="shared" si="66"/>
        <v>0.71</v>
      </c>
      <c r="CU217">
        <f t="shared" si="67"/>
        <v>0.78</v>
      </c>
    </row>
    <row r="218" spans="84:99" x14ac:dyDescent="0.25">
      <c r="CF218">
        <v>113</v>
      </c>
      <c r="CG218">
        <v>1</v>
      </c>
      <c r="CI218">
        <v>113</v>
      </c>
      <c r="CK218">
        <f t="shared" si="63"/>
        <v>0.33900000000000002</v>
      </c>
      <c r="CL218">
        <f t="shared" si="64"/>
        <v>0.40710000000000002</v>
      </c>
      <c r="CM218">
        <f t="shared" si="92"/>
        <v>0.214</v>
      </c>
      <c r="CN218">
        <f t="shared" si="65"/>
        <v>0.74609999999999999</v>
      </c>
      <c r="CO218">
        <f t="shared" si="65"/>
        <v>0.62109999999999999</v>
      </c>
      <c r="CQ218">
        <v>0.21</v>
      </c>
      <c r="CR218">
        <v>0.5</v>
      </c>
      <c r="CS218">
        <v>0.28000000000000003</v>
      </c>
      <c r="CT218">
        <f t="shared" si="66"/>
        <v>0.71</v>
      </c>
      <c r="CU218">
        <f t="shared" si="67"/>
        <v>0.78</v>
      </c>
    </row>
    <row r="219" spans="84:99" x14ac:dyDescent="0.25">
      <c r="CF219">
        <v>114</v>
      </c>
      <c r="CG219">
        <v>1</v>
      </c>
      <c r="CI219">
        <v>114</v>
      </c>
      <c r="CK219">
        <f t="shared" si="63"/>
        <v>0.34200000000000003</v>
      </c>
      <c r="CL219">
        <f t="shared" si="64"/>
        <v>0.4032</v>
      </c>
      <c r="CM219">
        <f t="shared" si="92"/>
        <v>0.2142</v>
      </c>
      <c r="CN219">
        <f t="shared" si="65"/>
        <v>0.74520000000000008</v>
      </c>
      <c r="CO219">
        <f t="shared" si="65"/>
        <v>0.61739999999999995</v>
      </c>
      <c r="CQ219">
        <v>0.21</v>
      </c>
      <c r="CR219">
        <v>0.5</v>
      </c>
      <c r="CS219">
        <v>0.28000000000000003</v>
      </c>
      <c r="CT219">
        <f t="shared" si="66"/>
        <v>0.71</v>
      </c>
      <c r="CU219">
        <f t="shared" si="67"/>
        <v>0.78</v>
      </c>
    </row>
    <row r="220" spans="84:99" x14ac:dyDescent="0.25">
      <c r="CF220">
        <v>115</v>
      </c>
      <c r="CG220">
        <v>1</v>
      </c>
      <c r="CI220">
        <v>115</v>
      </c>
      <c r="CK220">
        <f t="shared" si="63"/>
        <v>0.34500000000000003</v>
      </c>
      <c r="CL220">
        <f t="shared" si="64"/>
        <v>0.39930000000000004</v>
      </c>
      <c r="CM220">
        <f t="shared" si="92"/>
        <v>0.21439999999999998</v>
      </c>
      <c r="CN220">
        <f t="shared" si="65"/>
        <v>0.74430000000000007</v>
      </c>
      <c r="CO220">
        <f t="shared" si="65"/>
        <v>0.61370000000000002</v>
      </c>
      <c r="CQ220">
        <v>0.21</v>
      </c>
      <c r="CR220">
        <v>0.5</v>
      </c>
      <c r="CS220">
        <v>0.28000000000000003</v>
      </c>
      <c r="CT220">
        <f t="shared" si="66"/>
        <v>0.71</v>
      </c>
      <c r="CU220">
        <f t="shared" si="67"/>
        <v>0.78</v>
      </c>
    </row>
    <row r="221" spans="84:99" x14ac:dyDescent="0.25">
      <c r="CF221">
        <v>116</v>
      </c>
      <c r="CG221">
        <v>1</v>
      </c>
      <c r="CI221">
        <v>116</v>
      </c>
      <c r="CK221">
        <f t="shared" si="63"/>
        <v>0.34800000000000003</v>
      </c>
      <c r="CL221">
        <f t="shared" si="64"/>
        <v>0.39540000000000003</v>
      </c>
      <c r="CM221">
        <f t="shared" si="92"/>
        <v>0.21459999999999999</v>
      </c>
      <c r="CN221">
        <f t="shared" si="65"/>
        <v>0.74340000000000006</v>
      </c>
      <c r="CO221">
        <f t="shared" si="65"/>
        <v>0.61</v>
      </c>
      <c r="CQ221">
        <v>0.21</v>
      </c>
      <c r="CR221">
        <v>0.5</v>
      </c>
      <c r="CS221">
        <v>0.28000000000000003</v>
      </c>
      <c r="CT221">
        <f t="shared" si="66"/>
        <v>0.71</v>
      </c>
      <c r="CU221">
        <f t="shared" si="67"/>
        <v>0.78</v>
      </c>
    </row>
    <row r="222" spans="84:99" x14ac:dyDescent="0.25">
      <c r="CF222">
        <v>117</v>
      </c>
      <c r="CG222">
        <v>1</v>
      </c>
      <c r="CI222">
        <v>117</v>
      </c>
      <c r="CK222">
        <f t="shared" si="63"/>
        <v>0.35100000000000003</v>
      </c>
      <c r="CL222">
        <f t="shared" si="64"/>
        <v>0.39150000000000001</v>
      </c>
      <c r="CM222">
        <f t="shared" si="92"/>
        <v>0.21479999999999999</v>
      </c>
      <c r="CN222">
        <f t="shared" si="65"/>
        <v>0.74250000000000005</v>
      </c>
      <c r="CO222">
        <f t="shared" si="65"/>
        <v>0.60630000000000006</v>
      </c>
      <c r="CQ222">
        <v>0.21</v>
      </c>
      <c r="CR222">
        <v>0.5</v>
      </c>
      <c r="CS222">
        <v>0.28000000000000003</v>
      </c>
      <c r="CT222">
        <f t="shared" si="66"/>
        <v>0.71</v>
      </c>
      <c r="CU222">
        <f t="shared" si="67"/>
        <v>0.78</v>
      </c>
    </row>
    <row r="223" spans="84:99" x14ac:dyDescent="0.25">
      <c r="CF223">
        <v>118</v>
      </c>
      <c r="CG223">
        <v>1</v>
      </c>
      <c r="CI223">
        <v>118</v>
      </c>
      <c r="CK223">
        <f t="shared" si="63"/>
        <v>0.35399999999999998</v>
      </c>
      <c r="CL223">
        <f t="shared" si="64"/>
        <v>0.3876</v>
      </c>
      <c r="CM223">
        <f t="shared" si="92"/>
        <v>0.215</v>
      </c>
      <c r="CN223">
        <f t="shared" si="65"/>
        <v>0.74160000000000004</v>
      </c>
      <c r="CO223">
        <f t="shared" si="65"/>
        <v>0.60260000000000002</v>
      </c>
      <c r="CQ223">
        <v>0.21</v>
      </c>
      <c r="CR223">
        <v>0.5</v>
      </c>
      <c r="CS223">
        <v>0.28000000000000003</v>
      </c>
      <c r="CT223">
        <f t="shared" si="66"/>
        <v>0.71</v>
      </c>
      <c r="CU223">
        <f t="shared" si="67"/>
        <v>0.78</v>
      </c>
    </row>
    <row r="224" spans="84:99" x14ac:dyDescent="0.25">
      <c r="CF224">
        <v>119</v>
      </c>
      <c r="CG224">
        <v>1</v>
      </c>
      <c r="CI224">
        <v>119</v>
      </c>
      <c r="CK224">
        <f t="shared" si="63"/>
        <v>0.35699999999999998</v>
      </c>
      <c r="CL224">
        <f t="shared" si="64"/>
        <v>0.38370000000000004</v>
      </c>
      <c r="CM224">
        <f t="shared" si="92"/>
        <v>0.2152</v>
      </c>
      <c r="CN224">
        <f t="shared" si="65"/>
        <v>0.74070000000000003</v>
      </c>
      <c r="CO224">
        <f t="shared" si="65"/>
        <v>0.59889999999999999</v>
      </c>
      <c r="CQ224">
        <v>0.21</v>
      </c>
      <c r="CR224">
        <v>0.5</v>
      </c>
      <c r="CS224">
        <v>0.28000000000000003</v>
      </c>
      <c r="CT224">
        <f t="shared" si="66"/>
        <v>0.71</v>
      </c>
      <c r="CU224">
        <f t="shared" si="67"/>
        <v>0.78</v>
      </c>
    </row>
    <row r="225" spans="84:99" x14ac:dyDescent="0.25">
      <c r="CF225">
        <v>120</v>
      </c>
      <c r="CG225">
        <v>1</v>
      </c>
      <c r="CI225">
        <v>120</v>
      </c>
      <c r="CK225">
        <f t="shared" si="63"/>
        <v>0.36</v>
      </c>
      <c r="CL225">
        <f t="shared" si="64"/>
        <v>0.37980000000000003</v>
      </c>
      <c r="CM225">
        <f t="shared" si="92"/>
        <v>0.21539999999999998</v>
      </c>
      <c r="CN225">
        <f t="shared" si="65"/>
        <v>0.73980000000000001</v>
      </c>
      <c r="CO225">
        <f t="shared" si="65"/>
        <v>0.59519999999999995</v>
      </c>
      <c r="CQ225">
        <v>0.21</v>
      </c>
      <c r="CR225">
        <v>0.5</v>
      </c>
      <c r="CS225">
        <v>0.28000000000000003</v>
      </c>
      <c r="CT225">
        <f t="shared" si="66"/>
        <v>0.71</v>
      </c>
      <c r="CU225">
        <f t="shared" si="67"/>
        <v>0.78</v>
      </c>
    </row>
    <row r="226" spans="84:99" x14ac:dyDescent="0.25">
      <c r="CF226">
        <v>121</v>
      </c>
      <c r="CG226">
        <v>1</v>
      </c>
      <c r="CI226">
        <v>121</v>
      </c>
      <c r="CK226">
        <f t="shared" si="63"/>
        <v>0.36299999999999999</v>
      </c>
      <c r="CL226">
        <f t="shared" si="64"/>
        <v>0.37590000000000001</v>
      </c>
      <c r="CM226">
        <f t="shared" si="92"/>
        <v>0.21559999999999999</v>
      </c>
      <c r="CN226">
        <f t="shared" si="65"/>
        <v>0.7389</v>
      </c>
      <c r="CO226">
        <f t="shared" si="65"/>
        <v>0.59150000000000003</v>
      </c>
      <c r="CQ226">
        <v>0.21</v>
      </c>
      <c r="CR226">
        <v>0.5</v>
      </c>
      <c r="CS226">
        <v>0.28000000000000003</v>
      </c>
      <c r="CT226">
        <f t="shared" si="66"/>
        <v>0.71</v>
      </c>
      <c r="CU226">
        <f t="shared" si="67"/>
        <v>0.78</v>
      </c>
    </row>
    <row r="227" spans="84:99" x14ac:dyDescent="0.25">
      <c r="CF227">
        <v>122</v>
      </c>
      <c r="CG227">
        <v>1</v>
      </c>
      <c r="CI227">
        <v>122</v>
      </c>
      <c r="CK227">
        <f t="shared" si="63"/>
        <v>0.36599999999999999</v>
      </c>
      <c r="CL227">
        <f t="shared" si="64"/>
        <v>0.372</v>
      </c>
      <c r="CM227">
        <f t="shared" si="92"/>
        <v>0.21579999999999999</v>
      </c>
      <c r="CN227">
        <f t="shared" si="65"/>
        <v>0.73799999999999999</v>
      </c>
      <c r="CO227">
        <f t="shared" si="65"/>
        <v>0.58779999999999999</v>
      </c>
      <c r="CQ227">
        <v>0.21</v>
      </c>
      <c r="CR227">
        <v>0.5</v>
      </c>
      <c r="CS227">
        <v>0.28000000000000003</v>
      </c>
      <c r="CT227">
        <f t="shared" si="66"/>
        <v>0.71</v>
      </c>
      <c r="CU227">
        <f t="shared" si="67"/>
        <v>0.78</v>
      </c>
    </row>
    <row r="228" spans="84:99" x14ac:dyDescent="0.25">
      <c r="CF228">
        <v>123</v>
      </c>
      <c r="CG228">
        <v>1</v>
      </c>
      <c r="CI228">
        <v>123</v>
      </c>
      <c r="CK228">
        <f t="shared" si="63"/>
        <v>0.36899999999999999</v>
      </c>
      <c r="CL228">
        <f t="shared" si="64"/>
        <v>0.36810000000000004</v>
      </c>
      <c r="CM228">
        <f t="shared" si="92"/>
        <v>0.216</v>
      </c>
      <c r="CN228">
        <f t="shared" si="65"/>
        <v>0.73710000000000009</v>
      </c>
      <c r="CO228">
        <f t="shared" si="65"/>
        <v>0.58410000000000006</v>
      </c>
      <c r="CQ228">
        <v>0.21</v>
      </c>
      <c r="CR228">
        <v>0.5</v>
      </c>
      <c r="CS228">
        <v>0.28000000000000003</v>
      </c>
      <c r="CT228">
        <f t="shared" si="66"/>
        <v>0.71</v>
      </c>
      <c r="CU228">
        <f t="shared" si="67"/>
        <v>0.78</v>
      </c>
    </row>
    <row r="229" spans="84:99" x14ac:dyDescent="0.25">
      <c r="CF229">
        <v>124</v>
      </c>
      <c r="CI229">
        <v>124</v>
      </c>
      <c r="CK229">
        <f t="shared" si="63"/>
        <v>0.372</v>
      </c>
      <c r="CL229">
        <f t="shared" si="64"/>
        <v>0.36420000000000002</v>
      </c>
      <c r="CM229">
        <f t="shared" si="92"/>
        <v>0.2162</v>
      </c>
      <c r="CN229">
        <f t="shared" si="65"/>
        <v>0.73619999999999997</v>
      </c>
      <c r="CO229">
        <f t="shared" si="65"/>
        <v>0.58040000000000003</v>
      </c>
      <c r="CQ229">
        <v>0.21</v>
      </c>
      <c r="CR229">
        <v>0.5</v>
      </c>
      <c r="CS229">
        <v>0.28000000000000003</v>
      </c>
      <c r="CT229">
        <f t="shared" si="66"/>
        <v>0.71</v>
      </c>
      <c r="CU229">
        <f t="shared" si="67"/>
        <v>0.78</v>
      </c>
    </row>
    <row r="230" spans="84:99" x14ac:dyDescent="0.25">
      <c r="CF230">
        <v>125</v>
      </c>
      <c r="CI230">
        <v>125</v>
      </c>
      <c r="CK230">
        <f t="shared" si="63"/>
        <v>0.375</v>
      </c>
      <c r="CL230">
        <f t="shared" si="64"/>
        <v>0.36030000000000001</v>
      </c>
      <c r="CM230">
        <f t="shared" si="92"/>
        <v>0.21639999999999998</v>
      </c>
      <c r="CN230">
        <f t="shared" si="65"/>
        <v>0.73530000000000006</v>
      </c>
      <c r="CO230">
        <f t="shared" si="65"/>
        <v>0.57669999999999999</v>
      </c>
      <c r="CQ230">
        <v>0.21</v>
      </c>
      <c r="CR230">
        <v>0.5</v>
      </c>
      <c r="CS230">
        <v>0.28000000000000003</v>
      </c>
      <c r="CT230">
        <f t="shared" si="66"/>
        <v>0.71</v>
      </c>
      <c r="CU230">
        <f t="shared" si="67"/>
        <v>0.78</v>
      </c>
    </row>
    <row r="231" spans="84:99" x14ac:dyDescent="0.25">
      <c r="CF231">
        <v>126</v>
      </c>
      <c r="CI231">
        <v>126</v>
      </c>
      <c r="CK231">
        <f t="shared" si="63"/>
        <v>0.378</v>
      </c>
      <c r="CL231">
        <f t="shared" si="64"/>
        <v>0.35639999999999999</v>
      </c>
      <c r="CM231">
        <f t="shared" si="92"/>
        <v>0.21659999999999999</v>
      </c>
      <c r="CN231">
        <f t="shared" si="65"/>
        <v>0.73439999999999994</v>
      </c>
      <c r="CO231">
        <f t="shared" si="65"/>
        <v>0.57299999999999995</v>
      </c>
      <c r="CQ231">
        <v>0.21</v>
      </c>
      <c r="CR231">
        <v>0.5</v>
      </c>
      <c r="CS231">
        <v>0.28000000000000003</v>
      </c>
      <c r="CT231">
        <f t="shared" si="66"/>
        <v>0.71</v>
      </c>
      <c r="CU231">
        <f t="shared" si="67"/>
        <v>0.78</v>
      </c>
    </row>
    <row r="232" spans="84:99" x14ac:dyDescent="0.25">
      <c r="CF232">
        <v>127</v>
      </c>
      <c r="CI232">
        <v>127</v>
      </c>
      <c r="CK232">
        <f t="shared" si="63"/>
        <v>0.38100000000000001</v>
      </c>
      <c r="CL232">
        <f t="shared" si="64"/>
        <v>0.35250000000000004</v>
      </c>
      <c r="CM232">
        <f t="shared" si="92"/>
        <v>0.21679999999999999</v>
      </c>
      <c r="CN232">
        <f t="shared" si="65"/>
        <v>0.73350000000000004</v>
      </c>
      <c r="CO232">
        <f t="shared" si="65"/>
        <v>0.56930000000000003</v>
      </c>
      <c r="CQ232">
        <v>0.21</v>
      </c>
      <c r="CR232">
        <v>0.5</v>
      </c>
      <c r="CS232">
        <v>0.28000000000000003</v>
      </c>
      <c r="CT232">
        <f t="shared" si="66"/>
        <v>0.71</v>
      </c>
      <c r="CU232">
        <f t="shared" si="67"/>
        <v>0.78</v>
      </c>
    </row>
    <row r="233" spans="84:99" x14ac:dyDescent="0.25">
      <c r="CF233">
        <v>128</v>
      </c>
      <c r="CI233">
        <v>128</v>
      </c>
      <c r="CK233">
        <f t="shared" si="63"/>
        <v>0.38400000000000001</v>
      </c>
      <c r="CL233">
        <f t="shared" si="64"/>
        <v>0.34860000000000002</v>
      </c>
      <c r="CM233">
        <f t="shared" ref="CM233:CM256" si="94">(0.0002*CI233)+0.1914</f>
        <v>0.217</v>
      </c>
      <c r="CN233">
        <f t="shared" si="65"/>
        <v>0.73260000000000003</v>
      </c>
      <c r="CO233">
        <f t="shared" si="65"/>
        <v>0.56559999999999999</v>
      </c>
      <c r="CQ233">
        <v>0.21</v>
      </c>
      <c r="CR233">
        <v>0.5</v>
      </c>
      <c r="CS233">
        <v>0.28000000000000003</v>
      </c>
      <c r="CT233">
        <f t="shared" si="66"/>
        <v>0.71</v>
      </c>
      <c r="CU233">
        <f t="shared" si="67"/>
        <v>0.78</v>
      </c>
    </row>
    <row r="234" spans="84:99" x14ac:dyDescent="0.25">
      <c r="CF234">
        <v>129</v>
      </c>
      <c r="CI234">
        <v>129</v>
      </c>
      <c r="CK234">
        <f t="shared" ref="CK234:CK256" si="95">((0.003)*CI234)</f>
        <v>0.38700000000000001</v>
      </c>
      <c r="CL234">
        <f t="shared" ref="CL234:CL256" si="96">((-0.0039)*CI234)+0.8478</f>
        <v>0.34470000000000001</v>
      </c>
      <c r="CM234">
        <f t="shared" si="94"/>
        <v>0.21719999999999998</v>
      </c>
      <c r="CN234">
        <f t="shared" ref="CN234:CO256" si="97">CK234+CL234</f>
        <v>0.73170000000000002</v>
      </c>
      <c r="CO234">
        <f t="shared" si="97"/>
        <v>0.56189999999999996</v>
      </c>
      <c r="CQ234">
        <v>0.21</v>
      </c>
      <c r="CR234">
        <v>0.5</v>
      </c>
      <c r="CS234">
        <v>0.28000000000000003</v>
      </c>
      <c r="CT234">
        <f t="shared" ref="CT234:CT256" si="98">CQ234+CR234</f>
        <v>0.71</v>
      </c>
      <c r="CU234">
        <f t="shared" ref="CU234:CU256" si="99">CR234+CS234</f>
        <v>0.78</v>
      </c>
    </row>
    <row r="235" spans="84:99" x14ac:dyDescent="0.25">
      <c r="CF235">
        <v>130</v>
      </c>
      <c r="CI235">
        <v>130</v>
      </c>
      <c r="CK235">
        <f t="shared" si="95"/>
        <v>0.39</v>
      </c>
      <c r="CL235">
        <f t="shared" si="96"/>
        <v>0.34079999999999999</v>
      </c>
      <c r="CM235">
        <f t="shared" si="94"/>
        <v>0.21739999999999998</v>
      </c>
      <c r="CN235">
        <f t="shared" si="97"/>
        <v>0.73080000000000001</v>
      </c>
      <c r="CO235">
        <f t="shared" si="97"/>
        <v>0.55820000000000003</v>
      </c>
      <c r="CQ235">
        <v>0.21</v>
      </c>
      <c r="CR235">
        <v>0.5</v>
      </c>
      <c r="CS235">
        <v>0.28000000000000003</v>
      </c>
      <c r="CT235">
        <f t="shared" si="98"/>
        <v>0.71</v>
      </c>
      <c r="CU235">
        <f t="shared" si="99"/>
        <v>0.78</v>
      </c>
    </row>
    <row r="236" spans="84:99" x14ac:dyDescent="0.25">
      <c r="CF236">
        <v>131</v>
      </c>
      <c r="CI236">
        <v>131</v>
      </c>
      <c r="CK236">
        <f t="shared" si="95"/>
        <v>0.39300000000000002</v>
      </c>
      <c r="CL236">
        <f t="shared" si="96"/>
        <v>0.33689999999999998</v>
      </c>
      <c r="CM236">
        <f t="shared" si="94"/>
        <v>0.21759999999999999</v>
      </c>
      <c r="CN236">
        <f t="shared" si="97"/>
        <v>0.72989999999999999</v>
      </c>
      <c r="CO236">
        <f t="shared" si="97"/>
        <v>0.55449999999999999</v>
      </c>
      <c r="CQ236">
        <v>0.21</v>
      </c>
      <c r="CR236">
        <v>0.5</v>
      </c>
      <c r="CS236">
        <v>0.28000000000000003</v>
      </c>
      <c r="CT236">
        <f t="shared" si="98"/>
        <v>0.71</v>
      </c>
      <c r="CU236">
        <f t="shared" si="99"/>
        <v>0.78</v>
      </c>
    </row>
    <row r="237" spans="84:99" x14ac:dyDescent="0.25">
      <c r="CF237">
        <v>132</v>
      </c>
      <c r="CI237">
        <v>132</v>
      </c>
      <c r="CK237">
        <f t="shared" si="95"/>
        <v>0.39600000000000002</v>
      </c>
      <c r="CL237">
        <f t="shared" si="96"/>
        <v>0.33300000000000007</v>
      </c>
      <c r="CM237">
        <f t="shared" si="94"/>
        <v>0.21779999999999999</v>
      </c>
      <c r="CN237">
        <f t="shared" si="97"/>
        <v>0.72900000000000009</v>
      </c>
      <c r="CO237">
        <f t="shared" si="97"/>
        <v>0.55080000000000007</v>
      </c>
      <c r="CQ237">
        <v>0.21</v>
      </c>
      <c r="CR237">
        <v>0.5</v>
      </c>
      <c r="CS237">
        <v>0.28000000000000003</v>
      </c>
      <c r="CT237">
        <f t="shared" si="98"/>
        <v>0.71</v>
      </c>
      <c r="CU237">
        <f t="shared" si="99"/>
        <v>0.78</v>
      </c>
    </row>
    <row r="238" spans="84:99" x14ac:dyDescent="0.25">
      <c r="CF238">
        <v>133</v>
      </c>
      <c r="CI238">
        <v>133</v>
      </c>
      <c r="CK238">
        <f t="shared" si="95"/>
        <v>0.39900000000000002</v>
      </c>
      <c r="CL238">
        <f t="shared" si="96"/>
        <v>0.32910000000000006</v>
      </c>
      <c r="CM238">
        <f t="shared" si="94"/>
        <v>0.218</v>
      </c>
      <c r="CN238">
        <f t="shared" si="97"/>
        <v>0.72810000000000008</v>
      </c>
      <c r="CO238">
        <f t="shared" si="97"/>
        <v>0.54710000000000003</v>
      </c>
      <c r="CQ238">
        <v>0.21</v>
      </c>
      <c r="CR238">
        <v>0.5</v>
      </c>
      <c r="CS238">
        <v>0.28000000000000003</v>
      </c>
      <c r="CT238">
        <f t="shared" si="98"/>
        <v>0.71</v>
      </c>
      <c r="CU238">
        <f t="shared" si="99"/>
        <v>0.78</v>
      </c>
    </row>
    <row r="239" spans="84:99" x14ac:dyDescent="0.25">
      <c r="CF239">
        <v>134</v>
      </c>
      <c r="CI239">
        <v>134</v>
      </c>
      <c r="CK239">
        <f t="shared" si="95"/>
        <v>0.40200000000000002</v>
      </c>
      <c r="CL239">
        <f t="shared" si="96"/>
        <v>0.32520000000000004</v>
      </c>
      <c r="CM239">
        <f t="shared" si="94"/>
        <v>0.21819999999999998</v>
      </c>
      <c r="CN239">
        <f t="shared" si="97"/>
        <v>0.72720000000000007</v>
      </c>
      <c r="CO239">
        <f t="shared" si="97"/>
        <v>0.54339999999999999</v>
      </c>
      <c r="CQ239">
        <v>0.21</v>
      </c>
      <c r="CR239">
        <v>0.5</v>
      </c>
      <c r="CS239">
        <v>0.28000000000000003</v>
      </c>
      <c r="CT239">
        <f t="shared" si="98"/>
        <v>0.71</v>
      </c>
      <c r="CU239">
        <f t="shared" si="99"/>
        <v>0.78</v>
      </c>
    </row>
    <row r="240" spans="84:99" x14ac:dyDescent="0.25">
      <c r="CF240">
        <v>135</v>
      </c>
      <c r="CI240">
        <v>135</v>
      </c>
      <c r="CK240">
        <f t="shared" si="95"/>
        <v>0.40500000000000003</v>
      </c>
      <c r="CL240">
        <f t="shared" si="96"/>
        <v>0.32130000000000003</v>
      </c>
      <c r="CM240">
        <f t="shared" si="94"/>
        <v>0.21839999999999998</v>
      </c>
      <c r="CN240">
        <f t="shared" si="97"/>
        <v>0.72630000000000006</v>
      </c>
      <c r="CO240">
        <f t="shared" si="97"/>
        <v>0.53970000000000007</v>
      </c>
      <c r="CQ240">
        <v>0.21</v>
      </c>
      <c r="CR240">
        <v>0.5</v>
      </c>
      <c r="CS240">
        <v>0.28000000000000003</v>
      </c>
      <c r="CT240">
        <f t="shared" si="98"/>
        <v>0.71</v>
      </c>
      <c r="CU240">
        <f t="shared" si="99"/>
        <v>0.78</v>
      </c>
    </row>
    <row r="241" spans="84:99" x14ac:dyDescent="0.25">
      <c r="CF241">
        <v>136</v>
      </c>
      <c r="CI241">
        <v>136</v>
      </c>
      <c r="CK241">
        <f t="shared" si="95"/>
        <v>0.40800000000000003</v>
      </c>
      <c r="CL241">
        <f t="shared" si="96"/>
        <v>0.31740000000000002</v>
      </c>
      <c r="CM241">
        <f t="shared" si="94"/>
        <v>0.21859999999999999</v>
      </c>
      <c r="CN241">
        <f t="shared" si="97"/>
        <v>0.72540000000000004</v>
      </c>
      <c r="CO241">
        <f t="shared" si="97"/>
        <v>0.53600000000000003</v>
      </c>
      <c r="CQ241">
        <v>0.21</v>
      </c>
      <c r="CR241">
        <v>0.5</v>
      </c>
      <c r="CS241">
        <v>0.28000000000000003</v>
      </c>
      <c r="CT241">
        <f t="shared" si="98"/>
        <v>0.71</v>
      </c>
      <c r="CU241">
        <f t="shared" si="99"/>
        <v>0.78</v>
      </c>
    </row>
    <row r="242" spans="84:99" x14ac:dyDescent="0.25">
      <c r="CF242">
        <v>137</v>
      </c>
      <c r="CI242">
        <v>137</v>
      </c>
      <c r="CK242">
        <f t="shared" si="95"/>
        <v>0.41100000000000003</v>
      </c>
      <c r="CL242">
        <f t="shared" si="96"/>
        <v>0.3135</v>
      </c>
      <c r="CM242">
        <f t="shared" si="94"/>
        <v>0.21879999999999999</v>
      </c>
      <c r="CN242">
        <f t="shared" si="97"/>
        <v>0.72450000000000003</v>
      </c>
      <c r="CO242">
        <f t="shared" si="97"/>
        <v>0.5323</v>
      </c>
      <c r="CQ242">
        <v>0.21</v>
      </c>
      <c r="CR242">
        <v>0.5</v>
      </c>
      <c r="CS242">
        <v>0.28000000000000003</v>
      </c>
      <c r="CT242">
        <f t="shared" si="98"/>
        <v>0.71</v>
      </c>
      <c r="CU242">
        <f t="shared" si="99"/>
        <v>0.78</v>
      </c>
    </row>
    <row r="243" spans="84:99" x14ac:dyDescent="0.25">
      <c r="CF243">
        <v>138</v>
      </c>
      <c r="CI243">
        <v>138</v>
      </c>
      <c r="CK243">
        <f t="shared" si="95"/>
        <v>0.41400000000000003</v>
      </c>
      <c r="CL243">
        <f t="shared" si="96"/>
        <v>0.30959999999999999</v>
      </c>
      <c r="CM243">
        <f t="shared" si="94"/>
        <v>0.219</v>
      </c>
      <c r="CN243">
        <f t="shared" si="97"/>
        <v>0.72360000000000002</v>
      </c>
      <c r="CO243">
        <f t="shared" si="97"/>
        <v>0.52859999999999996</v>
      </c>
      <c r="CQ243">
        <v>0.21</v>
      </c>
      <c r="CR243">
        <v>0.5</v>
      </c>
      <c r="CS243">
        <v>0.28000000000000003</v>
      </c>
      <c r="CT243">
        <f t="shared" si="98"/>
        <v>0.71</v>
      </c>
      <c r="CU243">
        <f t="shared" si="99"/>
        <v>0.78</v>
      </c>
    </row>
    <row r="244" spans="84:99" x14ac:dyDescent="0.25">
      <c r="CF244">
        <v>139</v>
      </c>
      <c r="CI244">
        <v>139</v>
      </c>
      <c r="CK244">
        <f t="shared" si="95"/>
        <v>0.41699999999999998</v>
      </c>
      <c r="CL244">
        <f t="shared" si="96"/>
        <v>0.30569999999999997</v>
      </c>
      <c r="CM244">
        <f t="shared" si="94"/>
        <v>0.21919999999999998</v>
      </c>
      <c r="CN244">
        <f t="shared" si="97"/>
        <v>0.7226999999999999</v>
      </c>
      <c r="CO244">
        <f t="shared" si="97"/>
        <v>0.52489999999999992</v>
      </c>
      <c r="CQ244">
        <v>0.21</v>
      </c>
      <c r="CR244">
        <v>0.5</v>
      </c>
      <c r="CS244">
        <v>0.28000000000000003</v>
      </c>
      <c r="CT244">
        <f t="shared" si="98"/>
        <v>0.71</v>
      </c>
      <c r="CU244">
        <f t="shared" si="99"/>
        <v>0.78</v>
      </c>
    </row>
    <row r="245" spans="84:99" x14ac:dyDescent="0.25">
      <c r="CF245">
        <v>140</v>
      </c>
      <c r="CI245">
        <v>140</v>
      </c>
      <c r="CK245">
        <f t="shared" si="95"/>
        <v>0.42</v>
      </c>
      <c r="CL245">
        <f t="shared" si="96"/>
        <v>0.30180000000000007</v>
      </c>
      <c r="CM245">
        <f t="shared" si="94"/>
        <v>0.21939999999999998</v>
      </c>
      <c r="CN245">
        <f t="shared" si="97"/>
        <v>0.7218</v>
      </c>
      <c r="CO245">
        <f t="shared" si="97"/>
        <v>0.52120000000000011</v>
      </c>
      <c r="CQ245">
        <v>0.21</v>
      </c>
      <c r="CR245">
        <v>0.5</v>
      </c>
      <c r="CS245">
        <v>0.28000000000000003</v>
      </c>
      <c r="CT245">
        <f t="shared" si="98"/>
        <v>0.71</v>
      </c>
      <c r="CU245">
        <f t="shared" si="99"/>
        <v>0.78</v>
      </c>
    </row>
    <row r="246" spans="84:99" x14ac:dyDescent="0.25">
      <c r="CF246">
        <v>141</v>
      </c>
      <c r="CI246">
        <v>141</v>
      </c>
      <c r="CK246">
        <f t="shared" si="95"/>
        <v>0.42299999999999999</v>
      </c>
      <c r="CL246">
        <f t="shared" si="96"/>
        <v>0.29790000000000005</v>
      </c>
      <c r="CM246">
        <f t="shared" si="94"/>
        <v>0.21959999999999999</v>
      </c>
      <c r="CN246">
        <f t="shared" si="97"/>
        <v>0.7209000000000001</v>
      </c>
      <c r="CO246">
        <f t="shared" si="97"/>
        <v>0.51750000000000007</v>
      </c>
      <c r="CQ246">
        <v>0.21</v>
      </c>
      <c r="CR246">
        <v>0.5</v>
      </c>
      <c r="CS246">
        <v>0.28000000000000003</v>
      </c>
      <c r="CT246">
        <f t="shared" si="98"/>
        <v>0.71</v>
      </c>
      <c r="CU246">
        <f t="shared" si="99"/>
        <v>0.78</v>
      </c>
    </row>
    <row r="247" spans="84:99" x14ac:dyDescent="0.25">
      <c r="CF247">
        <v>142</v>
      </c>
      <c r="CI247">
        <v>142</v>
      </c>
      <c r="CK247">
        <f t="shared" si="95"/>
        <v>0.42599999999999999</v>
      </c>
      <c r="CL247">
        <f t="shared" si="96"/>
        <v>0.29400000000000004</v>
      </c>
      <c r="CM247">
        <f t="shared" si="94"/>
        <v>0.2198</v>
      </c>
      <c r="CN247">
        <f t="shared" si="97"/>
        <v>0.72</v>
      </c>
      <c r="CO247">
        <f t="shared" si="97"/>
        <v>0.51380000000000003</v>
      </c>
      <c r="CQ247">
        <v>0.21</v>
      </c>
      <c r="CR247">
        <v>0.5</v>
      </c>
      <c r="CS247">
        <v>0.28000000000000003</v>
      </c>
      <c r="CT247">
        <f t="shared" si="98"/>
        <v>0.71</v>
      </c>
      <c r="CU247">
        <f t="shared" si="99"/>
        <v>0.78</v>
      </c>
    </row>
    <row r="248" spans="84:99" x14ac:dyDescent="0.25">
      <c r="CF248">
        <v>143</v>
      </c>
      <c r="CI248">
        <v>143</v>
      </c>
      <c r="CK248">
        <f t="shared" si="95"/>
        <v>0.42899999999999999</v>
      </c>
      <c r="CL248">
        <f t="shared" si="96"/>
        <v>0.29010000000000002</v>
      </c>
      <c r="CM248">
        <f t="shared" si="94"/>
        <v>0.21999999999999997</v>
      </c>
      <c r="CN248">
        <f t="shared" si="97"/>
        <v>0.71910000000000007</v>
      </c>
      <c r="CO248">
        <f t="shared" si="97"/>
        <v>0.5101</v>
      </c>
      <c r="CQ248">
        <v>0.21</v>
      </c>
      <c r="CR248">
        <v>0.5</v>
      </c>
      <c r="CS248">
        <v>0.28000000000000003</v>
      </c>
      <c r="CT248">
        <f t="shared" si="98"/>
        <v>0.71</v>
      </c>
      <c r="CU248">
        <f t="shared" si="99"/>
        <v>0.78</v>
      </c>
    </row>
    <row r="249" spans="84:99" x14ac:dyDescent="0.25">
      <c r="CF249">
        <v>144</v>
      </c>
      <c r="CI249">
        <v>144</v>
      </c>
      <c r="CK249">
        <f t="shared" si="95"/>
        <v>0.432</v>
      </c>
      <c r="CL249">
        <f t="shared" si="96"/>
        <v>0.28620000000000001</v>
      </c>
      <c r="CM249">
        <f t="shared" si="94"/>
        <v>0.22019999999999998</v>
      </c>
      <c r="CN249">
        <f t="shared" si="97"/>
        <v>0.71819999999999995</v>
      </c>
      <c r="CO249">
        <f t="shared" si="97"/>
        <v>0.50639999999999996</v>
      </c>
      <c r="CQ249">
        <v>0.21</v>
      </c>
      <c r="CR249">
        <v>0.5</v>
      </c>
      <c r="CS249">
        <v>0.28000000000000003</v>
      </c>
      <c r="CT249">
        <f t="shared" si="98"/>
        <v>0.71</v>
      </c>
      <c r="CU249">
        <f t="shared" si="99"/>
        <v>0.78</v>
      </c>
    </row>
    <row r="250" spans="84:99" x14ac:dyDescent="0.25">
      <c r="CF250">
        <v>145</v>
      </c>
      <c r="CI250">
        <v>145</v>
      </c>
      <c r="CK250">
        <f t="shared" si="95"/>
        <v>0.435</v>
      </c>
      <c r="CL250">
        <f t="shared" si="96"/>
        <v>0.2823</v>
      </c>
      <c r="CM250">
        <f t="shared" si="94"/>
        <v>0.22039999999999998</v>
      </c>
      <c r="CN250">
        <f t="shared" si="97"/>
        <v>0.71730000000000005</v>
      </c>
      <c r="CO250">
        <f t="shared" si="97"/>
        <v>0.50269999999999992</v>
      </c>
      <c r="CQ250">
        <v>0.21</v>
      </c>
      <c r="CR250">
        <v>0.5</v>
      </c>
      <c r="CS250">
        <v>0.28000000000000003</v>
      </c>
      <c r="CT250">
        <f t="shared" si="98"/>
        <v>0.71</v>
      </c>
      <c r="CU250">
        <f t="shared" si="99"/>
        <v>0.78</v>
      </c>
    </row>
    <row r="251" spans="84:99" x14ac:dyDescent="0.25">
      <c r="CF251">
        <v>146</v>
      </c>
      <c r="CI251">
        <v>146</v>
      </c>
      <c r="CK251">
        <f t="shared" si="95"/>
        <v>0.438</v>
      </c>
      <c r="CL251">
        <f t="shared" si="96"/>
        <v>0.27839999999999998</v>
      </c>
      <c r="CM251">
        <f t="shared" si="94"/>
        <v>0.22059999999999999</v>
      </c>
      <c r="CN251">
        <f t="shared" si="97"/>
        <v>0.71639999999999993</v>
      </c>
      <c r="CO251">
        <f t="shared" si="97"/>
        <v>0.499</v>
      </c>
      <c r="CQ251">
        <v>0.21</v>
      </c>
      <c r="CR251">
        <v>0.5</v>
      </c>
      <c r="CS251">
        <v>0.28000000000000003</v>
      </c>
      <c r="CT251">
        <f t="shared" si="98"/>
        <v>0.71</v>
      </c>
      <c r="CU251">
        <f t="shared" si="99"/>
        <v>0.78</v>
      </c>
    </row>
    <row r="252" spans="84:99" x14ac:dyDescent="0.25">
      <c r="CF252">
        <v>147</v>
      </c>
      <c r="CI252">
        <v>147</v>
      </c>
      <c r="CK252">
        <f t="shared" si="95"/>
        <v>0.441</v>
      </c>
      <c r="CL252">
        <f t="shared" si="96"/>
        <v>0.27450000000000008</v>
      </c>
      <c r="CM252">
        <f t="shared" si="94"/>
        <v>0.2208</v>
      </c>
      <c r="CN252">
        <f t="shared" si="97"/>
        <v>0.71550000000000002</v>
      </c>
      <c r="CO252">
        <f t="shared" si="97"/>
        <v>0.49530000000000007</v>
      </c>
      <c r="CQ252">
        <v>0.21</v>
      </c>
      <c r="CR252">
        <v>0.5</v>
      </c>
      <c r="CS252">
        <v>0.28000000000000003</v>
      </c>
      <c r="CT252">
        <f t="shared" si="98"/>
        <v>0.71</v>
      </c>
      <c r="CU252">
        <f t="shared" si="99"/>
        <v>0.78</v>
      </c>
    </row>
    <row r="253" spans="84:99" x14ac:dyDescent="0.25">
      <c r="CF253">
        <v>148</v>
      </c>
      <c r="CI253">
        <v>148</v>
      </c>
      <c r="CK253">
        <f t="shared" si="95"/>
        <v>0.44400000000000001</v>
      </c>
      <c r="CL253">
        <f t="shared" si="96"/>
        <v>0.27060000000000006</v>
      </c>
      <c r="CM253">
        <f t="shared" si="94"/>
        <v>0.22099999999999997</v>
      </c>
      <c r="CN253">
        <f t="shared" si="97"/>
        <v>0.71460000000000012</v>
      </c>
      <c r="CO253">
        <f t="shared" si="97"/>
        <v>0.49160000000000004</v>
      </c>
      <c r="CQ253">
        <v>0.21</v>
      </c>
      <c r="CR253">
        <v>0.5</v>
      </c>
      <c r="CS253">
        <v>0.28000000000000003</v>
      </c>
      <c r="CT253">
        <f t="shared" si="98"/>
        <v>0.71</v>
      </c>
      <c r="CU253">
        <f t="shared" si="99"/>
        <v>0.78</v>
      </c>
    </row>
    <row r="254" spans="84:99" x14ac:dyDescent="0.25">
      <c r="CF254">
        <v>149</v>
      </c>
      <c r="CI254">
        <v>149</v>
      </c>
      <c r="CK254">
        <f t="shared" si="95"/>
        <v>0.44700000000000001</v>
      </c>
      <c r="CL254">
        <f t="shared" si="96"/>
        <v>0.26670000000000005</v>
      </c>
      <c r="CM254">
        <f t="shared" si="94"/>
        <v>0.22119999999999998</v>
      </c>
      <c r="CN254">
        <f t="shared" si="97"/>
        <v>0.7137</v>
      </c>
      <c r="CO254">
        <f t="shared" si="97"/>
        <v>0.4879</v>
      </c>
      <c r="CQ254">
        <v>0.21</v>
      </c>
      <c r="CR254">
        <v>0.5</v>
      </c>
      <c r="CS254">
        <v>0.28000000000000003</v>
      </c>
      <c r="CT254">
        <f t="shared" si="98"/>
        <v>0.71</v>
      </c>
      <c r="CU254">
        <f t="shared" si="99"/>
        <v>0.78</v>
      </c>
    </row>
    <row r="255" spans="84:99" x14ac:dyDescent="0.25">
      <c r="CF255">
        <v>150</v>
      </c>
      <c r="CI255">
        <v>150</v>
      </c>
      <c r="CK255">
        <f t="shared" si="95"/>
        <v>0.45</v>
      </c>
      <c r="CL255">
        <f t="shared" si="96"/>
        <v>0.26280000000000003</v>
      </c>
      <c r="CM255">
        <f t="shared" si="94"/>
        <v>0.22139999999999999</v>
      </c>
      <c r="CN255">
        <f t="shared" si="97"/>
        <v>0.7128000000000001</v>
      </c>
      <c r="CO255">
        <f t="shared" si="97"/>
        <v>0.48420000000000002</v>
      </c>
      <c r="CQ255">
        <v>0.21</v>
      </c>
      <c r="CR255">
        <v>0.5</v>
      </c>
      <c r="CS255">
        <v>0.28000000000000003</v>
      </c>
      <c r="CT255">
        <f t="shared" si="98"/>
        <v>0.71</v>
      </c>
      <c r="CU255">
        <f t="shared" si="99"/>
        <v>0.78</v>
      </c>
    </row>
    <row r="256" spans="84:99" x14ac:dyDescent="0.25">
      <c r="CF256">
        <v>151</v>
      </c>
      <c r="CI256">
        <v>151</v>
      </c>
      <c r="CK256">
        <f t="shared" si="95"/>
        <v>0.45300000000000001</v>
      </c>
      <c r="CL256">
        <f t="shared" si="96"/>
        <v>0.25890000000000002</v>
      </c>
      <c r="CM256">
        <f t="shared" si="94"/>
        <v>0.22159999999999999</v>
      </c>
      <c r="CN256">
        <f t="shared" si="97"/>
        <v>0.71189999999999998</v>
      </c>
      <c r="CO256">
        <f t="shared" si="97"/>
        <v>0.48050000000000004</v>
      </c>
      <c r="CQ256">
        <v>0.21</v>
      </c>
      <c r="CR256">
        <v>0.5</v>
      </c>
      <c r="CS256">
        <v>0.28000000000000003</v>
      </c>
      <c r="CT256">
        <f t="shared" si="98"/>
        <v>0.71</v>
      </c>
      <c r="CU256">
        <f t="shared" si="99"/>
        <v>0.78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E51"/>
  <sheetViews>
    <sheetView workbookViewId="0">
      <selection activeCell="I39" sqref="I39"/>
    </sheetView>
  </sheetViews>
  <sheetFormatPr defaultRowHeight="13.2" x14ac:dyDescent="0.25"/>
  <cols>
    <col min="1" max="1" width="10.44140625" customWidth="1"/>
    <col min="2" max="2" width="3" customWidth="1"/>
    <col min="3" max="3" width="6.44140625" customWidth="1"/>
    <col min="23" max="23" width="13.6640625" customWidth="1"/>
  </cols>
  <sheetData>
    <row r="3" spans="1:31" ht="16.5" customHeight="1" x14ac:dyDescent="0.25">
      <c r="A3" t="s">
        <v>66</v>
      </c>
      <c r="D3" t="s">
        <v>60</v>
      </c>
    </row>
    <row r="4" spans="1:31" ht="18.75" customHeight="1" thickBot="1" x14ac:dyDescent="0.45">
      <c r="C4" s="3" t="s">
        <v>79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K4" s="110">
        <v>2012</v>
      </c>
      <c r="L4" s="110"/>
      <c r="N4" s="4"/>
      <c r="O4" s="4"/>
    </row>
    <row r="5" spans="1:31" ht="14.25" customHeight="1" thickTop="1" thickBot="1" x14ac:dyDescent="0.3">
      <c r="A5">
        <v>1982</v>
      </c>
      <c r="C5" s="146">
        <v>0</v>
      </c>
      <c r="D5" s="146">
        <v>0.27804076619033136</v>
      </c>
      <c r="E5" s="146">
        <v>0.41019124353906966</v>
      </c>
      <c r="F5" s="146">
        <v>0.28359407722712071</v>
      </c>
      <c r="G5" s="146">
        <v>2.8173913043478261E-2</v>
      </c>
      <c r="H5" s="146">
        <v>0</v>
      </c>
      <c r="K5" s="223" t="s">
        <v>67</v>
      </c>
      <c r="L5" s="224" t="s">
        <v>68</v>
      </c>
      <c r="M5" s="225"/>
      <c r="N5" s="226"/>
      <c r="O5" s="111"/>
      <c r="P5" s="224" t="s">
        <v>69</v>
      </c>
      <c r="Q5" s="225"/>
      <c r="R5" s="225"/>
      <c r="S5" s="225"/>
      <c r="T5" s="226"/>
      <c r="U5" s="227" t="s">
        <v>70</v>
      </c>
      <c r="W5" s="229" t="s">
        <v>71</v>
      </c>
      <c r="Y5" s="3"/>
    </row>
    <row r="6" spans="1:31" ht="14.4" thickTop="1" thickBot="1" x14ac:dyDescent="0.3">
      <c r="A6">
        <v>1983</v>
      </c>
      <c r="C6" s="146">
        <v>0</v>
      </c>
      <c r="D6" s="146">
        <v>0.27804076619033136</v>
      </c>
      <c r="E6" s="146">
        <v>0.41019124353906966</v>
      </c>
      <c r="F6" s="146">
        <v>0.28359407722712071</v>
      </c>
      <c r="G6" s="146">
        <v>2.8173913043478261E-2</v>
      </c>
      <c r="H6" s="146">
        <v>0</v>
      </c>
      <c r="K6" s="221"/>
      <c r="L6" s="112">
        <v>2</v>
      </c>
      <c r="M6" s="113">
        <v>3</v>
      </c>
      <c r="N6" s="114" t="s">
        <v>72</v>
      </c>
      <c r="O6" s="115"/>
      <c r="P6" s="112">
        <v>1</v>
      </c>
      <c r="Q6" s="113">
        <v>2</v>
      </c>
      <c r="R6" s="116">
        <v>3</v>
      </c>
      <c r="S6" s="113">
        <v>4</v>
      </c>
      <c r="T6" s="117" t="s">
        <v>73</v>
      </c>
      <c r="U6" s="228"/>
      <c r="W6" s="229"/>
    </row>
    <row r="7" spans="1:31" ht="14.4" thickTop="1" thickBot="1" x14ac:dyDescent="0.3">
      <c r="A7">
        <v>1984</v>
      </c>
      <c r="C7" s="146">
        <v>0</v>
      </c>
      <c r="D7" s="146">
        <v>0.27804076619033136</v>
      </c>
      <c r="E7" s="146">
        <v>0.41019124353906966</v>
      </c>
      <c r="F7" s="146">
        <v>0.28359407722712071</v>
      </c>
      <c r="G7" s="146">
        <v>2.8173913043478261E-2</v>
      </c>
      <c r="H7" s="146">
        <v>0</v>
      </c>
      <c r="K7" s="118" t="s">
        <v>74</v>
      </c>
      <c r="L7" s="118">
        <v>5</v>
      </c>
      <c r="M7" s="119">
        <v>1</v>
      </c>
      <c r="N7" s="120">
        <f>L7+M7</f>
        <v>6</v>
      </c>
      <c r="O7" s="115"/>
      <c r="P7" s="121"/>
      <c r="Q7" s="119">
        <v>6</v>
      </c>
      <c r="R7" s="122">
        <v>4</v>
      </c>
      <c r="S7" s="119"/>
      <c r="T7" s="123">
        <v>2</v>
      </c>
      <c r="U7" s="124">
        <f>S7+R7+Q7+T7</f>
        <v>12</v>
      </c>
      <c r="W7" s="219">
        <f>L10*L6+M10*M6+Q10*Q6+R10*R6+T10*S6</f>
        <v>4.75</v>
      </c>
      <c r="Y7" s="3"/>
    </row>
    <row r="8" spans="1:31" ht="14.4" thickTop="1" thickBot="1" x14ac:dyDescent="0.3">
      <c r="A8">
        <v>1985</v>
      </c>
      <c r="C8" s="146">
        <v>0</v>
      </c>
      <c r="D8" s="146">
        <v>0.27804076619033136</v>
      </c>
      <c r="E8" s="146">
        <v>0.41019124353906966</v>
      </c>
      <c r="F8" s="146">
        <v>0.28359407722712071</v>
      </c>
      <c r="G8" s="146">
        <v>2.8173913043478261E-2</v>
      </c>
      <c r="H8" s="146">
        <v>0</v>
      </c>
      <c r="K8" s="125" t="s">
        <v>75</v>
      </c>
      <c r="L8" s="125">
        <v>4</v>
      </c>
      <c r="M8" s="126">
        <v>2</v>
      </c>
      <c r="N8" s="127">
        <f>L8+M8</f>
        <v>6</v>
      </c>
      <c r="O8" s="115"/>
      <c r="P8" s="128"/>
      <c r="Q8" s="126">
        <v>8</v>
      </c>
      <c r="R8" s="111">
        <v>4</v>
      </c>
      <c r="S8" s="126"/>
      <c r="T8" s="129"/>
      <c r="U8" s="129">
        <f>S8+R8+Q8+T8</f>
        <v>12</v>
      </c>
      <c r="W8" s="219"/>
    </row>
    <row r="9" spans="1:31" ht="14.4" thickTop="1" thickBot="1" x14ac:dyDescent="0.3">
      <c r="A9">
        <v>1986</v>
      </c>
      <c r="C9" s="146">
        <v>0</v>
      </c>
      <c r="D9" s="146">
        <v>0.27804076619033136</v>
      </c>
      <c r="E9" s="146">
        <v>0.41019124353906966</v>
      </c>
      <c r="F9" s="146">
        <v>0.28359407722712071</v>
      </c>
      <c r="G9" s="146">
        <v>2.8173913043478261E-2</v>
      </c>
      <c r="H9" s="146">
        <v>0</v>
      </c>
      <c r="K9" s="130" t="s">
        <v>76</v>
      </c>
      <c r="L9" s="131">
        <f>SUM(L7:L8)</f>
        <v>9</v>
      </c>
      <c r="M9" s="132">
        <f>SUM(M7:M8)</f>
        <v>3</v>
      </c>
      <c r="N9" s="220">
        <f>L9+M9</f>
        <v>12</v>
      </c>
      <c r="O9" s="133"/>
      <c r="P9" s="131"/>
      <c r="Q9" s="134">
        <f>Q7+Q8</f>
        <v>14</v>
      </c>
      <c r="R9" s="135">
        <f>R7+R8</f>
        <v>8</v>
      </c>
      <c r="S9" s="134"/>
      <c r="T9" s="136">
        <f>T7+T8</f>
        <v>2</v>
      </c>
      <c r="U9" s="222">
        <f>S9+R9+Q9+T9</f>
        <v>24</v>
      </c>
      <c r="W9" s="219"/>
      <c r="Y9" s="3"/>
      <c r="AE9" s="3"/>
    </row>
    <row r="10" spans="1:31" ht="14.4" thickTop="1" thickBot="1" x14ac:dyDescent="0.3">
      <c r="A10">
        <v>1987</v>
      </c>
      <c r="C10" s="146">
        <v>0</v>
      </c>
      <c r="D10" s="146">
        <v>0.27804076619033136</v>
      </c>
      <c r="E10" s="146">
        <v>0.41019124353906966</v>
      </c>
      <c r="F10" s="146">
        <v>0.28359407722712071</v>
      </c>
      <c r="G10" s="146">
        <v>2.8173913043478261E-2</v>
      </c>
      <c r="H10" s="146">
        <v>0</v>
      </c>
      <c r="K10" s="137" t="s">
        <v>77</v>
      </c>
      <c r="L10" s="138">
        <f>L9/N9</f>
        <v>0.75</v>
      </c>
      <c r="M10" s="139">
        <f>M9/N9</f>
        <v>0.25</v>
      </c>
      <c r="N10" s="221"/>
      <c r="O10" s="125"/>
      <c r="P10" s="137"/>
      <c r="Q10" s="140">
        <f>Q9/U9</f>
        <v>0.58333333333333337</v>
      </c>
      <c r="R10" s="141">
        <f>R9/U9</f>
        <v>0.33333333333333331</v>
      </c>
      <c r="S10" s="140"/>
      <c r="T10" s="142">
        <f>T9/U9</f>
        <v>8.3333333333333329E-2</v>
      </c>
      <c r="U10" s="221"/>
      <c r="V10" s="148">
        <f>(((L10*L6)+(M10*M6)))+((Q10*Q6)+(R10*R6)+(T10*R6))</f>
        <v>4.666666666666667</v>
      </c>
      <c r="W10" s="219"/>
      <c r="Y10" s="3"/>
    </row>
    <row r="11" spans="1:31" ht="13.8" thickTop="1" x14ac:dyDescent="0.25">
      <c r="A11">
        <v>1988</v>
      </c>
      <c r="C11" s="146">
        <v>0</v>
      </c>
      <c r="D11" s="146">
        <v>0.27804076619033136</v>
      </c>
      <c r="E11" s="146">
        <v>0.41019124353906966</v>
      </c>
      <c r="F11" s="146">
        <v>0.28359407722712071</v>
      </c>
      <c r="G11" s="146">
        <v>2.8173913043478261E-2</v>
      </c>
      <c r="H11" s="146">
        <v>0</v>
      </c>
      <c r="V11" s="148"/>
    </row>
    <row r="12" spans="1:31" ht="21.6" thickBot="1" x14ac:dyDescent="0.45">
      <c r="A12">
        <v>1989</v>
      </c>
      <c r="C12" s="146">
        <v>0</v>
      </c>
      <c r="D12" s="146">
        <v>0.27804076619033136</v>
      </c>
      <c r="E12" s="146">
        <v>0.41019124353906966</v>
      </c>
      <c r="F12" s="146">
        <v>0.28359407722712071</v>
      </c>
      <c r="G12" s="146">
        <v>2.8173913043478261E-2</v>
      </c>
      <c r="H12" s="146">
        <v>0</v>
      </c>
      <c r="K12" s="110">
        <v>2013</v>
      </c>
      <c r="L12" s="110"/>
      <c r="N12" s="4"/>
      <c r="O12" s="4"/>
      <c r="V12" s="148"/>
    </row>
    <row r="13" spans="1:31" ht="14.4" thickTop="1" thickBot="1" x14ac:dyDescent="0.3">
      <c r="A13">
        <v>1990</v>
      </c>
      <c r="C13" s="146">
        <v>0</v>
      </c>
      <c r="D13" s="146">
        <v>0.27804076619033136</v>
      </c>
      <c r="E13" s="146">
        <v>0.41019124353906966</v>
      </c>
      <c r="F13" s="146">
        <v>0.28359407722712071</v>
      </c>
      <c r="G13" s="146">
        <v>2.8173913043478261E-2</v>
      </c>
      <c r="H13" s="146">
        <v>0</v>
      </c>
      <c r="K13" s="223" t="s">
        <v>67</v>
      </c>
      <c r="L13" s="224" t="s">
        <v>68</v>
      </c>
      <c r="M13" s="225"/>
      <c r="N13" s="226"/>
      <c r="O13" s="111"/>
      <c r="P13" s="224" t="s">
        <v>69</v>
      </c>
      <c r="Q13" s="225"/>
      <c r="R13" s="225"/>
      <c r="S13" s="225"/>
      <c r="T13" s="226"/>
      <c r="U13" s="227" t="s">
        <v>70</v>
      </c>
      <c r="V13" s="148"/>
      <c r="W13" s="229" t="s">
        <v>71</v>
      </c>
    </row>
    <row r="14" spans="1:31" ht="14.4" thickTop="1" thickBot="1" x14ac:dyDescent="0.3">
      <c r="A14">
        <v>1991</v>
      </c>
      <c r="C14" s="146">
        <v>0</v>
      </c>
      <c r="D14" s="146">
        <v>0.27804076619033136</v>
      </c>
      <c r="E14" s="146">
        <v>0.41019124353906966</v>
      </c>
      <c r="F14" s="146">
        <v>0.28359407722712071</v>
      </c>
      <c r="G14" s="146">
        <v>2.8173913043478261E-2</v>
      </c>
      <c r="H14" s="146">
        <v>0</v>
      </c>
      <c r="K14" s="221"/>
      <c r="L14" s="112">
        <v>2</v>
      </c>
      <c r="M14" s="113">
        <v>3</v>
      </c>
      <c r="N14" s="114" t="s">
        <v>72</v>
      </c>
      <c r="O14" s="115"/>
      <c r="P14" s="112">
        <v>1</v>
      </c>
      <c r="Q14" s="113">
        <v>2</v>
      </c>
      <c r="R14" s="116">
        <v>3</v>
      </c>
      <c r="S14" s="113">
        <v>4</v>
      </c>
      <c r="T14" s="117" t="s">
        <v>73</v>
      </c>
      <c r="U14" s="228"/>
      <c r="V14" s="148"/>
      <c r="W14" s="229"/>
    </row>
    <row r="15" spans="1:31" ht="14.4" thickTop="1" thickBot="1" x14ac:dyDescent="0.3">
      <c r="A15">
        <v>1992</v>
      </c>
      <c r="C15" s="146">
        <v>0</v>
      </c>
      <c r="D15" s="146">
        <v>0.27804076619033136</v>
      </c>
      <c r="E15" s="146">
        <v>0.41019124353906966</v>
      </c>
      <c r="F15" s="146">
        <v>0.28359407722712071</v>
      </c>
      <c r="G15" s="146">
        <v>2.8173913043478261E-2</v>
      </c>
      <c r="H15" s="146">
        <v>0</v>
      </c>
      <c r="K15" s="118" t="s">
        <v>74</v>
      </c>
      <c r="L15" s="118">
        <v>2</v>
      </c>
      <c r="M15" s="119">
        <v>5</v>
      </c>
      <c r="N15" s="120">
        <f>L15+M15</f>
        <v>7</v>
      </c>
      <c r="O15" s="115"/>
      <c r="P15" s="121"/>
      <c r="Q15" s="119">
        <v>3</v>
      </c>
      <c r="R15" s="122">
        <v>11</v>
      </c>
      <c r="S15" s="119"/>
      <c r="T15" s="123">
        <v>4</v>
      </c>
      <c r="U15" s="124">
        <f>S15+R15+Q15+T15</f>
        <v>18</v>
      </c>
      <c r="V15" s="148"/>
      <c r="W15" s="219">
        <f>L18*L14+M18*M14+Q18*Q14+R18*R14+T18*S14</f>
        <v>5.7</v>
      </c>
    </row>
    <row r="16" spans="1:31" ht="14.4" thickTop="1" thickBot="1" x14ac:dyDescent="0.3">
      <c r="A16">
        <v>1993</v>
      </c>
      <c r="C16" s="146">
        <v>0</v>
      </c>
      <c r="D16" s="146">
        <v>0.27804076619033136</v>
      </c>
      <c r="E16" s="146">
        <v>0.41019124353906966</v>
      </c>
      <c r="F16" s="146">
        <v>0.28359407722712071</v>
      </c>
      <c r="G16" s="146">
        <v>2.8173913043478261E-2</v>
      </c>
      <c r="H16" s="146">
        <v>0</v>
      </c>
      <c r="K16" s="125" t="s">
        <v>75</v>
      </c>
      <c r="L16" s="125">
        <v>1</v>
      </c>
      <c r="M16" s="126">
        <v>2</v>
      </c>
      <c r="N16" s="127">
        <f>L16+M16</f>
        <v>3</v>
      </c>
      <c r="O16" s="115"/>
      <c r="P16" s="128"/>
      <c r="Q16" s="126">
        <v>1</v>
      </c>
      <c r="R16" s="111">
        <v>14</v>
      </c>
      <c r="S16" s="126">
        <v>1</v>
      </c>
      <c r="T16" s="129">
        <v>3</v>
      </c>
      <c r="U16" s="129">
        <f>S16+R16+Q16+T16</f>
        <v>19</v>
      </c>
      <c r="V16" s="148"/>
      <c r="W16" s="219"/>
    </row>
    <row r="17" spans="1:23" ht="14.4" thickTop="1" thickBot="1" x14ac:dyDescent="0.3">
      <c r="A17">
        <v>1994</v>
      </c>
      <c r="C17" s="146">
        <v>0</v>
      </c>
      <c r="D17" s="146">
        <v>0.27804076619033136</v>
      </c>
      <c r="E17" s="146">
        <v>0.41019124353906966</v>
      </c>
      <c r="F17" s="146">
        <v>0.28359407722712071</v>
      </c>
      <c r="G17" s="146">
        <v>2.8173913043478261E-2</v>
      </c>
      <c r="H17" s="146">
        <v>0</v>
      </c>
      <c r="K17" s="130" t="s">
        <v>76</v>
      </c>
      <c r="L17" s="131">
        <f>SUM(L15:L16)</f>
        <v>3</v>
      </c>
      <c r="M17" s="132">
        <f>SUM(M15:M16)</f>
        <v>7</v>
      </c>
      <c r="N17" s="220">
        <f>L17+M17</f>
        <v>10</v>
      </c>
      <c r="O17" s="133"/>
      <c r="P17" s="131"/>
      <c r="Q17" s="134">
        <f>Q15+Q16</f>
        <v>4</v>
      </c>
      <c r="R17" s="135">
        <f>R15+R16</f>
        <v>25</v>
      </c>
      <c r="S17" s="134">
        <v>1</v>
      </c>
      <c r="T17" s="136">
        <f>T15+T16</f>
        <v>7</v>
      </c>
      <c r="U17" s="222">
        <f>S17+R17+Q17+T17</f>
        <v>37</v>
      </c>
      <c r="V17" s="148"/>
      <c r="W17" s="219"/>
    </row>
    <row r="18" spans="1:23" ht="14.4" thickTop="1" thickBot="1" x14ac:dyDescent="0.3">
      <c r="A18">
        <v>1995</v>
      </c>
      <c r="C18" s="146">
        <v>0</v>
      </c>
      <c r="D18" s="146">
        <v>0.27804076619033136</v>
      </c>
      <c r="E18" s="146">
        <v>0.41019124353906966</v>
      </c>
      <c r="F18" s="146">
        <v>0.28359407722712071</v>
      </c>
      <c r="G18" s="146">
        <v>2.8173913043478261E-2</v>
      </c>
      <c r="H18" s="146">
        <v>0</v>
      </c>
      <c r="K18" s="137" t="s">
        <v>77</v>
      </c>
      <c r="L18" s="138">
        <f>L17/N17</f>
        <v>0.3</v>
      </c>
      <c r="M18" s="139">
        <f>M17/N17</f>
        <v>0.7</v>
      </c>
      <c r="N18" s="221"/>
      <c r="O18" s="125"/>
      <c r="P18" s="137"/>
      <c r="Q18" s="140">
        <f>Q17/U17</f>
        <v>0.10810810810810811</v>
      </c>
      <c r="R18" s="141">
        <f>R17/U17</f>
        <v>0.67567567567567566</v>
      </c>
      <c r="S18" s="143">
        <f>S17/U17</f>
        <v>2.7027027027027029E-2</v>
      </c>
      <c r="T18" s="142">
        <f>T17/U17</f>
        <v>0.1891891891891892</v>
      </c>
      <c r="U18" s="221"/>
      <c r="V18" s="148">
        <f>(((L18*L14)+(M18*M14)))+((Q18*Q14)+(R18*R14)+(T18*R14)+S18*S14)</f>
        <v>5.6189189189189186</v>
      </c>
      <c r="W18" s="219"/>
    </row>
    <row r="19" spans="1:23" ht="13.8" thickTop="1" x14ac:dyDescent="0.25">
      <c r="A19">
        <v>1996</v>
      </c>
      <c r="C19" s="146">
        <v>0</v>
      </c>
      <c r="D19" s="146">
        <v>0.27804076619033136</v>
      </c>
      <c r="E19" s="146">
        <v>0.41019124353906966</v>
      </c>
      <c r="F19" s="146">
        <v>0.28359407722712071</v>
      </c>
      <c r="G19" s="146">
        <v>2.8173913043478261E-2</v>
      </c>
      <c r="H19" s="146">
        <v>0</v>
      </c>
      <c r="V19" s="148"/>
    </row>
    <row r="20" spans="1:23" ht="21.6" thickBot="1" x14ac:dyDescent="0.45">
      <c r="A20">
        <v>1997</v>
      </c>
      <c r="C20" s="146">
        <v>0</v>
      </c>
      <c r="D20" s="146">
        <v>0.27804076619033136</v>
      </c>
      <c r="E20" s="146">
        <v>0.41019124353906966</v>
      </c>
      <c r="F20" s="146">
        <v>0.28359407722712071</v>
      </c>
      <c r="G20" s="146">
        <v>2.8173913043478261E-2</v>
      </c>
      <c r="H20" s="146">
        <v>0</v>
      </c>
      <c r="K20" s="110">
        <v>2014</v>
      </c>
      <c r="L20" s="110"/>
      <c r="N20" s="4"/>
      <c r="O20" s="4"/>
      <c r="V20" s="148"/>
    </row>
    <row r="21" spans="1:23" ht="14.4" thickTop="1" thickBot="1" x14ac:dyDescent="0.3">
      <c r="A21">
        <v>1998</v>
      </c>
      <c r="C21" s="146">
        <v>0</v>
      </c>
      <c r="D21" s="146">
        <v>0.27804076619033136</v>
      </c>
      <c r="E21" s="146">
        <v>0.41019124353906966</v>
      </c>
      <c r="F21" s="146">
        <v>0.28359407722712071</v>
      </c>
      <c r="G21" s="146">
        <v>2.8173913043478261E-2</v>
      </c>
      <c r="H21" s="146">
        <v>0</v>
      </c>
      <c r="K21" s="223" t="s">
        <v>67</v>
      </c>
      <c r="L21" s="224" t="s">
        <v>68</v>
      </c>
      <c r="M21" s="225"/>
      <c r="N21" s="226"/>
      <c r="O21" s="111"/>
      <c r="P21" s="224" t="s">
        <v>69</v>
      </c>
      <c r="Q21" s="225"/>
      <c r="R21" s="225"/>
      <c r="S21" s="225"/>
      <c r="T21" s="226"/>
      <c r="U21" s="227" t="s">
        <v>70</v>
      </c>
      <c r="V21" s="148"/>
      <c r="W21" s="229" t="s">
        <v>71</v>
      </c>
    </row>
    <row r="22" spans="1:23" ht="14.4" thickTop="1" thickBot="1" x14ac:dyDescent="0.3">
      <c r="A22">
        <v>1999</v>
      </c>
      <c r="C22" s="146">
        <v>0</v>
      </c>
      <c r="D22" s="146">
        <v>0.27804076619033136</v>
      </c>
      <c r="E22" s="146">
        <v>0.41019124353906966</v>
      </c>
      <c r="F22" s="146">
        <v>0.28359407722712071</v>
      </c>
      <c r="G22" s="146">
        <v>2.8173913043478261E-2</v>
      </c>
      <c r="H22" s="146">
        <v>0</v>
      </c>
      <c r="K22" s="221"/>
      <c r="L22" s="112">
        <v>2</v>
      </c>
      <c r="M22" s="113">
        <v>3</v>
      </c>
      <c r="N22" s="114" t="s">
        <v>72</v>
      </c>
      <c r="O22" s="115"/>
      <c r="P22" s="112">
        <v>1</v>
      </c>
      <c r="Q22" s="113">
        <v>2</v>
      </c>
      <c r="R22" s="116">
        <v>3</v>
      </c>
      <c r="S22" s="113">
        <v>4</v>
      </c>
      <c r="T22" s="117" t="s">
        <v>73</v>
      </c>
      <c r="U22" s="233"/>
      <c r="V22" s="148"/>
      <c r="W22" s="229"/>
    </row>
    <row r="23" spans="1:23" ht="14.4" thickTop="1" thickBot="1" x14ac:dyDescent="0.3">
      <c r="A23">
        <v>2000</v>
      </c>
      <c r="C23" s="146">
        <v>0</v>
      </c>
      <c r="D23" s="146">
        <v>0.27804076619033136</v>
      </c>
      <c r="E23" s="146">
        <v>0.41019124353906966</v>
      </c>
      <c r="F23" s="146">
        <v>0.28359407722712071</v>
      </c>
      <c r="G23" s="146">
        <v>2.8173913043478261E-2</v>
      </c>
      <c r="H23" s="146">
        <v>0</v>
      </c>
      <c r="K23" s="118" t="s">
        <v>74</v>
      </c>
      <c r="L23" s="118">
        <v>7</v>
      </c>
      <c r="M23" s="119">
        <v>5</v>
      </c>
      <c r="N23" s="120">
        <f>L23+M23</f>
        <v>12</v>
      </c>
      <c r="O23" s="115"/>
      <c r="P23" s="121"/>
      <c r="Q23" s="119">
        <v>11</v>
      </c>
      <c r="R23" s="122">
        <v>5</v>
      </c>
      <c r="S23" s="119"/>
      <c r="T23" s="123">
        <v>3</v>
      </c>
      <c r="U23" s="123">
        <f>S23+R23+Q23+T23</f>
        <v>19</v>
      </c>
      <c r="V23" s="148"/>
      <c r="W23" s="219">
        <f>L26*L22+M26*M22+Q26*Q22+R26*R22+T26*S22</f>
        <v>4.9610389610389607</v>
      </c>
    </row>
    <row r="24" spans="1:23" ht="14.4" thickTop="1" thickBot="1" x14ac:dyDescent="0.3">
      <c r="A24">
        <v>2001</v>
      </c>
      <c r="C24" s="146">
        <v>0</v>
      </c>
      <c r="D24" s="146">
        <v>0.27804076619033136</v>
      </c>
      <c r="E24" s="146">
        <v>0.41019124353906966</v>
      </c>
      <c r="F24" s="146">
        <v>0.28359407722712071</v>
      </c>
      <c r="G24" s="146">
        <v>2.8173913043478261E-2</v>
      </c>
      <c r="H24" s="146">
        <v>0</v>
      </c>
      <c r="K24" s="125" t="s">
        <v>75</v>
      </c>
      <c r="L24" s="125">
        <v>4</v>
      </c>
      <c r="M24" s="126">
        <v>5</v>
      </c>
      <c r="N24" s="127">
        <f>L24+M24</f>
        <v>9</v>
      </c>
      <c r="O24" s="115"/>
      <c r="P24" s="128"/>
      <c r="Q24" s="126">
        <v>10</v>
      </c>
      <c r="R24" s="111">
        <v>3</v>
      </c>
      <c r="S24" s="126"/>
      <c r="T24" s="129">
        <v>1</v>
      </c>
      <c r="U24" s="129">
        <f>S24+R24+Q24+T24</f>
        <v>14</v>
      </c>
      <c r="V24" s="148"/>
      <c r="W24" s="219"/>
    </row>
    <row r="25" spans="1:23" ht="14.4" thickTop="1" thickBot="1" x14ac:dyDescent="0.3">
      <c r="A25">
        <v>2002</v>
      </c>
      <c r="C25" s="146">
        <v>0</v>
      </c>
      <c r="D25" s="146">
        <v>0.27804076619033136</v>
      </c>
      <c r="E25" s="146">
        <v>0.41019124353906966</v>
      </c>
      <c r="F25" s="146">
        <v>0.28359407722712071</v>
      </c>
      <c r="G25" s="146">
        <v>2.8173913043478261E-2</v>
      </c>
      <c r="H25" s="146">
        <v>0</v>
      </c>
      <c r="K25" s="130" t="s">
        <v>76</v>
      </c>
      <c r="L25" s="131">
        <f>SUM(L23:L24)</f>
        <v>11</v>
      </c>
      <c r="M25" s="132">
        <f>SUM(M23:M24)</f>
        <v>10</v>
      </c>
      <c r="N25" s="220">
        <f>L25+M25</f>
        <v>21</v>
      </c>
      <c r="O25" s="133"/>
      <c r="P25" s="131"/>
      <c r="Q25" s="134">
        <f>Q23+Q24</f>
        <v>21</v>
      </c>
      <c r="R25" s="135">
        <f>R23+R24</f>
        <v>8</v>
      </c>
      <c r="S25" s="134"/>
      <c r="T25" s="136">
        <f>T23+T24</f>
        <v>4</v>
      </c>
      <c r="U25" s="222">
        <f>S25+R25+Q25+T25</f>
        <v>33</v>
      </c>
      <c r="V25" s="148"/>
      <c r="W25" s="219"/>
    </row>
    <row r="26" spans="1:23" ht="14.4" thickTop="1" thickBot="1" x14ac:dyDescent="0.3">
      <c r="A26">
        <v>2003</v>
      </c>
      <c r="C26" s="146">
        <v>0</v>
      </c>
      <c r="D26" s="146">
        <v>0.27804076619033136</v>
      </c>
      <c r="E26" s="146">
        <v>0.41019124353906966</v>
      </c>
      <c r="F26" s="146">
        <v>0.28359407722712071</v>
      </c>
      <c r="G26" s="146">
        <v>2.8173913043478261E-2</v>
      </c>
      <c r="H26" s="146">
        <v>0</v>
      </c>
      <c r="K26" s="137" t="s">
        <v>77</v>
      </c>
      <c r="L26" s="138">
        <f>L25/N25</f>
        <v>0.52380952380952384</v>
      </c>
      <c r="M26" s="139">
        <f>M25/N25</f>
        <v>0.47619047619047616</v>
      </c>
      <c r="N26" s="221"/>
      <c r="O26" s="125"/>
      <c r="P26" s="137"/>
      <c r="Q26" s="140">
        <f>Q25/U25</f>
        <v>0.63636363636363635</v>
      </c>
      <c r="R26" s="141">
        <f>R25/U25</f>
        <v>0.24242424242424243</v>
      </c>
      <c r="S26" s="140"/>
      <c r="T26" s="142">
        <f>T25/U25</f>
        <v>0.12121212121212122</v>
      </c>
      <c r="U26" s="221"/>
      <c r="V26" s="148">
        <f>(((L26*L22)+(M26*M22)))+((Q26*Q22)+(R26*R22)+(T26*R22))</f>
        <v>4.8398268398268396</v>
      </c>
      <c r="W26" s="219"/>
    </row>
    <row r="27" spans="1:23" ht="13.8" thickTop="1" x14ac:dyDescent="0.25">
      <c r="A27">
        <v>2004</v>
      </c>
      <c r="C27" s="146">
        <v>0</v>
      </c>
      <c r="D27" s="146">
        <v>0.27804076619033136</v>
      </c>
      <c r="E27" s="146">
        <v>0.41019124353906966</v>
      </c>
      <c r="F27" s="146">
        <v>0.28359407722712071</v>
      </c>
      <c r="G27" s="146">
        <v>2.8173913043478261E-2</v>
      </c>
      <c r="H27" s="146">
        <v>0</v>
      </c>
      <c r="V27" s="148"/>
    </row>
    <row r="28" spans="1:23" ht="21.6" thickBot="1" x14ac:dyDescent="0.45">
      <c r="A28">
        <v>2005</v>
      </c>
      <c r="C28" s="146">
        <v>0</v>
      </c>
      <c r="D28" s="146">
        <v>0.27804076619033136</v>
      </c>
      <c r="E28" s="146">
        <v>0.41019124353906966</v>
      </c>
      <c r="F28" s="146">
        <v>0.28359407722712071</v>
      </c>
      <c r="G28" s="146">
        <v>2.8173913043478261E-2</v>
      </c>
      <c r="H28" s="146">
        <v>0</v>
      </c>
      <c r="K28" s="110">
        <v>2015</v>
      </c>
      <c r="L28" s="110"/>
      <c r="N28" s="4"/>
      <c r="O28" s="4"/>
      <c r="V28" s="148"/>
    </row>
    <row r="29" spans="1:23" ht="14.4" thickTop="1" thickBot="1" x14ac:dyDescent="0.3">
      <c r="A29">
        <v>2006</v>
      </c>
      <c r="C29" s="146">
        <v>0</v>
      </c>
      <c r="D29" s="146">
        <v>0.27804076619033136</v>
      </c>
      <c r="E29" s="146">
        <v>0.41019124353906966</v>
      </c>
      <c r="F29" s="146">
        <v>0.28359407722712071</v>
      </c>
      <c r="G29" s="146">
        <v>2.8173913043478261E-2</v>
      </c>
      <c r="H29" s="146">
        <v>0</v>
      </c>
      <c r="K29" s="223" t="s">
        <v>67</v>
      </c>
      <c r="L29" s="224" t="s">
        <v>68</v>
      </c>
      <c r="M29" s="225"/>
      <c r="N29" s="226"/>
      <c r="O29" s="111"/>
      <c r="P29" s="224" t="s">
        <v>69</v>
      </c>
      <c r="Q29" s="225"/>
      <c r="R29" s="225"/>
      <c r="S29" s="225"/>
      <c r="T29" s="226"/>
      <c r="U29" s="227" t="s">
        <v>70</v>
      </c>
      <c r="V29" s="148"/>
      <c r="W29" s="229" t="s">
        <v>71</v>
      </c>
    </row>
    <row r="30" spans="1:23" ht="14.4" thickTop="1" thickBot="1" x14ac:dyDescent="0.3">
      <c r="A30">
        <v>2007</v>
      </c>
      <c r="C30" s="146">
        <v>0</v>
      </c>
      <c r="D30" s="146">
        <v>0.27804076619033136</v>
      </c>
      <c r="E30" s="146">
        <v>0.41019124353906966</v>
      </c>
      <c r="F30" s="146">
        <v>0.28359407722712071</v>
      </c>
      <c r="G30" s="146">
        <v>2.8173913043478261E-2</v>
      </c>
      <c r="H30" s="146">
        <v>0</v>
      </c>
      <c r="K30" s="221"/>
      <c r="L30" s="112">
        <v>2</v>
      </c>
      <c r="M30" s="113">
        <v>3</v>
      </c>
      <c r="N30" s="114" t="s">
        <v>72</v>
      </c>
      <c r="O30" s="115"/>
      <c r="P30" s="112">
        <v>1</v>
      </c>
      <c r="Q30" s="113">
        <v>2</v>
      </c>
      <c r="R30" s="116">
        <v>3</v>
      </c>
      <c r="S30" s="113">
        <v>4</v>
      </c>
      <c r="T30" s="117" t="s">
        <v>73</v>
      </c>
      <c r="U30" s="233"/>
      <c r="V30" s="148"/>
      <c r="W30" s="229"/>
    </row>
    <row r="31" spans="1:23" ht="13.8" thickTop="1" x14ac:dyDescent="0.25">
      <c r="A31">
        <v>2008</v>
      </c>
      <c r="C31" s="146">
        <v>0</v>
      </c>
      <c r="D31" s="146">
        <v>0.27804076619033136</v>
      </c>
      <c r="E31" s="146">
        <v>0.41019124353906966</v>
      </c>
      <c r="F31" s="146">
        <v>0.28359407722712071</v>
      </c>
      <c r="G31" s="146">
        <v>2.8173913043478261E-2</v>
      </c>
      <c r="H31" s="146">
        <v>0</v>
      </c>
      <c r="K31" s="118" t="s">
        <v>74</v>
      </c>
      <c r="L31" s="118">
        <v>11</v>
      </c>
      <c r="M31" s="119">
        <v>2</v>
      </c>
      <c r="N31" s="120">
        <f>L31+M31</f>
        <v>13</v>
      </c>
      <c r="O31" s="115"/>
      <c r="P31" s="121"/>
      <c r="Q31" s="119">
        <v>8</v>
      </c>
      <c r="R31" s="122">
        <v>8</v>
      </c>
      <c r="S31" s="119"/>
      <c r="T31" s="123">
        <v>1</v>
      </c>
      <c r="U31" s="123">
        <f>S31+R31+Q31+T31</f>
        <v>17</v>
      </c>
      <c r="V31" s="148"/>
      <c r="W31" s="230">
        <f>L34*L30+M34*M30+Q34*Q30+R34*R30+T34*S30</f>
        <v>4.7335423197492155</v>
      </c>
    </row>
    <row r="32" spans="1:23" ht="13.8" thickBot="1" x14ac:dyDescent="0.3">
      <c r="A32">
        <v>2009</v>
      </c>
      <c r="C32" s="146">
        <v>0</v>
      </c>
      <c r="D32" s="146">
        <v>0.27804076619033136</v>
      </c>
      <c r="E32" s="146">
        <v>0.41019124353906966</v>
      </c>
      <c r="F32" s="146">
        <v>0.28359407722712071</v>
      </c>
      <c r="G32" s="146">
        <v>2.8173913043478261E-2</v>
      </c>
      <c r="H32" s="146">
        <v>0</v>
      </c>
      <c r="K32" s="125" t="s">
        <v>75</v>
      </c>
      <c r="L32" s="125">
        <v>7</v>
      </c>
      <c r="M32" s="126">
        <v>2</v>
      </c>
      <c r="N32" s="127">
        <f>L32+M32</f>
        <v>9</v>
      </c>
      <c r="O32" s="115"/>
      <c r="P32" s="128"/>
      <c r="Q32" s="126">
        <v>7</v>
      </c>
      <c r="R32" s="111">
        <v>4</v>
      </c>
      <c r="S32" s="126"/>
      <c r="T32" s="129">
        <v>1</v>
      </c>
      <c r="U32" s="129">
        <f>S32+R32+Q32+T32</f>
        <v>12</v>
      </c>
      <c r="V32" s="148"/>
      <c r="W32" s="231"/>
    </row>
    <row r="33" spans="1:23" ht="14.4" thickTop="1" thickBot="1" x14ac:dyDescent="0.3">
      <c r="A33">
        <v>2010</v>
      </c>
      <c r="C33" s="146">
        <v>0</v>
      </c>
      <c r="D33" s="146">
        <v>0.27804076619033136</v>
      </c>
      <c r="E33" s="146">
        <v>0.41019124353906966</v>
      </c>
      <c r="F33" s="146">
        <v>0.28359407722712071</v>
      </c>
      <c r="G33" s="146">
        <v>2.8173913043478261E-2</v>
      </c>
      <c r="H33" s="146">
        <v>0</v>
      </c>
      <c r="K33" s="130" t="s">
        <v>76</v>
      </c>
      <c r="L33" s="131">
        <f>SUM(L31:L32)</f>
        <v>18</v>
      </c>
      <c r="M33" s="132">
        <f>SUM(M31:M32)</f>
        <v>4</v>
      </c>
      <c r="N33" s="220">
        <f>L33+M33</f>
        <v>22</v>
      </c>
      <c r="O33" s="133"/>
      <c r="P33" s="131"/>
      <c r="Q33" s="134">
        <f>Q31+Q32</f>
        <v>15</v>
      </c>
      <c r="R33" s="135">
        <f>R31+R32</f>
        <v>12</v>
      </c>
      <c r="S33" s="134"/>
      <c r="T33" s="136">
        <f>T31+T32</f>
        <v>2</v>
      </c>
      <c r="U33" s="222">
        <f>S33+R33+Q33+T33</f>
        <v>29</v>
      </c>
      <c r="V33" s="148"/>
      <c r="W33" s="231"/>
    </row>
    <row r="34" spans="1:23" ht="14.4" thickTop="1" thickBot="1" x14ac:dyDescent="0.3">
      <c r="A34">
        <v>2011</v>
      </c>
      <c r="C34" s="146">
        <v>0</v>
      </c>
      <c r="D34" s="146">
        <v>0.27804076619033136</v>
      </c>
      <c r="E34" s="146">
        <v>0.41019124353906966</v>
      </c>
      <c r="F34" s="146">
        <v>0.28359407722712071</v>
      </c>
      <c r="G34" s="146">
        <v>2.8173913043478261E-2</v>
      </c>
      <c r="H34" s="146">
        <v>0</v>
      </c>
      <c r="K34" s="137" t="s">
        <v>77</v>
      </c>
      <c r="L34" s="138">
        <f>L33/N33</f>
        <v>0.81818181818181823</v>
      </c>
      <c r="M34" s="139">
        <f>M33/N33</f>
        <v>0.18181818181818182</v>
      </c>
      <c r="N34" s="221"/>
      <c r="O34" s="125"/>
      <c r="P34" s="137"/>
      <c r="Q34" s="140">
        <f>Q33/U33</f>
        <v>0.51724137931034486</v>
      </c>
      <c r="R34" s="141">
        <f>R33/U33</f>
        <v>0.41379310344827586</v>
      </c>
      <c r="S34" s="140"/>
      <c r="T34" s="142">
        <f>T33/U33</f>
        <v>6.8965517241379309E-2</v>
      </c>
      <c r="U34" s="221"/>
      <c r="V34" s="148">
        <f>(((L34*L30)+(M34*M30)))+((Q34*Q30)+(R34*R30)+(T34*R30))</f>
        <v>4.6645768025078365</v>
      </c>
      <c r="W34" s="232"/>
    </row>
    <row r="35" spans="1:23" ht="13.8" thickTop="1" x14ac:dyDescent="0.25">
      <c r="A35">
        <v>2012</v>
      </c>
      <c r="C35" s="145">
        <v>0</v>
      </c>
      <c r="D35" s="145">
        <f>7/13</f>
        <v>0.53846153846153844</v>
      </c>
      <c r="E35" s="145">
        <f>4.5/13</f>
        <v>0.34615384615384615</v>
      </c>
      <c r="F35" s="145">
        <f>1.5/13</f>
        <v>0.11538461538461539</v>
      </c>
      <c r="G35" s="145">
        <v>0</v>
      </c>
      <c r="H35" s="145">
        <v>0</v>
      </c>
      <c r="V35" s="148"/>
    </row>
    <row r="36" spans="1:23" ht="21.6" thickBot="1" x14ac:dyDescent="0.45">
      <c r="A36">
        <v>2013</v>
      </c>
      <c r="C36" s="145">
        <v>0</v>
      </c>
      <c r="D36" s="145">
        <v>0</v>
      </c>
      <c r="E36" s="145">
        <v>0.13</v>
      </c>
      <c r="F36" s="145">
        <v>0.75</v>
      </c>
      <c r="G36" s="145">
        <v>0.12</v>
      </c>
      <c r="H36" s="145">
        <v>0</v>
      </c>
      <c r="K36" s="110">
        <v>2016</v>
      </c>
      <c r="L36" s="110"/>
      <c r="N36" s="4"/>
      <c r="O36" s="4"/>
      <c r="V36" s="148"/>
    </row>
    <row r="37" spans="1:23" ht="14.4" thickTop="1" thickBot="1" x14ac:dyDescent="0.3">
      <c r="A37">
        <v>2014</v>
      </c>
      <c r="C37" s="145">
        <v>0</v>
      </c>
      <c r="D37" s="145">
        <f>6/23</f>
        <v>0.2608695652173913</v>
      </c>
      <c r="E37" s="145">
        <f>12.52/23</f>
        <v>0.54434782608695653</v>
      </c>
      <c r="F37" s="145">
        <f>4/23</f>
        <v>0.17391304347826086</v>
      </c>
      <c r="G37" s="145">
        <f>0.48/23</f>
        <v>2.0869565217391303E-2</v>
      </c>
      <c r="H37" s="145">
        <v>0</v>
      </c>
      <c r="K37" s="223" t="s">
        <v>67</v>
      </c>
      <c r="L37" s="224" t="s">
        <v>68</v>
      </c>
      <c r="M37" s="225"/>
      <c r="N37" s="226"/>
      <c r="O37" s="111"/>
      <c r="P37" s="224" t="s">
        <v>69</v>
      </c>
      <c r="Q37" s="225"/>
      <c r="R37" s="225"/>
      <c r="S37" s="225"/>
      <c r="T37" s="226"/>
      <c r="U37" s="227" t="s">
        <v>70</v>
      </c>
      <c r="V37" s="148"/>
      <c r="W37" s="229" t="s">
        <v>71</v>
      </c>
    </row>
    <row r="38" spans="1:23" ht="14.4" thickTop="1" thickBot="1" x14ac:dyDescent="0.3">
      <c r="A38">
        <v>2015</v>
      </c>
      <c r="C38" s="145">
        <v>0</v>
      </c>
      <c r="D38" s="145">
        <v>0.36359999999999998</v>
      </c>
      <c r="E38" s="145">
        <v>0.5</v>
      </c>
      <c r="F38" s="145">
        <v>0.13639999999999999</v>
      </c>
      <c r="G38" s="145">
        <v>0</v>
      </c>
      <c r="H38" s="145">
        <v>0</v>
      </c>
      <c r="K38" s="221"/>
      <c r="L38" s="112">
        <v>2</v>
      </c>
      <c r="M38" s="113">
        <v>3</v>
      </c>
      <c r="N38" s="114" t="s">
        <v>72</v>
      </c>
      <c r="O38" s="115"/>
      <c r="P38" s="112">
        <v>1</v>
      </c>
      <c r="Q38" s="113">
        <v>2</v>
      </c>
      <c r="R38" s="116">
        <v>3</v>
      </c>
      <c r="S38" s="113">
        <v>4</v>
      </c>
      <c r="T38" s="117" t="s">
        <v>73</v>
      </c>
      <c r="U38" s="233"/>
      <c r="V38" s="148"/>
      <c r="W38" s="229"/>
    </row>
    <row r="39" spans="1:23" ht="14.4" thickTop="1" thickBot="1" x14ac:dyDescent="0.3">
      <c r="A39">
        <v>2016</v>
      </c>
      <c r="C39" s="145">
        <v>0</v>
      </c>
      <c r="D39" s="145">
        <f>5/22</f>
        <v>0.22727272727272727</v>
      </c>
      <c r="E39" s="145">
        <f>11.67/22</f>
        <v>0.5304545454545454</v>
      </c>
      <c r="F39" s="145">
        <f>5.33/22</f>
        <v>0.24227272727272728</v>
      </c>
      <c r="G39" s="145">
        <v>0</v>
      </c>
      <c r="H39" s="145">
        <v>0</v>
      </c>
      <c r="K39" s="118" t="s">
        <v>74</v>
      </c>
      <c r="L39" s="118">
        <v>6</v>
      </c>
      <c r="M39" s="119">
        <v>5</v>
      </c>
      <c r="N39" s="120">
        <f>L39+M39</f>
        <v>11</v>
      </c>
      <c r="O39" s="115"/>
      <c r="P39" s="121"/>
      <c r="Q39" s="119">
        <v>5</v>
      </c>
      <c r="R39" s="122">
        <v>6</v>
      </c>
      <c r="S39" s="119"/>
      <c r="T39" s="123">
        <v>4</v>
      </c>
      <c r="U39" s="123">
        <f>S39+R39+Q39+T39</f>
        <v>15</v>
      </c>
      <c r="V39" s="148"/>
      <c r="W39" s="219">
        <f>L42*L38+M42*M38+Q42*Q38+R42*R38+T42*S38</f>
        <v>5.0740740740740735</v>
      </c>
    </row>
    <row r="40" spans="1:23" ht="14.4" thickTop="1" thickBot="1" x14ac:dyDescent="0.3">
      <c r="C40" s="147"/>
      <c r="D40" s="147"/>
      <c r="E40" s="147"/>
      <c r="F40" s="147"/>
      <c r="G40" s="147"/>
      <c r="H40" s="147"/>
      <c r="K40" s="125" t="s">
        <v>75</v>
      </c>
      <c r="L40" s="125">
        <v>8</v>
      </c>
      <c r="M40" s="126">
        <v>2</v>
      </c>
      <c r="N40" s="127">
        <f>L40+M40</f>
        <v>10</v>
      </c>
      <c r="O40" s="115"/>
      <c r="P40" s="128"/>
      <c r="Q40" s="126">
        <v>6</v>
      </c>
      <c r="R40" s="111">
        <v>6</v>
      </c>
      <c r="S40" s="126"/>
      <c r="T40" s="129">
        <v>0</v>
      </c>
      <c r="U40" s="129">
        <f>S40+R40+Q40+T40</f>
        <v>12</v>
      </c>
      <c r="V40" s="148"/>
      <c r="W40" s="219"/>
    </row>
    <row r="41" spans="1:23" ht="14.4" thickTop="1" thickBot="1" x14ac:dyDescent="0.3">
      <c r="C41" s="28" t="s">
        <v>80</v>
      </c>
      <c r="D41" s="28"/>
      <c r="E41" s="28"/>
      <c r="F41" s="28"/>
      <c r="G41" s="28"/>
      <c r="H41" s="28"/>
      <c r="K41" s="130" t="s">
        <v>76</v>
      </c>
      <c r="L41" s="131">
        <f>SUM(L39:L40)</f>
        <v>14</v>
      </c>
      <c r="M41" s="132">
        <f>SUM(M39:M40)</f>
        <v>7</v>
      </c>
      <c r="N41" s="220">
        <f>L41+M41</f>
        <v>21</v>
      </c>
      <c r="O41" s="133"/>
      <c r="P41" s="131"/>
      <c r="Q41" s="134">
        <f>Q39+Q40</f>
        <v>11</v>
      </c>
      <c r="R41" s="135">
        <f>R39+R40</f>
        <v>12</v>
      </c>
      <c r="S41" s="134"/>
      <c r="T41" s="136">
        <f>T39+T40</f>
        <v>4</v>
      </c>
      <c r="U41" s="222">
        <f>S41+R41+Q41+T41</f>
        <v>27</v>
      </c>
      <c r="V41" s="148"/>
      <c r="W41" s="219"/>
    </row>
    <row r="42" spans="1:23" ht="14.4" thickTop="1" thickBot="1" x14ac:dyDescent="0.3">
      <c r="C42" s="3" t="s">
        <v>81</v>
      </c>
      <c r="K42" s="137" t="s">
        <v>77</v>
      </c>
      <c r="L42" s="138">
        <f>L41/N41</f>
        <v>0.66666666666666663</v>
      </c>
      <c r="M42" s="139">
        <f>M41/N41</f>
        <v>0.33333333333333331</v>
      </c>
      <c r="N42" s="221"/>
      <c r="O42" s="125"/>
      <c r="P42" s="137"/>
      <c r="Q42" s="140">
        <f>Q41/U41</f>
        <v>0.40740740740740738</v>
      </c>
      <c r="R42" s="141">
        <f>R41/U41</f>
        <v>0.44444444444444442</v>
      </c>
      <c r="S42" s="140"/>
      <c r="T42" s="142">
        <f>T41/U41</f>
        <v>0.14814814814814814</v>
      </c>
      <c r="U42" s="221"/>
      <c r="V42" s="148">
        <f>(((L42*L38)+(M42*M38)))+((Q42*Q38)+(R42*R38)+(T42*R38))</f>
        <v>4.9259259259259256</v>
      </c>
      <c r="W42" s="219"/>
    </row>
    <row r="43" spans="1:23" ht="13.8" thickTop="1" x14ac:dyDescent="0.25">
      <c r="C43" s="3" t="s">
        <v>82</v>
      </c>
      <c r="V43" s="1"/>
    </row>
    <row r="44" spans="1:23" ht="21.6" thickBot="1" x14ac:dyDescent="0.3">
      <c r="K44" s="144" t="s">
        <v>78</v>
      </c>
      <c r="V44" s="1"/>
    </row>
    <row r="45" spans="1:23" ht="14.4" thickTop="1" thickBot="1" x14ac:dyDescent="0.3">
      <c r="K45" s="223" t="s">
        <v>67</v>
      </c>
      <c r="L45" s="224" t="s">
        <v>68</v>
      </c>
      <c r="M45" s="225"/>
      <c r="N45" s="226"/>
      <c r="O45" s="111"/>
      <c r="P45" s="224" t="s">
        <v>69</v>
      </c>
      <c r="Q45" s="225"/>
      <c r="R45" s="225"/>
      <c r="S45" s="225"/>
      <c r="T45" s="226"/>
      <c r="U45" s="227" t="s">
        <v>70</v>
      </c>
      <c r="V45" s="1"/>
      <c r="W45" s="229" t="s">
        <v>71</v>
      </c>
    </row>
    <row r="46" spans="1:23" ht="14.4" thickTop="1" thickBot="1" x14ac:dyDescent="0.3">
      <c r="K46" s="221"/>
      <c r="L46" s="112">
        <v>2</v>
      </c>
      <c r="M46" s="113">
        <v>3</v>
      </c>
      <c r="N46" s="114" t="s">
        <v>72</v>
      </c>
      <c r="O46" s="115"/>
      <c r="P46" s="112">
        <v>1</v>
      </c>
      <c r="Q46" s="113">
        <v>2</v>
      </c>
      <c r="R46" s="116">
        <v>3</v>
      </c>
      <c r="S46" s="113">
        <v>4</v>
      </c>
      <c r="T46" s="117" t="s">
        <v>73</v>
      </c>
      <c r="U46" s="233"/>
      <c r="V46" s="1"/>
      <c r="W46" s="229"/>
    </row>
    <row r="47" spans="1:23" ht="14.4" thickTop="1" thickBot="1" x14ac:dyDescent="0.3">
      <c r="K47" s="118" t="s">
        <v>74</v>
      </c>
      <c r="L47" s="118">
        <f>SUM(L7,L23,L15,L7)</f>
        <v>19</v>
      </c>
      <c r="M47" s="119">
        <f>SUM(M7,M23,M15,M7)</f>
        <v>12</v>
      </c>
      <c r="N47" s="120">
        <f>SUM(N7,N23,N15,N7)</f>
        <v>31</v>
      </c>
      <c r="O47" s="115"/>
      <c r="P47" s="121"/>
      <c r="Q47" s="119">
        <f>SUM(Q7,Q23,Q15,Q7)</f>
        <v>26</v>
      </c>
      <c r="R47" s="122">
        <f>SUM(R7,R23,R15,R7)</f>
        <v>24</v>
      </c>
      <c r="S47" s="119"/>
      <c r="T47" s="123">
        <f>SUM(T7,T23,T15,T7)</f>
        <v>11</v>
      </c>
      <c r="U47" s="123">
        <f>U39+U31+U23+U15+U7</f>
        <v>81</v>
      </c>
      <c r="V47" s="1"/>
      <c r="W47" s="219">
        <f>L50*L46+M50*M46+Q50*Q46+R50*R46+T50*S46</f>
        <v>5.0337984496124033</v>
      </c>
    </row>
    <row r="48" spans="1:23" ht="14.4" thickTop="1" thickBot="1" x14ac:dyDescent="0.3">
      <c r="K48" s="125" t="s">
        <v>75</v>
      </c>
      <c r="L48" s="125">
        <f>SUM(L24,L16,L8)</f>
        <v>9</v>
      </c>
      <c r="M48" s="126">
        <f>SUM(M24,M16,M8)</f>
        <v>9</v>
      </c>
      <c r="N48" s="127">
        <f>SUM(N24,N16,N8)</f>
        <v>18</v>
      </c>
      <c r="O48" s="115"/>
      <c r="P48" s="128"/>
      <c r="Q48" s="126">
        <f>SUM(Q24,Q16,Q8)</f>
        <v>19</v>
      </c>
      <c r="R48" s="111">
        <f>SUM(R24,R16,R8)</f>
        <v>21</v>
      </c>
      <c r="S48" s="126">
        <f>SUM(S24,S16,S8)</f>
        <v>1</v>
      </c>
      <c r="T48" s="129">
        <f>SUM(T24,T16,T8)</f>
        <v>4</v>
      </c>
      <c r="U48" s="129">
        <f>U40+U32+U24+U16+U8</f>
        <v>69</v>
      </c>
      <c r="V48" s="1"/>
      <c r="W48" s="219"/>
    </row>
    <row r="49" spans="11:23" ht="14.4" thickTop="1" thickBot="1" x14ac:dyDescent="0.3">
      <c r="K49" s="130" t="s">
        <v>76</v>
      </c>
      <c r="L49" s="131">
        <f>L41+L33+L25+L17+L9</f>
        <v>55</v>
      </c>
      <c r="M49" s="132">
        <f>M41+M33+M25+M17+M9</f>
        <v>31</v>
      </c>
      <c r="N49" s="220">
        <f>SUM(N25,N17,N9,N33,N41)</f>
        <v>86</v>
      </c>
      <c r="O49" s="133"/>
      <c r="P49" s="131"/>
      <c r="Q49" s="134">
        <f>SUM(Q25,Q17,Q9,Q33,Q41)</f>
        <v>65</v>
      </c>
      <c r="R49" s="135">
        <f>SUM(R25,R17,R9,R33,R41)</f>
        <v>65</v>
      </c>
      <c r="S49" s="134">
        <f>SUM(S25,S17,S9)</f>
        <v>1</v>
      </c>
      <c r="T49" s="136">
        <f>SUM(T25,T17,T9,T33,T41)</f>
        <v>19</v>
      </c>
      <c r="U49" s="222">
        <f>S49+R49+Q49+T49</f>
        <v>150</v>
      </c>
      <c r="V49" s="1"/>
      <c r="W49" s="219"/>
    </row>
    <row r="50" spans="11:23" ht="14.4" thickTop="1" thickBot="1" x14ac:dyDescent="0.3">
      <c r="K50" s="137" t="s">
        <v>77</v>
      </c>
      <c r="L50" s="138">
        <f>L49/N49</f>
        <v>0.63953488372093026</v>
      </c>
      <c r="M50" s="139">
        <f>M49/N49</f>
        <v>0.36046511627906974</v>
      </c>
      <c r="N50" s="221"/>
      <c r="O50" s="125"/>
      <c r="P50" s="137"/>
      <c r="Q50" s="140">
        <f>Q49/U49</f>
        <v>0.43333333333333335</v>
      </c>
      <c r="R50" s="141">
        <f>R49/U49</f>
        <v>0.43333333333333335</v>
      </c>
      <c r="S50" s="140">
        <f>S49/U49</f>
        <v>6.6666666666666671E-3</v>
      </c>
      <c r="T50" s="142">
        <f>T49/U49</f>
        <v>0.12666666666666668</v>
      </c>
      <c r="U50" s="221"/>
      <c r="V50" s="1">
        <f>(((L50*L46)+(M50*M46)))+((Q50*Q46)+(R50*R46)+(T50*R46)+S46*S50)</f>
        <v>4.9337984496124037</v>
      </c>
      <c r="W50" s="219"/>
    </row>
    <row r="51" spans="11:23" ht="13.8" thickTop="1" x14ac:dyDescent="0.25"/>
  </sheetData>
  <mergeCells count="48">
    <mergeCell ref="W47:W50"/>
    <mergeCell ref="N49:N50"/>
    <mergeCell ref="U49:U50"/>
    <mergeCell ref="K37:K38"/>
    <mergeCell ref="L37:N37"/>
    <mergeCell ref="P37:T37"/>
    <mergeCell ref="U37:U38"/>
    <mergeCell ref="W37:W38"/>
    <mergeCell ref="W39:W42"/>
    <mergeCell ref="N41:N42"/>
    <mergeCell ref="U41:U42"/>
    <mergeCell ref="K45:K46"/>
    <mergeCell ref="L45:N45"/>
    <mergeCell ref="P45:T45"/>
    <mergeCell ref="U45:U46"/>
    <mergeCell ref="W45:W46"/>
    <mergeCell ref="W31:W34"/>
    <mergeCell ref="N33:N34"/>
    <mergeCell ref="U33:U34"/>
    <mergeCell ref="K21:K22"/>
    <mergeCell ref="L21:N21"/>
    <mergeCell ref="P21:T21"/>
    <mergeCell ref="U21:U22"/>
    <mergeCell ref="W21:W22"/>
    <mergeCell ref="W23:W26"/>
    <mergeCell ref="N25:N26"/>
    <mergeCell ref="U25:U26"/>
    <mergeCell ref="K29:K30"/>
    <mergeCell ref="L29:N29"/>
    <mergeCell ref="P29:T29"/>
    <mergeCell ref="U29:U30"/>
    <mergeCell ref="W29:W30"/>
    <mergeCell ref="W15:W18"/>
    <mergeCell ref="N17:N18"/>
    <mergeCell ref="U17:U18"/>
    <mergeCell ref="K5:K6"/>
    <mergeCell ref="L5:N5"/>
    <mergeCell ref="P5:T5"/>
    <mergeCell ref="U5:U6"/>
    <mergeCell ref="W5:W6"/>
    <mergeCell ref="W7:W10"/>
    <mergeCell ref="N9:N10"/>
    <mergeCell ref="U9:U10"/>
    <mergeCell ref="K13:K14"/>
    <mergeCell ref="L13:N13"/>
    <mergeCell ref="P13:T13"/>
    <mergeCell ref="U13:U14"/>
    <mergeCell ref="W13:W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and Area Standardization</vt:lpstr>
      <vt:lpstr>Age Structure</vt:lpstr>
    </vt:vector>
  </TitlesOfParts>
  <Company>BC Conservation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McCulloch, Mike FLNR:EX</cp:lastModifiedBy>
  <cp:lastPrinted>2019-04-26T19:05:47Z</cp:lastPrinted>
  <dcterms:created xsi:type="dcterms:W3CDTF">2006-02-22T22:21:31Z</dcterms:created>
  <dcterms:modified xsi:type="dcterms:W3CDTF">2022-10-26T23:54:29Z</dcterms:modified>
</cp:coreProperties>
</file>