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alomeBotelho/Desktop/"/>
    </mc:Choice>
  </mc:AlternateContent>
  <bookViews>
    <workbookView xWindow="0" yWindow="460" windowWidth="25200" windowHeight="11860" activeTab="5"/>
  </bookViews>
  <sheets>
    <sheet name="Sheet1" sheetId="1" r:id="rId1"/>
    <sheet name="art syn form" sheetId="3" r:id="rId2"/>
    <sheet name="Sheet2" sheetId="2" r:id="rId3"/>
    <sheet name="BirA Bella" sheetId="4" r:id="rId4"/>
    <sheet name="Sheet4" sheetId="5" r:id="rId5"/>
    <sheet name="Sheet3" sheetId="6" r:id="rId6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6" l="1"/>
  <c r="D48" i="6"/>
  <c r="E44" i="6"/>
  <c r="D52" i="1"/>
  <c r="E52" i="1"/>
  <c r="F52" i="1"/>
  <c r="E92" i="6"/>
  <c r="E88" i="6"/>
  <c r="E84" i="6"/>
  <c r="E80" i="6"/>
  <c r="E76" i="6"/>
  <c r="E72" i="6"/>
  <c r="E66" i="6"/>
  <c r="E54" i="6"/>
  <c r="E51" i="6"/>
  <c r="D51" i="1"/>
  <c r="E51" i="1"/>
  <c r="F51" i="1"/>
  <c r="D50" i="1"/>
  <c r="E50" i="1"/>
  <c r="F50" i="1"/>
  <c r="D49" i="1"/>
  <c r="E49" i="1"/>
  <c r="F49" i="1"/>
  <c r="D48" i="1"/>
  <c r="E48" i="1"/>
  <c r="F48" i="1"/>
  <c r="D46" i="1"/>
  <c r="E46" i="1"/>
  <c r="F46" i="1"/>
  <c r="D47" i="1"/>
  <c r="E47" i="1"/>
  <c r="F47" i="1"/>
  <c r="D45" i="1"/>
  <c r="E45" i="1"/>
  <c r="F45" i="1"/>
  <c r="D43" i="1"/>
  <c r="E43" i="1"/>
  <c r="F43" i="1"/>
  <c r="D44" i="1"/>
  <c r="E44" i="1"/>
  <c r="F44" i="1"/>
  <c r="D42" i="1"/>
  <c r="E42" i="1"/>
  <c r="F42" i="1"/>
  <c r="D41" i="1"/>
  <c r="E41" i="1"/>
  <c r="F41" i="1"/>
  <c r="E57" i="6"/>
  <c r="E41" i="6"/>
  <c r="E38" i="6"/>
  <c r="E35" i="6"/>
  <c r="E32" i="6"/>
  <c r="E29" i="6"/>
  <c r="E26" i="6"/>
  <c r="E20" i="6"/>
  <c r="E17" i="6"/>
  <c r="E14" i="6"/>
  <c r="E11" i="6"/>
  <c r="E8" i="6"/>
  <c r="E5" i="6"/>
  <c r="E2" i="6"/>
  <c r="D69" i="6"/>
  <c r="E69" i="6"/>
  <c r="D60" i="6"/>
  <c r="E60" i="6"/>
  <c r="D63" i="6"/>
  <c r="E63" i="6"/>
  <c r="D23" i="6"/>
  <c r="E23" i="6"/>
  <c r="D35" i="4"/>
  <c r="D23" i="4"/>
  <c r="B36" i="4"/>
  <c r="B35" i="4"/>
  <c r="C35" i="4"/>
  <c r="B24" i="4"/>
  <c r="B23" i="4"/>
  <c r="C23" i="4"/>
  <c r="C57" i="4"/>
  <c r="B49" i="4"/>
  <c r="B48" i="4"/>
  <c r="B45" i="4"/>
  <c r="B44" i="4"/>
  <c r="B42" i="4"/>
  <c r="B41" i="4"/>
  <c r="B39" i="4"/>
  <c r="B38" i="4"/>
  <c r="B33" i="4"/>
  <c r="B21" i="4"/>
  <c r="B20" i="4"/>
  <c r="B18" i="4"/>
  <c r="B17" i="4"/>
  <c r="B15" i="4"/>
  <c r="B14" i="4"/>
  <c r="B12" i="4"/>
  <c r="B11" i="4"/>
  <c r="B9" i="4"/>
  <c r="B8" i="4"/>
  <c r="B6" i="4"/>
  <c r="B5" i="4"/>
  <c r="B3" i="4"/>
  <c r="B2" i="4"/>
  <c r="C54" i="4"/>
  <c r="C51" i="4"/>
  <c r="C26" i="4"/>
  <c r="C29" i="4"/>
  <c r="D40" i="1"/>
  <c r="E40" i="1"/>
  <c r="F40" i="1"/>
  <c r="C48" i="4"/>
  <c r="C44" i="4"/>
  <c r="C41" i="4"/>
  <c r="C38" i="4"/>
  <c r="C32" i="4"/>
  <c r="C20" i="4"/>
  <c r="C17" i="4"/>
  <c r="C14" i="4"/>
  <c r="C11" i="4"/>
  <c r="C8" i="4"/>
  <c r="C5" i="4"/>
  <c r="C2" i="4"/>
  <c r="C26" i="5"/>
  <c r="C23" i="5"/>
  <c r="C2" i="5"/>
  <c r="B39" i="5"/>
  <c r="B38" i="5"/>
  <c r="C38" i="5"/>
  <c r="B36" i="5"/>
  <c r="B35" i="5"/>
  <c r="C35" i="5"/>
  <c r="B33" i="5"/>
  <c r="B32" i="5"/>
  <c r="C32" i="5"/>
  <c r="B30" i="5"/>
  <c r="C29" i="5"/>
  <c r="B29" i="5"/>
  <c r="B27" i="5"/>
  <c r="B26" i="5"/>
  <c r="B24" i="5"/>
  <c r="B23" i="5"/>
  <c r="B21" i="5"/>
  <c r="B20" i="5"/>
  <c r="C20" i="5"/>
  <c r="B18" i="5"/>
  <c r="C17" i="5"/>
  <c r="B17" i="5"/>
  <c r="B15" i="5"/>
  <c r="B14" i="5"/>
  <c r="C14" i="5"/>
  <c r="B12" i="5"/>
  <c r="C11" i="5"/>
  <c r="B11" i="5"/>
  <c r="B8" i="5"/>
  <c r="C8" i="5"/>
  <c r="B41" i="5"/>
  <c r="C41" i="5"/>
  <c r="B42" i="5"/>
  <c r="B9" i="5"/>
  <c r="B6" i="5"/>
  <c r="B5" i="5"/>
  <c r="C5" i="5"/>
  <c r="B3" i="5"/>
  <c r="B2" i="5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31" i="1"/>
  <c r="E31" i="1"/>
  <c r="D30" i="1"/>
  <c r="E30" i="1"/>
  <c r="F39" i="1"/>
  <c r="F38" i="1"/>
  <c r="F37" i="1"/>
  <c r="F36" i="1"/>
  <c r="F35" i="1"/>
  <c r="F34" i="1"/>
  <c r="F33" i="1"/>
  <c r="F32" i="1"/>
  <c r="F31" i="1"/>
  <c r="F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5" i="1"/>
  <c r="D17" i="1"/>
  <c r="E17" i="1"/>
  <c r="F17" i="1"/>
  <c r="D16" i="1"/>
  <c r="E16" i="1"/>
  <c r="F16" i="1"/>
  <c r="D15" i="1"/>
  <c r="E15" i="1"/>
  <c r="F15" i="1"/>
  <c r="D14" i="1"/>
  <c r="E14" i="1"/>
  <c r="F14" i="1"/>
  <c r="D13" i="1"/>
  <c r="E13" i="1"/>
  <c r="F13" i="1"/>
  <c r="D12" i="1"/>
  <c r="E12" i="1"/>
  <c r="F12" i="1"/>
  <c r="D11" i="1"/>
  <c r="E11" i="1"/>
  <c r="F11" i="1"/>
  <c r="D10" i="1"/>
  <c r="E10" i="1"/>
  <c r="F10" i="1"/>
  <c r="D9" i="1"/>
  <c r="E9" i="1"/>
  <c r="F9" i="1"/>
  <c r="D8" i="1"/>
  <c r="E8" i="1"/>
  <c r="F8" i="1"/>
  <c r="D7" i="1"/>
  <c r="D6" i="1"/>
  <c r="E6" i="1"/>
  <c r="D5" i="1"/>
  <c r="E5" i="1"/>
  <c r="D4" i="1"/>
  <c r="D3" i="1"/>
  <c r="E3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D24" i="1"/>
  <c r="E24" i="1"/>
  <c r="D25" i="1"/>
  <c r="D26" i="1"/>
  <c r="D27" i="1"/>
  <c r="D28" i="1"/>
  <c r="E28" i="1"/>
  <c r="F28" i="1"/>
  <c r="D29" i="1"/>
  <c r="E29" i="1"/>
  <c r="F29" i="1"/>
  <c r="D2" i="1"/>
  <c r="E2" i="1"/>
  <c r="E26" i="1"/>
  <c r="F26" i="1"/>
  <c r="E25" i="1"/>
  <c r="F25" i="1"/>
  <c r="E4" i="1"/>
  <c r="F4" i="1"/>
  <c r="E7" i="1"/>
  <c r="F7" i="1"/>
  <c r="E27" i="1"/>
  <c r="F27" i="1"/>
  <c r="F24" i="1"/>
  <c r="F23" i="1"/>
  <c r="F6" i="1"/>
  <c r="F2" i="1"/>
  <c r="F5" i="1"/>
  <c r="F3" i="1"/>
  <c r="C23" i="3"/>
  <c r="C26" i="3"/>
  <c r="B26" i="3"/>
  <c r="B2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</calcChain>
</file>

<file path=xl/sharedStrings.xml><?xml version="1.0" encoding="utf-8"?>
<sst xmlns="http://schemas.openxmlformats.org/spreadsheetml/2006/main" count="360" uniqueCount="172">
  <si>
    <t>HN1A</t>
  </si>
  <si>
    <t>HBN1A</t>
  </si>
  <si>
    <t>N1AHB</t>
  </si>
  <si>
    <t>HN1B</t>
  </si>
  <si>
    <t>HN2A</t>
  </si>
  <si>
    <t>HBN2A</t>
  </si>
  <si>
    <t>N2AHB</t>
  </si>
  <si>
    <t>HN2B</t>
  </si>
  <si>
    <t>HBN2B</t>
  </si>
  <si>
    <t>HN3A</t>
  </si>
  <si>
    <t>HBN3A</t>
  </si>
  <si>
    <t>N3AHB</t>
  </si>
  <si>
    <t>HN3B</t>
  </si>
  <si>
    <t>HBN3B</t>
  </si>
  <si>
    <t>DMD</t>
  </si>
  <si>
    <t>DBD</t>
  </si>
  <si>
    <t>DB</t>
  </si>
  <si>
    <t>FMF</t>
  </si>
  <si>
    <t>FBF</t>
  </si>
  <si>
    <t>FB</t>
  </si>
  <si>
    <t>SMS</t>
  </si>
  <si>
    <t>SBS</t>
  </si>
  <si>
    <t>SB</t>
  </si>
  <si>
    <t>Nt</t>
  </si>
  <si>
    <t>Ct</t>
  </si>
  <si>
    <t>Length (bp)</t>
  </si>
  <si>
    <t>Concentration (ug/ul)</t>
  </si>
  <si>
    <t>Concentration (pmol/ul)</t>
  </si>
  <si>
    <t>FLAG-LRRTM2</t>
  </si>
  <si>
    <t>Cbln1-V5</t>
  </si>
  <si>
    <t>CA10-V5</t>
  </si>
  <si>
    <t>a3-liprin</t>
  </si>
  <si>
    <t>CS3-FLAG</t>
  </si>
  <si>
    <t>Nxph1-FLAG</t>
  </si>
  <si>
    <t>FAM19A1-V5</t>
  </si>
  <si>
    <t>TrkC-YFP</t>
  </si>
  <si>
    <t>Mint1</t>
  </si>
  <si>
    <t>Veli2</t>
  </si>
  <si>
    <t>EGFP-CASK</t>
  </si>
  <si>
    <t>NGL-3</t>
  </si>
  <si>
    <t>FLAG-Lat3</t>
  </si>
  <si>
    <t>Myc/His-Hevin</t>
  </si>
  <si>
    <t>Myc-Teneurin</t>
  </si>
  <si>
    <t>HBN1B</t>
  </si>
  <si>
    <t>MW (kDa)</t>
  </si>
  <si>
    <t>FLAG-aDG</t>
  </si>
  <si>
    <t>Nlgn1</t>
  </si>
  <si>
    <t>Unc5b-FLAG</t>
  </si>
  <si>
    <t>Slitrk4</t>
  </si>
  <si>
    <t>pCMV5</t>
  </si>
  <si>
    <t>FHS14-020</t>
  </si>
  <si>
    <t>DNA</t>
  </si>
  <si>
    <t>pEmerald</t>
  </si>
  <si>
    <t>H2O</t>
  </si>
  <si>
    <t>P3000 MM</t>
  </si>
  <si>
    <t>P3000</t>
  </si>
  <si>
    <t>OptiMEM</t>
  </si>
  <si>
    <t>L3K MM</t>
  </si>
  <si>
    <t>L3K</t>
  </si>
  <si>
    <t>20.5 per</t>
  </si>
  <si>
    <t>25 per</t>
  </si>
  <si>
    <t>Emerald</t>
  </si>
  <si>
    <t>ug</t>
  </si>
  <si>
    <t>Ca2+</t>
  </si>
  <si>
    <t>PTPRs IG 1-4</t>
  </si>
  <si>
    <t>PTPRs IG (1-2)-1</t>
  </si>
  <si>
    <t>PTPRs IG (1-3)-3</t>
  </si>
  <si>
    <t>PTPRs IG (1-3) FN 1-3</t>
  </si>
  <si>
    <t>PTPRs IG (1-3) FN (1-2)-4</t>
  </si>
  <si>
    <t>PTPRs IG (1-3) FN (1-3)-4</t>
  </si>
  <si>
    <t>Nrx1aLNS 1-4</t>
  </si>
  <si>
    <t>Nrx1aLNS (1-2) - 1</t>
  </si>
  <si>
    <t>Nrx1aLNS (1-3) - 1</t>
  </si>
  <si>
    <t>Nrx1aLNS (1-4) - 1</t>
  </si>
  <si>
    <t>Gel 1</t>
  </si>
  <si>
    <t>Gel 2</t>
  </si>
  <si>
    <t>Gel 3</t>
  </si>
  <si>
    <t>Gel 4</t>
  </si>
  <si>
    <t>Ladder</t>
  </si>
  <si>
    <t>ladder</t>
  </si>
  <si>
    <t>1 input</t>
  </si>
  <si>
    <t>2 input</t>
  </si>
  <si>
    <t>3 input</t>
  </si>
  <si>
    <t>4 input</t>
  </si>
  <si>
    <t>5 input</t>
  </si>
  <si>
    <t>6 input</t>
  </si>
  <si>
    <t>7 input</t>
  </si>
  <si>
    <t>8 input</t>
  </si>
  <si>
    <t>9 input</t>
  </si>
  <si>
    <t>10 input</t>
  </si>
  <si>
    <t>11 input</t>
  </si>
  <si>
    <t>12 input</t>
  </si>
  <si>
    <t>13 input</t>
  </si>
  <si>
    <t>14 input</t>
  </si>
  <si>
    <t>15 input</t>
  </si>
  <si>
    <t>16 input</t>
  </si>
  <si>
    <t>17 input</t>
  </si>
  <si>
    <t>18 input</t>
  </si>
  <si>
    <t>19 input</t>
  </si>
  <si>
    <t>20 input</t>
  </si>
  <si>
    <t>21 input</t>
  </si>
  <si>
    <t>22 input</t>
  </si>
  <si>
    <t>blank</t>
  </si>
  <si>
    <t>23 input</t>
  </si>
  <si>
    <t>24 input</t>
  </si>
  <si>
    <t>25 input</t>
  </si>
  <si>
    <t>26 input</t>
  </si>
  <si>
    <t>27 input</t>
  </si>
  <si>
    <t>28 input</t>
  </si>
  <si>
    <t>0.15 pmol</t>
  </si>
  <si>
    <t>L3000 + OptiMEM</t>
  </si>
  <si>
    <t>2x HBS</t>
  </si>
  <si>
    <t>liprin</t>
  </si>
  <si>
    <t>8-13</t>
  </si>
  <si>
    <t>17-22</t>
  </si>
  <si>
    <t>Gel 5</t>
  </si>
  <si>
    <t>29 input</t>
  </si>
  <si>
    <t>100/200/400/1000/2000/4000</t>
  </si>
  <si>
    <t>stock (2 mM): 2.5 ul 0.2M/250 ul media</t>
  </si>
  <si>
    <t>10 ul/20 ml (1-8,14-16, 23-29)</t>
  </si>
  <si>
    <t>1: 19 wells</t>
  </si>
  <si>
    <t>0.5:  2 wells</t>
  </si>
  <si>
    <t>2: 2 wells</t>
  </si>
  <si>
    <t>4: 2 wells</t>
  </si>
  <si>
    <t>8: 2 wells</t>
  </si>
  <si>
    <t>16: 2 wells</t>
  </si>
  <si>
    <t>0.375 ul/1.5 ml (9, 18)</t>
  </si>
  <si>
    <t>1.5 ul/ 1.5ml (10,19)</t>
  </si>
  <si>
    <t>3 ul/1.5 ml (11, 20)</t>
  </si>
  <si>
    <t>6 ul/1.5 ml (12, 21)</t>
  </si>
  <si>
    <t>12 ul/1.5 ml (13, 22)</t>
  </si>
  <si>
    <t>-Ig1</t>
  </si>
  <si>
    <t>-Ig2</t>
  </si>
  <si>
    <t>-Ig3</t>
  </si>
  <si>
    <t>-Fn1</t>
  </si>
  <si>
    <t>-Fn2</t>
  </si>
  <si>
    <t>-Fn3</t>
  </si>
  <si>
    <t>HBN1B (*5)</t>
  </si>
  <si>
    <t>SMS (*5)</t>
  </si>
  <si>
    <t>-LNS1</t>
  </si>
  <si>
    <t>-LNS2</t>
  </si>
  <si>
    <t>-LNS3</t>
  </si>
  <si>
    <t>-LNS4</t>
  </si>
  <si>
    <t>SBS (*5)</t>
  </si>
  <si>
    <t>HN1B (*5)</t>
  </si>
  <si>
    <t>N1AHB (*5)</t>
  </si>
  <si>
    <t>liprin (*5)</t>
  </si>
  <si>
    <t>SB (*5)</t>
  </si>
  <si>
    <t>Ct (*5)</t>
  </si>
  <si>
    <t>8-12</t>
  </si>
  <si>
    <t>mSBS</t>
  </si>
  <si>
    <t>mSB</t>
  </si>
  <si>
    <t>27-31</t>
  </si>
  <si>
    <t>32-36</t>
  </si>
  <si>
    <t>38-42</t>
  </si>
  <si>
    <t>L1-EC</t>
  </si>
  <si>
    <t>FLAG-N1B</t>
  </si>
  <si>
    <t>L2-EC</t>
  </si>
  <si>
    <t>IC-L1</t>
  </si>
  <si>
    <t>PSD-95 GFP</t>
  </si>
  <si>
    <t>IC-L2</t>
  </si>
  <si>
    <t>Kalirin GFP</t>
  </si>
  <si>
    <t>PSD95 GFP</t>
  </si>
  <si>
    <t>PSD95-GFP</t>
  </si>
  <si>
    <t>Nx1b-V5</t>
  </si>
  <si>
    <t>GFP-Kal2</t>
  </si>
  <si>
    <t>GFP-PSD95</t>
  </si>
  <si>
    <t>EC-L1</t>
  </si>
  <si>
    <t>EC-L2</t>
  </si>
  <si>
    <t>4 (tube 2)</t>
  </si>
  <si>
    <t>HN1A-SS3</t>
  </si>
  <si>
    <t>20-23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</si>
</sst>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quotePrefix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quotePrefix="1" applyFont="1" applyBorder="1"/>
    <xf numFmtId="16" fontId="5" fillId="0" borderId="1" xfId="0" quotePrefix="1" applyNumberFormat="1" applyFont="1" applyBorder="1" applyAlignment="1">
      <alignment horizontal="right"/>
    </xf>
    <xf numFmtId="0" fontId="5" fillId="0" borderId="1" xfId="0" quotePrefix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Fill="1" applyBorder="1"/>
    <xf numFmtId="0" fontId="5" fillId="0" borderId="7" xfId="0" applyFont="1" applyBorder="1"/>
    <xf numFmtId="0" fontId="5" fillId="0" borderId="0" xfId="0" applyFont="1" applyFill="1" applyBorder="1"/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5" workbookViewId="0">
      <selection activeCell="A53" sqref="A53"/>
    </sheetView>
  </sheetViews>
  <sheetFormatPr baseColWidth="10" defaultColWidth="8.83203125" defaultRowHeight="15" x14ac:dyDescent="0.2"/>
  <cols>
    <col min="1" max="1" width="21.6640625" bestFit="1" customWidth="1"/>
    <col min="2" max="2" width="11.1640625" style="1" bestFit="1" customWidth="1"/>
    <col min="3" max="3" width="20.5" style="1" bestFit="1" customWidth="1"/>
    <col min="4" max="4" width="23" style="1" bestFit="1" customWidth="1"/>
    <col min="5" max="5" width="32.5" bestFit="1" customWidth="1"/>
    <col min="6" max="6" width="14.5" style="1" bestFit="1" customWidth="1"/>
    <col min="7" max="7" width="12.33203125" style="1" customWidth="1"/>
    <col min="10" max="10" width="10.83203125" customWidth="1"/>
  </cols>
  <sheetData>
    <row r="1" spans="1:12" x14ac:dyDescent="0.2">
      <c r="B1" s="2" t="s">
        <v>25</v>
      </c>
      <c r="C1" s="2" t="s">
        <v>26</v>
      </c>
      <c r="D1" s="2" t="s">
        <v>27</v>
      </c>
      <c r="E1" s="2" t="s">
        <v>109</v>
      </c>
      <c r="F1" s="2" t="s">
        <v>62</v>
      </c>
      <c r="G1" s="2"/>
      <c r="H1" s="2"/>
    </row>
    <row r="2" spans="1:12" x14ac:dyDescent="0.2">
      <c r="A2" t="s">
        <v>0</v>
      </c>
      <c r="B2" s="1">
        <v>9094</v>
      </c>
      <c r="C2" s="1">
        <v>0.65969999999999995</v>
      </c>
      <c r="D2" s="3">
        <f t="shared" ref="D2:D17" si="0">(C2/660)*1000000*(1/B2)</f>
        <v>0.1099126297059</v>
      </c>
      <c r="E2" s="4">
        <f>0.3/D2</f>
        <v>2.7294406548431103</v>
      </c>
      <c r="F2" s="4">
        <f>E2*C2</f>
        <v>1.8006119999999997</v>
      </c>
      <c r="G2" s="4"/>
      <c r="H2" s="4"/>
    </row>
    <row r="3" spans="1:12" x14ac:dyDescent="0.2">
      <c r="A3" t="s">
        <v>1</v>
      </c>
      <c r="B3" s="1">
        <v>9808</v>
      </c>
      <c r="C3" s="1">
        <v>0.57909999999999995</v>
      </c>
      <c r="D3" s="3">
        <f t="shared" si="0"/>
        <v>8.9460057343417859E-2</v>
      </c>
      <c r="E3" s="4">
        <f t="shared" ref="E3:E42" si="1">0.3/D3</f>
        <v>3.3534519081333105</v>
      </c>
      <c r="F3" s="4">
        <f t="shared" ref="F3:F42" si="2">E3*C3</f>
        <v>1.9419839999999999</v>
      </c>
      <c r="G3" s="4"/>
      <c r="H3" s="6"/>
    </row>
    <row r="4" spans="1:12" x14ac:dyDescent="0.2">
      <c r="A4" t="s">
        <v>2</v>
      </c>
      <c r="B4" s="1">
        <v>9826</v>
      </c>
      <c r="C4" s="1">
        <v>0.48180000000000001</v>
      </c>
      <c r="D4" s="3">
        <f t="shared" si="0"/>
        <v>7.4292692855688985E-2</v>
      </c>
      <c r="E4" s="4">
        <f t="shared" si="1"/>
        <v>4.0380821917808216</v>
      </c>
      <c r="F4" s="4">
        <f>E4*C4</f>
        <v>1.9455479999999998</v>
      </c>
      <c r="G4" s="4"/>
      <c r="H4" s="6"/>
      <c r="I4" s="2" t="s">
        <v>51</v>
      </c>
      <c r="J4" s="2" t="s">
        <v>52</v>
      </c>
      <c r="K4" s="2" t="s">
        <v>63</v>
      </c>
      <c r="L4" s="2" t="s">
        <v>53</v>
      </c>
    </row>
    <row r="5" spans="1:12" x14ac:dyDescent="0.2">
      <c r="A5" t="s">
        <v>3</v>
      </c>
      <c r="B5" s="1">
        <v>6037</v>
      </c>
      <c r="C5" s="1">
        <v>0.4506</v>
      </c>
      <c r="D5" s="3">
        <f t="shared" si="0"/>
        <v>0.11309048744861233</v>
      </c>
      <c r="E5" s="4">
        <f t="shared" si="1"/>
        <v>2.6527430093209059</v>
      </c>
      <c r="F5" s="4">
        <f t="shared" si="2"/>
        <v>1.1953260000000001</v>
      </c>
      <c r="G5" s="4"/>
      <c r="H5" s="6" t="s">
        <v>1</v>
      </c>
      <c r="I5" s="4">
        <v>1.7207017543859646</v>
      </c>
      <c r="J5" s="1">
        <v>0.9</v>
      </c>
      <c r="K5" s="1">
        <v>3.1</v>
      </c>
      <c r="L5" s="4">
        <f>25-SUM(I5:K5)</f>
        <v>19.279298245614036</v>
      </c>
    </row>
    <row r="6" spans="1:12" x14ac:dyDescent="0.2">
      <c r="A6" t="s">
        <v>43</v>
      </c>
      <c r="B6" s="1">
        <v>6748</v>
      </c>
      <c r="C6" s="1">
        <v>0.5575</v>
      </c>
      <c r="D6" s="3">
        <f t="shared" si="0"/>
        <v>0.12517738140144777</v>
      </c>
      <c r="E6" s="4">
        <f t="shared" si="1"/>
        <v>2.3965991031390139</v>
      </c>
      <c r="F6" s="4">
        <f t="shared" si="2"/>
        <v>1.3361040000000002</v>
      </c>
      <c r="G6" s="4"/>
      <c r="H6" s="6" t="s">
        <v>2</v>
      </c>
      <c r="I6" s="4">
        <v>1.7543264201983768</v>
      </c>
      <c r="J6" s="1">
        <v>0.9</v>
      </c>
      <c r="K6" s="1">
        <v>3.1</v>
      </c>
      <c r="L6" s="4">
        <f t="shared" ref="L6:L21" si="3">25-SUM(I6:K6)</f>
        <v>19.245673579801625</v>
      </c>
    </row>
    <row r="7" spans="1:12" x14ac:dyDescent="0.2">
      <c r="A7" t="s">
        <v>4</v>
      </c>
      <c r="B7" s="1">
        <v>9586</v>
      </c>
      <c r="C7" s="1">
        <v>0.42020000000000002</v>
      </c>
      <c r="D7" s="3">
        <f t="shared" si="0"/>
        <v>6.6416301550872803E-2</v>
      </c>
      <c r="E7" s="4">
        <f t="shared" si="1"/>
        <v>4.5169633507853399</v>
      </c>
      <c r="F7" s="4">
        <f t="shared" si="2"/>
        <v>1.8980279999999998</v>
      </c>
      <c r="G7" s="4"/>
      <c r="H7" s="6" t="s">
        <v>43</v>
      </c>
      <c r="I7" s="4">
        <v>1.1965824825362708</v>
      </c>
      <c r="J7" s="1">
        <v>0.9</v>
      </c>
      <c r="K7" s="1">
        <v>3.1</v>
      </c>
      <c r="L7" s="4">
        <f t="shared" si="3"/>
        <v>19.803417517463728</v>
      </c>
    </row>
    <row r="8" spans="1:12" x14ac:dyDescent="0.2">
      <c r="A8" t="s">
        <v>5</v>
      </c>
      <c r="B8" s="1">
        <v>10300</v>
      </c>
      <c r="C8" s="1">
        <v>0.39439999999999997</v>
      </c>
      <c r="D8" s="3">
        <f t="shared" si="0"/>
        <v>5.8017063842306558E-2</v>
      </c>
      <c r="E8" s="4">
        <f t="shared" si="1"/>
        <v>5.1708924949290065</v>
      </c>
      <c r="F8" s="4">
        <f t="shared" si="2"/>
        <v>2.0394000000000001</v>
      </c>
      <c r="G8" s="4"/>
      <c r="H8" s="6" t="s">
        <v>5</v>
      </c>
      <c r="I8" s="4">
        <v>1.8363047001620745</v>
      </c>
      <c r="J8" s="1">
        <v>0.9</v>
      </c>
      <c r="K8" s="1">
        <v>3.1</v>
      </c>
      <c r="L8" s="4">
        <f t="shared" si="3"/>
        <v>19.163695299837926</v>
      </c>
    </row>
    <row r="9" spans="1:12" x14ac:dyDescent="0.2">
      <c r="A9" t="s">
        <v>6</v>
      </c>
      <c r="B9" s="1">
        <v>10318</v>
      </c>
      <c r="C9" s="1">
        <v>0.50170000000000003</v>
      </c>
      <c r="D9" s="3">
        <f t="shared" si="0"/>
        <v>7.3672370144554675E-2</v>
      </c>
      <c r="E9" s="4">
        <f t="shared" si="1"/>
        <v>4.0720829180785332</v>
      </c>
      <c r="F9" s="4">
        <f t="shared" si="2"/>
        <v>2.0429640000000004</v>
      </c>
      <c r="G9" s="4"/>
      <c r="H9" s="6" t="s">
        <v>6</v>
      </c>
      <c r="I9" s="4">
        <v>2.2729906542056071</v>
      </c>
      <c r="J9" s="1">
        <v>0.9</v>
      </c>
      <c r="K9" s="1">
        <v>3.1</v>
      </c>
      <c r="L9" s="4">
        <f t="shared" si="3"/>
        <v>18.727009345794393</v>
      </c>
    </row>
    <row r="10" spans="1:12" x14ac:dyDescent="0.2">
      <c r="A10" t="s">
        <v>7</v>
      </c>
      <c r="B10" s="1">
        <v>6577</v>
      </c>
      <c r="C10" s="1">
        <v>0.65539999999999998</v>
      </c>
      <c r="D10" s="3">
        <f t="shared" si="0"/>
        <v>0.15098529770872787</v>
      </c>
      <c r="E10" s="4">
        <f t="shared" si="1"/>
        <v>1.9869484284406465</v>
      </c>
      <c r="F10" s="4">
        <f t="shared" si="2"/>
        <v>1.3022459999999996</v>
      </c>
      <c r="G10" s="4"/>
      <c r="H10" s="6" t="s">
        <v>8</v>
      </c>
      <c r="I10" s="4">
        <v>1.2312491467576792</v>
      </c>
      <c r="J10" s="1">
        <v>0.9</v>
      </c>
      <c r="K10" s="1">
        <v>3.1</v>
      </c>
      <c r="L10" s="4">
        <f t="shared" si="3"/>
        <v>19.76875085324232</v>
      </c>
    </row>
    <row r="11" spans="1:12" x14ac:dyDescent="0.2">
      <c r="A11" t="s">
        <v>8</v>
      </c>
      <c r="B11" s="1">
        <v>7288</v>
      </c>
      <c r="C11" s="1">
        <v>0.53590000000000004</v>
      </c>
      <c r="D11" s="3">
        <f t="shared" si="0"/>
        <v>0.11141186840967304</v>
      </c>
      <c r="E11" s="4">
        <f t="shared" si="1"/>
        <v>2.6927113267400626</v>
      </c>
      <c r="F11" s="4">
        <f t="shared" si="2"/>
        <v>1.4430239999999996</v>
      </c>
      <c r="G11" s="4"/>
      <c r="H11" s="6" t="s">
        <v>10</v>
      </c>
      <c r="I11" s="4">
        <v>1.8238761974944731</v>
      </c>
      <c r="J11" s="1">
        <v>0.9</v>
      </c>
      <c r="K11" s="1">
        <v>3.1</v>
      </c>
      <c r="L11" s="4">
        <f t="shared" si="3"/>
        <v>19.176123802505529</v>
      </c>
    </row>
    <row r="12" spans="1:12" x14ac:dyDescent="0.2">
      <c r="A12" t="s">
        <v>9</v>
      </c>
      <c r="B12" s="1">
        <v>9286</v>
      </c>
      <c r="C12" s="1">
        <v>0.42159999999999997</v>
      </c>
      <c r="D12" s="3">
        <f t="shared" si="0"/>
        <v>6.8790424164104969E-2</v>
      </c>
      <c r="E12" s="4">
        <f t="shared" si="1"/>
        <v>4.3610721062618598</v>
      </c>
      <c r="F12" s="4">
        <f t="shared" si="2"/>
        <v>1.8386279999999999</v>
      </c>
      <c r="G12" s="4"/>
      <c r="H12" s="6" t="s">
        <v>11</v>
      </c>
      <c r="I12" s="4">
        <v>1.8894684701847968</v>
      </c>
      <c r="J12" s="1">
        <v>0.9</v>
      </c>
      <c r="K12" s="1">
        <v>3.1</v>
      </c>
      <c r="L12" s="4">
        <f t="shared" si="3"/>
        <v>19.110531529815205</v>
      </c>
    </row>
    <row r="13" spans="1:12" x14ac:dyDescent="0.2">
      <c r="A13" t="s">
        <v>10</v>
      </c>
      <c r="B13" s="1">
        <v>10000</v>
      </c>
      <c r="C13" s="1">
        <v>0.38479999999999998</v>
      </c>
      <c r="D13" s="3">
        <f t="shared" si="0"/>
        <v>5.8303030303030301E-2</v>
      </c>
      <c r="E13" s="4">
        <f t="shared" si="1"/>
        <v>5.1455301455301452</v>
      </c>
      <c r="F13" s="4">
        <f t="shared" si="2"/>
        <v>1.9799999999999998</v>
      </c>
      <c r="G13" s="4"/>
      <c r="H13" s="6" t="s">
        <v>13</v>
      </c>
      <c r="I13" s="4">
        <v>0.92196832290203101</v>
      </c>
      <c r="J13" s="1">
        <v>0.9</v>
      </c>
      <c r="K13" s="1">
        <v>3.1</v>
      </c>
      <c r="L13" s="4">
        <f t="shared" si="3"/>
        <v>20.078031677097968</v>
      </c>
    </row>
    <row r="14" spans="1:12" x14ac:dyDescent="0.2">
      <c r="A14" t="s">
        <v>11</v>
      </c>
      <c r="B14" s="1">
        <v>10018</v>
      </c>
      <c r="C14" s="1">
        <v>0.3</v>
      </c>
      <c r="D14" s="3">
        <f t="shared" si="0"/>
        <v>4.5372874280839942E-2</v>
      </c>
      <c r="E14" s="4">
        <f t="shared" si="1"/>
        <v>6.6118800000000002</v>
      </c>
      <c r="F14" s="4">
        <f t="shared" si="2"/>
        <v>1.9835639999999999</v>
      </c>
      <c r="G14" s="4"/>
      <c r="H14" s="6" t="s">
        <v>15</v>
      </c>
      <c r="I14" s="4">
        <v>1.6428272864069553</v>
      </c>
      <c r="J14" s="1">
        <v>0.9</v>
      </c>
      <c r="K14" s="1">
        <v>3.1</v>
      </c>
      <c r="L14" s="4">
        <f t="shared" si="3"/>
        <v>19.357172713593044</v>
      </c>
    </row>
    <row r="15" spans="1:12" x14ac:dyDescent="0.2">
      <c r="A15" t="s">
        <v>12</v>
      </c>
      <c r="B15" s="1">
        <v>6580</v>
      </c>
      <c r="C15" s="1">
        <v>0.57499999999999996</v>
      </c>
      <c r="D15" s="3">
        <f t="shared" si="0"/>
        <v>0.13240305793497281</v>
      </c>
      <c r="E15" s="4">
        <f t="shared" si="1"/>
        <v>2.2658086956521739</v>
      </c>
      <c r="F15" s="4">
        <f t="shared" si="2"/>
        <v>1.30284</v>
      </c>
      <c r="G15" s="4"/>
      <c r="H15" s="6" t="s">
        <v>16</v>
      </c>
      <c r="I15" s="4">
        <v>2.5069721725810568</v>
      </c>
      <c r="J15" s="1">
        <v>0.9</v>
      </c>
      <c r="K15" s="1">
        <v>3.1</v>
      </c>
      <c r="L15" s="4">
        <f t="shared" si="3"/>
        <v>18.493027827418942</v>
      </c>
    </row>
    <row r="16" spans="1:12" x14ac:dyDescent="0.2">
      <c r="A16" t="s">
        <v>13</v>
      </c>
      <c r="B16" s="1">
        <v>7291</v>
      </c>
      <c r="C16" s="1">
        <v>0.56140000000000001</v>
      </c>
      <c r="D16" s="3">
        <f t="shared" si="0"/>
        <v>0.11666521198821295</v>
      </c>
      <c r="E16" s="4">
        <f t="shared" si="1"/>
        <v>2.5714606341289632</v>
      </c>
      <c r="F16" s="4">
        <f t="shared" si="2"/>
        <v>1.4436180000000001</v>
      </c>
      <c r="G16" s="4"/>
      <c r="H16" s="6" t="s">
        <v>18</v>
      </c>
      <c r="I16" s="4">
        <v>1.8656723757842972</v>
      </c>
      <c r="J16" s="1">
        <v>0.9</v>
      </c>
      <c r="K16" s="1">
        <v>3.1</v>
      </c>
      <c r="L16" s="4">
        <f t="shared" si="3"/>
        <v>19.1343276242157</v>
      </c>
    </row>
    <row r="17" spans="1:12" x14ac:dyDescent="0.2">
      <c r="A17" t="s">
        <v>14</v>
      </c>
      <c r="B17" s="1">
        <v>9211</v>
      </c>
      <c r="C17" s="1">
        <v>0.4556</v>
      </c>
      <c r="D17" s="3">
        <f t="shared" si="0"/>
        <v>7.4943331918687475E-2</v>
      </c>
      <c r="E17" s="4">
        <f t="shared" si="1"/>
        <v>4.0030245829675151</v>
      </c>
      <c r="F17" s="4">
        <f t="shared" si="2"/>
        <v>1.8237779999999999</v>
      </c>
      <c r="G17" s="4"/>
      <c r="H17" s="6" t="s">
        <v>19</v>
      </c>
      <c r="I17" s="4">
        <v>2.8546028037383175</v>
      </c>
      <c r="J17" s="1">
        <v>0.9</v>
      </c>
      <c r="K17" s="1">
        <v>3.1</v>
      </c>
      <c r="L17" s="4">
        <f t="shared" si="3"/>
        <v>18.145397196261683</v>
      </c>
    </row>
    <row r="18" spans="1:12" x14ac:dyDescent="0.2">
      <c r="A18" t="s">
        <v>15</v>
      </c>
      <c r="B18" s="1">
        <v>9925</v>
      </c>
      <c r="C18" s="1">
        <v>0.57550000000000001</v>
      </c>
      <c r="D18" s="3">
        <f t="shared" ref="D18:D42" si="4">(C18/660)*1000000*(1/B18)</f>
        <v>8.7855888863445544E-2</v>
      </c>
      <c r="E18" s="4">
        <f t="shared" si="1"/>
        <v>3.4146828844483053</v>
      </c>
      <c r="F18" s="4">
        <f t="shared" si="2"/>
        <v>1.9651499999999997</v>
      </c>
      <c r="G18" s="4"/>
      <c r="H18" s="6" t="s">
        <v>21</v>
      </c>
      <c r="I18" s="4">
        <v>1.7704875406283855</v>
      </c>
      <c r="J18" s="1">
        <v>0.9</v>
      </c>
      <c r="K18" s="1">
        <v>3.1</v>
      </c>
      <c r="L18" s="4">
        <f t="shared" si="3"/>
        <v>19.229512459371612</v>
      </c>
    </row>
    <row r="19" spans="1:12" x14ac:dyDescent="0.2">
      <c r="A19" t="s">
        <v>16</v>
      </c>
      <c r="B19" s="1">
        <v>9919</v>
      </c>
      <c r="C19" s="1">
        <v>0.44990000000000002</v>
      </c>
      <c r="D19" s="3">
        <f t="shared" si="4"/>
        <v>6.872332560405954E-2</v>
      </c>
      <c r="E19" s="4">
        <f t="shared" si="1"/>
        <v>4.3653300733496341</v>
      </c>
      <c r="F19" s="4">
        <f t="shared" si="2"/>
        <v>1.9639620000000004</v>
      </c>
      <c r="G19" s="4"/>
      <c r="H19" s="6" t="s">
        <v>22</v>
      </c>
      <c r="I19" s="4">
        <v>1.5306185567010313</v>
      </c>
      <c r="J19" s="1">
        <v>0.9</v>
      </c>
      <c r="K19" s="1">
        <v>3.1</v>
      </c>
      <c r="L19" s="4">
        <f t="shared" si="3"/>
        <v>19.469381443298968</v>
      </c>
    </row>
    <row r="20" spans="1:12" x14ac:dyDescent="0.2">
      <c r="A20" t="s">
        <v>17</v>
      </c>
      <c r="B20" s="1">
        <v>10399</v>
      </c>
      <c r="C20" s="1">
        <v>0.28120000000000001</v>
      </c>
      <c r="D20" s="3">
        <f t="shared" si="4"/>
        <v>4.0971305515973271E-2</v>
      </c>
      <c r="E20" s="4">
        <f t="shared" si="1"/>
        <v>7.322197724039829</v>
      </c>
      <c r="F20" s="4">
        <f t="shared" si="2"/>
        <v>2.059002</v>
      </c>
      <c r="G20" s="4"/>
      <c r="H20" s="6" t="s">
        <v>23</v>
      </c>
      <c r="I20" s="4">
        <v>3.1644404494382021</v>
      </c>
      <c r="J20" s="1">
        <v>0.9</v>
      </c>
      <c r="K20" s="1">
        <v>3.1</v>
      </c>
      <c r="L20" s="4">
        <f t="shared" si="3"/>
        <v>17.835559550561797</v>
      </c>
    </row>
    <row r="21" spans="1:12" x14ac:dyDescent="0.2">
      <c r="A21" t="s">
        <v>18</v>
      </c>
      <c r="B21" s="1">
        <v>11113</v>
      </c>
      <c r="C21" s="1">
        <v>0.61009999999999998</v>
      </c>
      <c r="D21" s="3">
        <f t="shared" si="4"/>
        <v>8.3181313722121786E-2</v>
      </c>
      <c r="E21" s="4">
        <f t="shared" si="1"/>
        <v>3.6065792493033926</v>
      </c>
      <c r="F21" s="4">
        <f t="shared" si="2"/>
        <v>2.2003739999999996</v>
      </c>
      <c r="G21" s="4"/>
      <c r="H21" s="6" t="s">
        <v>24</v>
      </c>
      <c r="I21" s="4">
        <v>1.298815716657443</v>
      </c>
      <c r="J21" s="1">
        <v>0.9</v>
      </c>
      <c r="K21" s="1">
        <v>3.1</v>
      </c>
      <c r="L21" s="4">
        <f t="shared" si="3"/>
        <v>19.701184283342556</v>
      </c>
    </row>
    <row r="22" spans="1:12" x14ac:dyDescent="0.2">
      <c r="A22" t="s">
        <v>19</v>
      </c>
      <c r="B22" s="1">
        <v>11107</v>
      </c>
      <c r="C22" s="1">
        <v>0.34739999999999999</v>
      </c>
      <c r="D22" s="3">
        <f t="shared" si="4"/>
        <v>4.7390261669545006E-2</v>
      </c>
      <c r="E22" s="4">
        <f t="shared" si="1"/>
        <v>6.3304145077720202</v>
      </c>
      <c r="F22" s="4">
        <f t="shared" si="2"/>
        <v>2.1991859999999996</v>
      </c>
      <c r="G22" s="4"/>
      <c r="H22" s="6"/>
    </row>
    <row r="23" spans="1:12" x14ac:dyDescent="0.2">
      <c r="A23" t="s">
        <v>20</v>
      </c>
      <c r="B23" s="1">
        <v>9190</v>
      </c>
      <c r="C23" s="1">
        <v>1.3374999999999999</v>
      </c>
      <c r="D23" s="3">
        <f t="shared" si="4"/>
        <v>0.22051307415834076</v>
      </c>
      <c r="E23" s="4">
        <f t="shared" si="1"/>
        <v>1.360463551401869</v>
      </c>
      <c r="F23" s="4">
        <f t="shared" si="2"/>
        <v>1.8196199999999998</v>
      </c>
      <c r="G23" s="4"/>
      <c r="H23" s="6"/>
    </row>
    <row r="24" spans="1:12" x14ac:dyDescent="0.2">
      <c r="A24" t="s">
        <v>21</v>
      </c>
      <c r="B24" s="1">
        <v>9904</v>
      </c>
      <c r="C24" s="1">
        <v>1.4742</v>
      </c>
      <c r="D24" s="3">
        <f t="shared" si="4"/>
        <v>0.2255287119988251</v>
      </c>
      <c r="E24" s="4">
        <f t="shared" si="1"/>
        <v>1.33020757020757</v>
      </c>
      <c r="F24" s="4">
        <f t="shared" si="2"/>
        <v>1.9609919999999996</v>
      </c>
      <c r="G24" s="4"/>
      <c r="H24" s="6"/>
    </row>
    <row r="25" spans="1:12" x14ac:dyDescent="0.2">
      <c r="A25" t="s">
        <v>22</v>
      </c>
      <c r="B25" s="1">
        <v>9898</v>
      </c>
      <c r="C25" s="1">
        <v>0.4597</v>
      </c>
      <c r="D25" s="3">
        <f t="shared" si="4"/>
        <v>7.03692818261418E-2</v>
      </c>
      <c r="E25" s="4">
        <f t="shared" si="1"/>
        <v>4.263223841635849</v>
      </c>
      <c r="F25" s="4">
        <f t="shared" si="2"/>
        <v>1.9598039999999999</v>
      </c>
      <c r="G25" s="4"/>
      <c r="H25" s="6"/>
    </row>
    <row r="26" spans="1:12" x14ac:dyDescent="0.2">
      <c r="A26" t="s">
        <v>23</v>
      </c>
      <c r="B26" s="1">
        <v>7112</v>
      </c>
      <c r="C26" s="1">
        <v>0.47220000000000001</v>
      </c>
      <c r="D26" s="3">
        <f t="shared" si="4"/>
        <v>0.10059822067696085</v>
      </c>
      <c r="E26" s="4">
        <f t="shared" si="1"/>
        <v>2.982160101651842</v>
      </c>
      <c r="F26" s="4">
        <f t="shared" si="2"/>
        <v>1.4081759999999999</v>
      </c>
      <c r="G26" s="4"/>
      <c r="H26" s="6"/>
    </row>
    <row r="27" spans="1:12" x14ac:dyDescent="0.2">
      <c r="A27" t="s">
        <v>24</v>
      </c>
      <c r="B27" s="1">
        <v>7112</v>
      </c>
      <c r="C27" s="1">
        <v>0.49809999999999999</v>
      </c>
      <c r="D27" s="3">
        <f t="shared" si="4"/>
        <v>0.10611599686402837</v>
      </c>
      <c r="E27" s="4">
        <f t="shared" si="1"/>
        <v>2.8270949608512344</v>
      </c>
      <c r="F27" s="4">
        <f t="shared" si="2"/>
        <v>1.4081759999999999</v>
      </c>
      <c r="G27" s="4"/>
      <c r="H27" s="6"/>
    </row>
    <row r="28" spans="1:12" x14ac:dyDescent="0.2">
      <c r="A28" t="s">
        <v>50</v>
      </c>
      <c r="B28" s="1">
        <v>9039</v>
      </c>
      <c r="C28" s="1">
        <v>0.59019999999999995</v>
      </c>
      <c r="D28" s="3">
        <f t="shared" si="4"/>
        <v>9.8931565908001354E-2</v>
      </c>
      <c r="E28" s="4">
        <f t="shared" si="1"/>
        <v>3.0323991867163671</v>
      </c>
      <c r="F28" s="4">
        <f t="shared" si="2"/>
        <v>1.7897219999999998</v>
      </c>
      <c r="G28" s="4"/>
      <c r="H28" s="6"/>
    </row>
    <row r="29" spans="1:12" x14ac:dyDescent="0.2">
      <c r="A29" t="s">
        <v>61</v>
      </c>
      <c r="B29" s="1">
        <v>5221</v>
      </c>
      <c r="C29" s="1">
        <v>0.60540000000000005</v>
      </c>
      <c r="D29" s="3">
        <f t="shared" si="4"/>
        <v>0.17568908777489509</v>
      </c>
      <c r="E29" s="4">
        <f t="shared" si="1"/>
        <v>1.7075619425173438</v>
      </c>
      <c r="F29" s="4">
        <f t="shared" si="2"/>
        <v>1.033758</v>
      </c>
      <c r="G29" s="4"/>
      <c r="H29" s="6"/>
    </row>
    <row r="30" spans="1:12" x14ac:dyDescent="0.2">
      <c r="A30" t="s">
        <v>64</v>
      </c>
      <c r="B30" s="1">
        <v>8914</v>
      </c>
      <c r="C30" s="1">
        <v>0.51759999999999995</v>
      </c>
      <c r="D30" s="3">
        <f t="shared" si="4"/>
        <v>8.7978732807092674E-2</v>
      </c>
      <c r="E30" s="4">
        <f t="shared" si="1"/>
        <v>3.4099149922720251</v>
      </c>
      <c r="F30" s="4">
        <f t="shared" si="2"/>
        <v>1.764972</v>
      </c>
      <c r="G30" s="4"/>
      <c r="H30" s="6"/>
    </row>
    <row r="31" spans="1:12" x14ac:dyDescent="0.2">
      <c r="A31" t="s">
        <v>65</v>
      </c>
      <c r="B31" s="1">
        <v>8614</v>
      </c>
      <c r="C31" s="1">
        <v>0.85940000000000005</v>
      </c>
      <c r="D31" s="3">
        <f t="shared" si="4"/>
        <v>0.15116336337604042</v>
      </c>
      <c r="E31" s="4">
        <f t="shared" si="1"/>
        <v>1.9846078659529904</v>
      </c>
      <c r="F31" s="4">
        <f t="shared" si="2"/>
        <v>1.7055720000000001</v>
      </c>
      <c r="G31" s="4"/>
      <c r="H31" s="6"/>
    </row>
    <row r="32" spans="1:12" x14ac:dyDescent="0.2">
      <c r="A32" t="s">
        <v>66</v>
      </c>
      <c r="B32" s="1">
        <v>8344</v>
      </c>
      <c r="C32" s="1">
        <v>0.86</v>
      </c>
      <c r="D32" s="3">
        <f t="shared" si="4"/>
        <v>0.15616374676777361</v>
      </c>
      <c r="E32" s="4">
        <f t="shared" si="1"/>
        <v>1.921060465116279</v>
      </c>
      <c r="F32" s="4">
        <f t="shared" si="2"/>
        <v>1.652112</v>
      </c>
      <c r="G32" s="4"/>
      <c r="H32" s="6"/>
    </row>
    <row r="33" spans="1:8" x14ac:dyDescent="0.2">
      <c r="A33" t="s">
        <v>67</v>
      </c>
      <c r="B33" s="1">
        <v>8053</v>
      </c>
      <c r="C33" s="1">
        <v>0.4839</v>
      </c>
      <c r="D33" s="3">
        <f t="shared" si="4"/>
        <v>9.1044557082058636E-2</v>
      </c>
      <c r="E33" s="4">
        <f t="shared" si="1"/>
        <v>3.2950898946063236</v>
      </c>
      <c r="F33" s="4">
        <f t="shared" si="2"/>
        <v>1.5944940000000001</v>
      </c>
      <c r="G33" s="4"/>
      <c r="H33" s="6"/>
    </row>
    <row r="34" spans="1:8" x14ac:dyDescent="0.2">
      <c r="A34" t="s">
        <v>68</v>
      </c>
      <c r="B34" s="1">
        <v>7756</v>
      </c>
      <c r="C34" s="1">
        <v>0.5806</v>
      </c>
      <c r="D34" s="3">
        <f t="shared" si="4"/>
        <v>0.11342147623736071</v>
      </c>
      <c r="E34" s="4">
        <f t="shared" si="1"/>
        <v>2.6450017223561835</v>
      </c>
      <c r="F34" s="4">
        <f t="shared" si="2"/>
        <v>1.5356880000000002</v>
      </c>
      <c r="G34" s="4"/>
      <c r="H34" s="6"/>
    </row>
    <row r="35" spans="1:8" x14ac:dyDescent="0.2">
      <c r="A35" t="s">
        <v>69</v>
      </c>
      <c r="B35" s="1">
        <v>7477</v>
      </c>
      <c r="C35" s="1">
        <v>0.56999999999999995</v>
      </c>
      <c r="D35" s="3">
        <f t="shared" si="4"/>
        <v>0.11550573273189293</v>
      </c>
      <c r="E35" s="4">
        <f t="shared" si="1"/>
        <v>2.5972736842105268</v>
      </c>
      <c r="F35" s="4">
        <f t="shared" si="2"/>
        <v>1.4804460000000002</v>
      </c>
      <c r="G35" s="4"/>
      <c r="H35" s="6"/>
    </row>
    <row r="36" spans="1:8" x14ac:dyDescent="0.2">
      <c r="A36" t="s">
        <v>70</v>
      </c>
      <c r="B36" s="1">
        <v>8533</v>
      </c>
      <c r="C36" s="1">
        <v>0.69359999999999999</v>
      </c>
      <c r="D36" s="3">
        <f t="shared" si="4"/>
        <v>0.12315821995887621</v>
      </c>
      <c r="E36" s="4">
        <f t="shared" si="1"/>
        <v>2.4358910034602079</v>
      </c>
      <c r="F36" s="4">
        <f t="shared" si="2"/>
        <v>1.6895340000000003</v>
      </c>
      <c r="G36" s="4"/>
      <c r="H36" s="6"/>
    </row>
    <row r="37" spans="1:8" x14ac:dyDescent="0.2">
      <c r="A37" t="s">
        <v>71</v>
      </c>
      <c r="B37" s="1">
        <v>7849</v>
      </c>
      <c r="C37" s="1">
        <v>0.45050000000000001</v>
      </c>
      <c r="D37" s="3">
        <f t="shared" si="4"/>
        <v>8.6963403946459114E-2</v>
      </c>
      <c r="E37" s="4">
        <f t="shared" si="1"/>
        <v>3.449726970033296</v>
      </c>
      <c r="F37" s="4">
        <f t="shared" si="2"/>
        <v>1.5541019999999999</v>
      </c>
      <c r="G37" s="4"/>
      <c r="H37" s="6"/>
    </row>
    <row r="38" spans="1:8" x14ac:dyDescent="0.2">
      <c r="A38" t="s">
        <v>72</v>
      </c>
      <c r="B38" s="1">
        <v>7252</v>
      </c>
      <c r="C38" s="1">
        <v>0.499</v>
      </c>
      <c r="D38" s="3">
        <f t="shared" si="4"/>
        <v>0.10425546139831854</v>
      </c>
      <c r="E38" s="4">
        <f t="shared" si="1"/>
        <v>2.8775470941883765</v>
      </c>
      <c r="F38" s="4">
        <f t="shared" si="2"/>
        <v>1.4358959999999998</v>
      </c>
      <c r="G38" s="4"/>
      <c r="H38" s="6"/>
    </row>
    <row r="39" spans="1:8" x14ac:dyDescent="0.2">
      <c r="A39" t="s">
        <v>73</v>
      </c>
      <c r="B39" s="1">
        <v>6595</v>
      </c>
      <c r="C39" s="1">
        <v>0.70140000000000002</v>
      </c>
      <c r="D39" s="3">
        <f t="shared" si="4"/>
        <v>0.16114136053484046</v>
      </c>
      <c r="E39" s="4">
        <f t="shared" si="1"/>
        <v>1.8617194183062444</v>
      </c>
      <c r="F39" s="4">
        <f t="shared" si="2"/>
        <v>1.3058099999999999</v>
      </c>
      <c r="G39" s="4"/>
      <c r="H39" s="6"/>
    </row>
    <row r="40" spans="1:8" x14ac:dyDescent="0.2">
      <c r="A40" t="s">
        <v>112</v>
      </c>
      <c r="B40" s="1">
        <v>8076</v>
      </c>
      <c r="C40" s="1">
        <v>0.58099999999999996</v>
      </c>
      <c r="D40" s="3">
        <f t="shared" si="4"/>
        <v>0.1090023564020592</v>
      </c>
      <c r="E40" s="4">
        <f t="shared" si="1"/>
        <v>2.7522340791738387</v>
      </c>
      <c r="F40" s="4">
        <f t="shared" si="2"/>
        <v>1.5990480000000002</v>
      </c>
      <c r="G40" s="4"/>
      <c r="H40" s="6"/>
    </row>
    <row r="41" spans="1:8" x14ac:dyDescent="0.2">
      <c r="A41" t="s">
        <v>150</v>
      </c>
      <c r="B41" s="1">
        <v>11152</v>
      </c>
      <c r="C41" s="1">
        <v>0.6</v>
      </c>
      <c r="D41" s="3">
        <f t="shared" si="4"/>
        <v>8.1518194861093005E-2</v>
      </c>
      <c r="E41" s="4">
        <f t="shared" si="1"/>
        <v>3.6801599999999994</v>
      </c>
      <c r="F41" s="4">
        <f t="shared" si="2"/>
        <v>2.2080959999999994</v>
      </c>
      <c r="G41" s="4"/>
      <c r="H41" s="6"/>
    </row>
    <row r="42" spans="1:8" x14ac:dyDescent="0.2">
      <c r="A42" t="s">
        <v>151</v>
      </c>
      <c r="B42" s="1">
        <v>11152</v>
      </c>
      <c r="C42" s="1">
        <v>1.0822000000000001</v>
      </c>
      <c r="D42" s="1">
        <f t="shared" si="4"/>
        <v>0.1470316507977914</v>
      </c>
      <c r="E42" s="4">
        <f t="shared" si="1"/>
        <v>2.0403770097948621</v>
      </c>
      <c r="F42" s="1">
        <f t="shared" si="2"/>
        <v>2.2080959999999998</v>
      </c>
      <c r="G42" s="4"/>
      <c r="H42" s="6"/>
    </row>
    <row r="43" spans="1:8" x14ac:dyDescent="0.2">
      <c r="A43" t="s">
        <v>112</v>
      </c>
      <c r="B43" s="1">
        <v>8076</v>
      </c>
      <c r="C43" s="1">
        <v>0.39639999999999997</v>
      </c>
      <c r="D43" s="1">
        <f t="shared" ref="D43:D46" si="5">(C43/660)*1000000*(1/B43)</f>
        <v>7.4369249703573628E-2</v>
      </c>
      <c r="E43" s="4">
        <f t="shared" ref="E43:E46" si="6">0.3/D43</f>
        <v>4.0339253279515637</v>
      </c>
      <c r="F43" s="1">
        <f t="shared" ref="F43:F46" si="7">E43*C43</f>
        <v>1.5990479999999998</v>
      </c>
      <c r="G43" s="4"/>
      <c r="H43" s="6"/>
    </row>
    <row r="44" spans="1:8" x14ac:dyDescent="0.2">
      <c r="A44" t="s">
        <v>30</v>
      </c>
      <c r="B44" s="1">
        <v>11253</v>
      </c>
      <c r="C44" s="1">
        <v>0.34250000000000003</v>
      </c>
      <c r="D44" s="1">
        <f t="shared" si="5"/>
        <v>4.6115648621647028E-2</v>
      </c>
      <c r="E44" s="4">
        <f t="shared" si="6"/>
        <v>6.5053839416058388</v>
      </c>
      <c r="F44" s="1">
        <f t="shared" si="7"/>
        <v>2.228094</v>
      </c>
      <c r="G44" s="4"/>
      <c r="H44" s="6"/>
    </row>
    <row r="45" spans="1:8" x14ac:dyDescent="0.2">
      <c r="A45" t="s">
        <v>164</v>
      </c>
      <c r="B45" s="1">
        <v>6037</v>
      </c>
      <c r="C45" s="1">
        <v>3.9279999999999999</v>
      </c>
      <c r="D45" s="3">
        <f t="shared" si="5"/>
        <v>0.98583984620095266</v>
      </c>
      <c r="E45" s="4">
        <f t="shared" si="6"/>
        <v>0.30430906313645623</v>
      </c>
      <c r="F45" s="4">
        <f t="shared" si="7"/>
        <v>1.1953260000000001</v>
      </c>
      <c r="G45" s="4"/>
      <c r="H45" s="6"/>
    </row>
    <row r="46" spans="1:8" x14ac:dyDescent="0.2">
      <c r="A46" t="s">
        <v>165</v>
      </c>
      <c r="B46" s="1">
        <v>7000</v>
      </c>
      <c r="C46" s="1">
        <v>0.49299999999999999</v>
      </c>
      <c r="D46" s="3">
        <f t="shared" si="5"/>
        <v>0.10670995670995673</v>
      </c>
      <c r="E46" s="4">
        <f t="shared" si="6"/>
        <v>2.8113590263691677</v>
      </c>
      <c r="F46" s="4">
        <f t="shared" si="7"/>
        <v>1.3859999999999997</v>
      </c>
      <c r="G46" s="4"/>
      <c r="H46" s="6"/>
    </row>
    <row r="47" spans="1:8" x14ac:dyDescent="0.2">
      <c r="A47" t="s">
        <v>166</v>
      </c>
      <c r="B47" s="1">
        <v>7500</v>
      </c>
      <c r="C47" s="1">
        <v>0.215</v>
      </c>
      <c r="D47" s="3">
        <f t="shared" ref="D47:D52" si="8">(C47/660)*1000000*(1/B47)</f>
        <v>4.3434343434343436E-2</v>
      </c>
      <c r="E47" s="4">
        <f t="shared" ref="E47:E52" si="9">0.3/D47</f>
        <v>6.9069767441860463</v>
      </c>
      <c r="F47" s="4">
        <f t="shared" ref="F47:F52" si="10">E47*C47</f>
        <v>1.4849999999999999</v>
      </c>
      <c r="H47" s="6"/>
    </row>
    <row r="48" spans="1:8" x14ac:dyDescent="0.2">
      <c r="A48" t="s">
        <v>168</v>
      </c>
      <c r="B48" s="1">
        <v>6700</v>
      </c>
      <c r="C48" s="1">
        <v>2.3803999999999998</v>
      </c>
      <c r="D48" s="1">
        <f t="shared" si="8"/>
        <v>0.53830845771144276</v>
      </c>
      <c r="E48" s="4">
        <f t="shared" si="9"/>
        <v>0.5573012939001849</v>
      </c>
      <c r="F48" s="1">
        <f t="shared" si="10"/>
        <v>1.3266</v>
      </c>
      <c r="H48" s="6"/>
    </row>
    <row r="49" spans="1:8" x14ac:dyDescent="0.2">
      <c r="A49" t="s">
        <v>160</v>
      </c>
      <c r="B49" s="1">
        <v>6700</v>
      </c>
      <c r="C49" s="1">
        <v>2.3401999999999998</v>
      </c>
      <c r="D49" s="1">
        <f t="shared" si="8"/>
        <v>0.52921754862053372</v>
      </c>
      <c r="E49" s="4">
        <f t="shared" si="9"/>
        <v>0.56687462610033323</v>
      </c>
      <c r="F49" s="1">
        <f t="shared" si="10"/>
        <v>1.3265999999999998</v>
      </c>
      <c r="H49" s="6"/>
    </row>
    <row r="50" spans="1:8" x14ac:dyDescent="0.2">
      <c r="A50" t="s">
        <v>167</v>
      </c>
      <c r="B50" s="1">
        <v>6700</v>
      </c>
      <c r="C50" s="1">
        <v>0.1147</v>
      </c>
      <c r="D50" s="1">
        <f t="shared" si="8"/>
        <v>2.5938489371325191E-2</v>
      </c>
      <c r="E50" s="4">
        <f t="shared" si="9"/>
        <v>11.565823888404534</v>
      </c>
      <c r="F50" s="1">
        <f t="shared" si="10"/>
        <v>1.3266</v>
      </c>
    </row>
    <row r="51" spans="1:8" x14ac:dyDescent="0.2">
      <c r="A51" t="s">
        <v>158</v>
      </c>
      <c r="B51" s="1">
        <v>6700</v>
      </c>
      <c r="C51" s="1">
        <v>3.0749</v>
      </c>
      <c r="D51" s="1">
        <f t="shared" si="8"/>
        <v>0.69536408864767074</v>
      </c>
      <c r="E51" s="4">
        <f t="shared" si="9"/>
        <v>0.43142866434680799</v>
      </c>
      <c r="F51" s="1">
        <f t="shared" si="10"/>
        <v>1.3265999999999998</v>
      </c>
    </row>
    <row r="52" spans="1:8" x14ac:dyDescent="0.2">
      <c r="A52" t="s">
        <v>170</v>
      </c>
      <c r="B52" s="1">
        <v>9064</v>
      </c>
      <c r="C52" s="1">
        <v>0.59319999999999995</v>
      </c>
      <c r="D52" s="1">
        <f t="shared" si="8"/>
        <v>9.9160180801840095E-2</v>
      </c>
      <c r="E52" s="4">
        <f t="shared" si="9"/>
        <v>3.0254079568442349</v>
      </c>
      <c r="F52" s="4">
        <f t="shared" si="10"/>
        <v>1.794672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0" bestFit="1" customWidth="1"/>
    <col min="5" max="5" width="9.1640625" customWidth="1"/>
  </cols>
  <sheetData>
    <row r="1" spans="1:5" x14ac:dyDescent="0.2">
      <c r="B1" s="2" t="s">
        <v>51</v>
      </c>
      <c r="C1" s="2" t="s">
        <v>49</v>
      </c>
      <c r="D1" s="2" t="s">
        <v>52</v>
      </c>
      <c r="E1" s="2" t="s">
        <v>53</v>
      </c>
    </row>
    <row r="2" spans="1:5" x14ac:dyDescent="0.2">
      <c r="A2" t="s">
        <v>1</v>
      </c>
      <c r="B2" s="6">
        <v>0.29194425652820999</v>
      </c>
      <c r="C2" s="6">
        <v>0.38168000000000035</v>
      </c>
      <c r="D2" s="6">
        <f>0.2/0.589</f>
        <v>0.33955857385398985</v>
      </c>
      <c r="E2" s="6">
        <f>2.5-SUM(B2:D2)</f>
        <v>1.4868171696177999</v>
      </c>
    </row>
    <row r="3" spans="1:5" x14ac:dyDescent="0.2">
      <c r="A3" t="s">
        <v>2</v>
      </c>
      <c r="B3" s="6">
        <v>0.32343324522467704</v>
      </c>
      <c r="C3" s="6">
        <v>0.37871000000000016</v>
      </c>
      <c r="D3" s="6">
        <f t="shared" ref="D3:D20" si="0">0.2/0.589</f>
        <v>0.33955857385398985</v>
      </c>
      <c r="E3" s="6">
        <f t="shared" ref="E3:E20" si="1">2.5-SUM(B3:D3)</f>
        <v>1.4582981809213329</v>
      </c>
    </row>
    <row r="4" spans="1:5" x14ac:dyDescent="0.2">
      <c r="A4" t="s">
        <v>43</v>
      </c>
      <c r="B4" s="6">
        <v>0.2137800604809677</v>
      </c>
      <c r="C4" s="6">
        <v>0.88658000000000015</v>
      </c>
      <c r="D4" s="6">
        <f t="shared" si="0"/>
        <v>0.33955857385398985</v>
      </c>
      <c r="E4" s="6">
        <f t="shared" si="1"/>
        <v>1.0600813656650423</v>
      </c>
    </row>
    <row r="5" spans="1:5" x14ac:dyDescent="0.2">
      <c r="A5" t="s">
        <v>5</v>
      </c>
      <c r="B5" s="6">
        <v>0.30061024144335363</v>
      </c>
      <c r="C5" s="6">
        <v>0.30050000000000021</v>
      </c>
      <c r="D5" s="6">
        <f t="shared" si="0"/>
        <v>0.33955857385398985</v>
      </c>
      <c r="E5" s="6">
        <f t="shared" si="1"/>
        <v>1.5593311847026563</v>
      </c>
    </row>
    <row r="6" spans="1:5" x14ac:dyDescent="0.2">
      <c r="A6" t="s">
        <v>6</v>
      </c>
      <c r="B6" s="6">
        <v>0.34874174220310339</v>
      </c>
      <c r="C6" s="6">
        <v>0.29753000000000002</v>
      </c>
      <c r="D6" s="6">
        <f t="shared" si="0"/>
        <v>0.33955857385398985</v>
      </c>
      <c r="E6" s="6">
        <f t="shared" si="1"/>
        <v>1.5141696839429066</v>
      </c>
    </row>
    <row r="7" spans="1:5" x14ac:dyDescent="0.2">
      <c r="A7" t="s">
        <v>8</v>
      </c>
      <c r="B7" s="6">
        <v>0.51171063829787233</v>
      </c>
      <c r="C7" s="6">
        <v>0.79748000000000008</v>
      </c>
      <c r="D7" s="6">
        <f t="shared" si="0"/>
        <v>0.33955857385398985</v>
      </c>
      <c r="E7" s="6">
        <f t="shared" si="1"/>
        <v>0.85125078784813768</v>
      </c>
    </row>
    <row r="8" spans="1:5" x14ac:dyDescent="0.2">
      <c r="A8" t="s">
        <v>10</v>
      </c>
      <c r="B8" s="6">
        <v>0.3020180295611587</v>
      </c>
      <c r="C8" s="6">
        <v>0.35000000000000003</v>
      </c>
      <c r="D8" s="6">
        <f t="shared" si="0"/>
        <v>0.33955857385398985</v>
      </c>
      <c r="E8" s="6">
        <f t="shared" si="1"/>
        <v>1.5084233965848515</v>
      </c>
    </row>
    <row r="9" spans="1:5" x14ac:dyDescent="0.2">
      <c r="A9" t="s">
        <v>11</v>
      </c>
      <c r="B9" s="6">
        <v>0.37201822989928546</v>
      </c>
      <c r="C9" s="6">
        <v>0.34702999999999984</v>
      </c>
      <c r="D9" s="6">
        <f t="shared" si="0"/>
        <v>0.33955857385398985</v>
      </c>
      <c r="E9" s="6">
        <f t="shared" si="1"/>
        <v>1.4413931962467248</v>
      </c>
    </row>
    <row r="10" spans="1:5" x14ac:dyDescent="0.2">
      <c r="A10" t="s">
        <v>13</v>
      </c>
      <c r="B10" s="6">
        <v>0.1624269222979815</v>
      </c>
      <c r="C10" s="6">
        <v>0.79698500000000005</v>
      </c>
      <c r="D10" s="6">
        <f t="shared" si="0"/>
        <v>0.33955857385398985</v>
      </c>
      <c r="E10" s="6">
        <f t="shared" si="1"/>
        <v>1.2010295038480285</v>
      </c>
    </row>
    <row r="11" spans="1:5" x14ac:dyDescent="0.2">
      <c r="A11" t="s">
        <v>15</v>
      </c>
      <c r="B11" s="6">
        <v>0.44512775210655076</v>
      </c>
      <c r="C11" s="6">
        <v>0.36237499999999978</v>
      </c>
      <c r="D11" s="6">
        <f t="shared" si="0"/>
        <v>0.33955857385398985</v>
      </c>
      <c r="E11" s="6">
        <f t="shared" si="1"/>
        <v>1.3529386740394596</v>
      </c>
    </row>
    <row r="12" spans="1:5" x14ac:dyDescent="0.2">
      <c r="A12" t="s">
        <v>16</v>
      </c>
      <c r="B12" s="6">
        <v>0.46347185840707961</v>
      </c>
      <c r="C12" s="6">
        <v>0.36336500000000022</v>
      </c>
      <c r="D12" s="6">
        <f t="shared" si="0"/>
        <v>0.33955857385398985</v>
      </c>
      <c r="E12" s="6">
        <f t="shared" si="1"/>
        <v>1.3336045677389303</v>
      </c>
    </row>
    <row r="13" spans="1:5" x14ac:dyDescent="0.2">
      <c r="A13" t="s">
        <v>18</v>
      </c>
      <c r="B13" s="6">
        <v>0.25938324433285009</v>
      </c>
      <c r="C13" s="6">
        <v>0.16635499999999942</v>
      </c>
      <c r="D13" s="6">
        <f t="shared" si="0"/>
        <v>0.33955857385398985</v>
      </c>
      <c r="E13" s="6">
        <f t="shared" si="1"/>
        <v>1.7347031818131606</v>
      </c>
    </row>
    <row r="14" spans="1:5" x14ac:dyDescent="0.2">
      <c r="A14" t="s">
        <v>19</v>
      </c>
      <c r="B14" s="6">
        <v>0.30326907165315242</v>
      </c>
      <c r="C14" s="6">
        <v>0.16734500000000013</v>
      </c>
      <c r="D14" s="6">
        <f t="shared" si="0"/>
        <v>0.33955857385398985</v>
      </c>
      <c r="E14" s="6">
        <f t="shared" si="1"/>
        <v>1.6898273544928575</v>
      </c>
    </row>
    <row r="15" spans="1:5" x14ac:dyDescent="0.2">
      <c r="A15" t="s">
        <v>21</v>
      </c>
      <c r="B15" s="6">
        <v>0.34128543831253588</v>
      </c>
      <c r="C15" s="6">
        <v>0.36584000000000005</v>
      </c>
      <c r="D15" s="6">
        <f t="shared" si="0"/>
        <v>0.33955857385398985</v>
      </c>
      <c r="E15" s="6">
        <f t="shared" si="1"/>
        <v>1.4533159878334743</v>
      </c>
    </row>
    <row r="16" spans="1:5" x14ac:dyDescent="0.2">
      <c r="A16" t="s">
        <v>22</v>
      </c>
      <c r="B16" s="6">
        <v>0.27559399257509282</v>
      </c>
      <c r="C16" s="6">
        <v>0.36682999999999993</v>
      </c>
      <c r="D16" s="6">
        <f t="shared" si="0"/>
        <v>0.33955857385398985</v>
      </c>
      <c r="E16" s="6">
        <f t="shared" si="1"/>
        <v>1.5180174335709173</v>
      </c>
    </row>
    <row r="17" spans="1:5" x14ac:dyDescent="0.2">
      <c r="A17" t="s">
        <v>23</v>
      </c>
      <c r="B17" s="6">
        <v>0.46036877206747751</v>
      </c>
      <c r="C17" s="6">
        <v>0.82651999999999981</v>
      </c>
      <c r="D17" s="6">
        <f t="shared" si="0"/>
        <v>0.33955857385398985</v>
      </c>
      <c r="E17" s="6">
        <f t="shared" si="1"/>
        <v>0.87355265407853278</v>
      </c>
    </row>
    <row r="18" spans="1:5" x14ac:dyDescent="0.2">
      <c r="A18" t="s">
        <v>24</v>
      </c>
      <c r="B18" s="6">
        <v>0.18724748683580658</v>
      </c>
      <c r="C18" s="6">
        <v>0.82652000000000014</v>
      </c>
      <c r="D18" s="6">
        <f t="shared" si="0"/>
        <v>0.33955857385398985</v>
      </c>
      <c r="E18" s="6">
        <f t="shared" si="1"/>
        <v>1.1466739393102034</v>
      </c>
    </row>
    <row r="19" spans="1:5" x14ac:dyDescent="0.2">
      <c r="A19" t="s">
        <v>49</v>
      </c>
      <c r="B19" s="6">
        <v>0</v>
      </c>
      <c r="C19" s="6">
        <v>2</v>
      </c>
      <c r="D19" s="6">
        <f t="shared" si="0"/>
        <v>0.33955857385398985</v>
      </c>
      <c r="E19" s="6">
        <f t="shared" si="1"/>
        <v>0.16044142614601009</v>
      </c>
    </row>
    <row r="20" spans="1:5" x14ac:dyDescent="0.2">
      <c r="A20" t="s">
        <v>50</v>
      </c>
      <c r="B20" s="6">
        <v>0.71514504914888521</v>
      </c>
      <c r="C20" s="6">
        <v>0.50856499999999993</v>
      </c>
      <c r="D20" s="6">
        <f t="shared" si="0"/>
        <v>0.33955857385398985</v>
      </c>
      <c r="E20" s="6">
        <f t="shared" si="1"/>
        <v>0.93673137699712505</v>
      </c>
    </row>
    <row r="22" spans="1:5" x14ac:dyDescent="0.2">
      <c r="B22" s="7" t="s">
        <v>55</v>
      </c>
      <c r="C22" s="2" t="s">
        <v>56</v>
      </c>
    </row>
    <row r="23" spans="1:5" x14ac:dyDescent="0.2">
      <c r="A23" t="s">
        <v>54</v>
      </c>
      <c r="B23" s="6">
        <f>20*2</f>
        <v>40</v>
      </c>
      <c r="C23" s="1">
        <f>20*20.5</f>
        <v>410</v>
      </c>
      <c r="D23" t="s">
        <v>59</v>
      </c>
    </row>
    <row r="25" spans="1:5" x14ac:dyDescent="0.2">
      <c r="B25" s="2" t="s">
        <v>58</v>
      </c>
      <c r="C25" s="2" t="s">
        <v>56</v>
      </c>
    </row>
    <row r="26" spans="1:5" x14ac:dyDescent="0.2">
      <c r="A26" t="s">
        <v>57</v>
      </c>
      <c r="B26" s="1">
        <f>3*20</f>
        <v>60</v>
      </c>
      <c r="C26" s="1">
        <f>20*22</f>
        <v>440</v>
      </c>
      <c r="D26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15.83203125" customWidth="1"/>
    <col min="2" max="2" width="10" bestFit="1" customWidth="1"/>
    <col min="3" max="3" width="21.6640625" bestFit="1" customWidth="1"/>
  </cols>
  <sheetData>
    <row r="2" spans="1:10" x14ac:dyDescent="0.2">
      <c r="B2" s="2" t="s">
        <v>44</v>
      </c>
    </row>
    <row r="3" spans="1:10" x14ac:dyDescent="0.2">
      <c r="A3" t="s">
        <v>0</v>
      </c>
      <c r="B3">
        <v>166</v>
      </c>
    </row>
    <row r="4" spans="1:10" x14ac:dyDescent="0.2">
      <c r="A4" t="s">
        <v>1</v>
      </c>
      <c r="B4">
        <v>192</v>
      </c>
    </row>
    <row r="5" spans="1:10" x14ac:dyDescent="0.2">
      <c r="A5" t="s">
        <v>2</v>
      </c>
      <c r="B5">
        <v>192</v>
      </c>
      <c r="D5" s="2"/>
      <c r="E5" s="2"/>
      <c r="F5" s="2"/>
      <c r="G5" s="2"/>
    </row>
    <row r="6" spans="1:10" x14ac:dyDescent="0.2">
      <c r="A6" t="s">
        <v>3</v>
      </c>
      <c r="B6">
        <v>50</v>
      </c>
      <c r="D6" s="4"/>
      <c r="E6" s="4"/>
      <c r="F6" s="4"/>
      <c r="G6" s="4"/>
      <c r="H6" s="4"/>
      <c r="I6" s="4"/>
      <c r="J6" s="4"/>
    </row>
    <row r="7" spans="1:10" x14ac:dyDescent="0.2">
      <c r="A7" t="s">
        <v>43</v>
      </c>
      <c r="B7">
        <v>76</v>
      </c>
      <c r="D7" s="4"/>
      <c r="E7" s="4"/>
      <c r="F7" s="4"/>
      <c r="G7" s="4"/>
      <c r="H7" s="4"/>
      <c r="I7" s="4"/>
      <c r="J7" s="4"/>
    </row>
    <row r="8" spans="1:10" x14ac:dyDescent="0.2">
      <c r="A8" t="s">
        <v>20</v>
      </c>
      <c r="B8">
        <v>217</v>
      </c>
      <c r="D8" s="4"/>
      <c r="E8" s="4"/>
      <c r="F8" s="4"/>
      <c r="G8" s="4"/>
      <c r="H8" s="4"/>
      <c r="I8" s="4"/>
      <c r="J8" s="4"/>
    </row>
    <row r="9" spans="1:10" x14ac:dyDescent="0.2">
      <c r="A9" t="s">
        <v>21</v>
      </c>
      <c r="B9">
        <v>243</v>
      </c>
      <c r="D9" s="4"/>
      <c r="E9" s="4"/>
      <c r="F9" s="4"/>
      <c r="G9" s="4"/>
      <c r="H9" s="4"/>
      <c r="I9" s="4"/>
      <c r="J9" s="4"/>
    </row>
    <row r="10" spans="1:10" x14ac:dyDescent="0.2">
      <c r="A10" t="s">
        <v>22</v>
      </c>
      <c r="B10">
        <v>243</v>
      </c>
      <c r="D10" s="4"/>
      <c r="E10" s="4"/>
      <c r="F10" s="4"/>
      <c r="G10" s="4"/>
      <c r="H10" s="4"/>
      <c r="I10" s="4"/>
      <c r="J10" s="4"/>
    </row>
    <row r="11" spans="1:10" x14ac:dyDescent="0.2">
      <c r="A11" t="s">
        <v>30</v>
      </c>
      <c r="B11">
        <v>38</v>
      </c>
      <c r="D11" s="4"/>
      <c r="E11" s="4"/>
      <c r="F11" s="4"/>
      <c r="G11" s="4"/>
      <c r="H11" s="4"/>
      <c r="I11" s="4"/>
      <c r="J11" s="4"/>
    </row>
    <row r="12" spans="1:10" x14ac:dyDescent="0.2">
      <c r="A12" t="s">
        <v>34</v>
      </c>
      <c r="B12">
        <v>15</v>
      </c>
      <c r="D12" s="4"/>
      <c r="E12" s="4"/>
      <c r="F12" s="4"/>
      <c r="G12" s="4"/>
      <c r="H12" s="4"/>
      <c r="I12" s="4"/>
      <c r="J12" s="4"/>
    </row>
    <row r="13" spans="1:10" x14ac:dyDescent="0.2">
      <c r="A13" t="s">
        <v>33</v>
      </c>
      <c r="B13">
        <v>31</v>
      </c>
      <c r="D13" s="4"/>
      <c r="E13" s="4"/>
      <c r="F13" s="4"/>
      <c r="G13" s="4"/>
      <c r="H13" s="4"/>
      <c r="I13" s="4"/>
      <c r="J13" s="4"/>
    </row>
    <row r="14" spans="1:10" x14ac:dyDescent="0.2">
      <c r="A14" t="s">
        <v>28</v>
      </c>
      <c r="B14">
        <v>59</v>
      </c>
      <c r="D14" s="4"/>
      <c r="E14" s="4"/>
      <c r="F14" s="4"/>
      <c r="G14" s="4"/>
      <c r="H14" s="4"/>
      <c r="I14" s="4"/>
      <c r="J14" s="4"/>
    </row>
    <row r="15" spans="1:10" x14ac:dyDescent="0.2">
      <c r="A15" t="s">
        <v>32</v>
      </c>
      <c r="B15">
        <v>106</v>
      </c>
      <c r="D15" s="4"/>
      <c r="E15" s="4"/>
      <c r="F15" s="4"/>
      <c r="G15" s="4"/>
      <c r="H15" s="4"/>
      <c r="I15" s="4"/>
      <c r="J15" s="4"/>
    </row>
    <row r="16" spans="1:10" x14ac:dyDescent="0.2">
      <c r="A16" t="s">
        <v>29</v>
      </c>
      <c r="B16">
        <v>21</v>
      </c>
      <c r="D16" s="4"/>
      <c r="E16" s="4"/>
      <c r="F16" s="4"/>
      <c r="G16" s="4"/>
      <c r="H16" s="4"/>
      <c r="I16" s="4"/>
      <c r="J16" s="4"/>
    </row>
    <row r="17" spans="1:10" x14ac:dyDescent="0.2">
      <c r="A17" t="s">
        <v>45</v>
      </c>
      <c r="B17">
        <v>97</v>
      </c>
      <c r="D17" s="4"/>
      <c r="E17" s="4"/>
      <c r="F17" s="4"/>
      <c r="G17" s="4"/>
      <c r="H17" s="4"/>
      <c r="I17" s="4"/>
      <c r="J17" s="4"/>
    </row>
    <row r="18" spans="1:10" x14ac:dyDescent="0.2">
      <c r="A18" t="s">
        <v>40</v>
      </c>
      <c r="B18">
        <v>162</v>
      </c>
      <c r="D18" s="4"/>
      <c r="E18" s="4"/>
      <c r="F18" s="4"/>
      <c r="G18" s="4"/>
      <c r="H18" s="4"/>
      <c r="I18" s="4"/>
      <c r="J18" s="4"/>
    </row>
    <row r="19" spans="1:10" x14ac:dyDescent="0.2">
      <c r="A19" t="s">
        <v>46</v>
      </c>
      <c r="B19">
        <v>94</v>
      </c>
      <c r="D19" s="4"/>
      <c r="E19" s="4"/>
      <c r="F19" s="4"/>
      <c r="G19" s="4"/>
    </row>
    <row r="20" spans="1:10" x14ac:dyDescent="0.2">
      <c r="A20" t="s">
        <v>41</v>
      </c>
      <c r="B20">
        <v>75</v>
      </c>
      <c r="D20" s="4"/>
      <c r="E20" s="4"/>
      <c r="F20" s="4"/>
      <c r="G20" s="4"/>
    </row>
    <row r="21" spans="1:10" x14ac:dyDescent="0.2">
      <c r="A21" t="s">
        <v>47</v>
      </c>
      <c r="B21">
        <v>104</v>
      </c>
      <c r="D21" s="1"/>
      <c r="E21" s="4"/>
      <c r="F21" s="4"/>
      <c r="G21" s="4"/>
    </row>
    <row r="22" spans="1:10" x14ac:dyDescent="0.2">
      <c r="A22" t="s">
        <v>35</v>
      </c>
      <c r="B22">
        <v>120</v>
      </c>
    </row>
    <row r="23" spans="1:10" x14ac:dyDescent="0.2">
      <c r="A23" t="s">
        <v>42</v>
      </c>
      <c r="B23">
        <v>303</v>
      </c>
      <c r="C23" s="5"/>
    </row>
    <row r="24" spans="1:10" x14ac:dyDescent="0.2">
      <c r="A24" t="s">
        <v>39</v>
      </c>
      <c r="B24">
        <v>76</v>
      </c>
    </row>
    <row r="25" spans="1:10" x14ac:dyDescent="0.2">
      <c r="A25" t="s">
        <v>48</v>
      </c>
      <c r="B25">
        <v>95</v>
      </c>
    </row>
    <row r="26" spans="1:10" x14ac:dyDescent="0.2">
      <c r="A26" t="s">
        <v>38</v>
      </c>
      <c r="B26">
        <v>132</v>
      </c>
    </row>
    <row r="27" spans="1:10" x14ac:dyDescent="0.2">
      <c r="A27" t="s">
        <v>31</v>
      </c>
      <c r="B27">
        <v>133</v>
      </c>
      <c r="C27" s="5"/>
    </row>
    <row r="28" spans="1:10" x14ac:dyDescent="0.2">
      <c r="A28" t="s">
        <v>23</v>
      </c>
      <c r="B28">
        <v>80</v>
      </c>
    </row>
    <row r="29" spans="1:10" x14ac:dyDescent="0.2">
      <c r="A29" t="s">
        <v>24</v>
      </c>
      <c r="B29">
        <v>80</v>
      </c>
    </row>
    <row r="30" spans="1:10" x14ac:dyDescent="0.2">
      <c r="A30" t="s">
        <v>36</v>
      </c>
      <c r="B30">
        <v>93</v>
      </c>
    </row>
    <row r="31" spans="1:10" x14ac:dyDescent="0.2">
      <c r="A31" t="s">
        <v>37</v>
      </c>
      <c r="B31"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37" workbookViewId="0">
      <selection activeCell="K30" sqref="K30"/>
    </sheetView>
  </sheetViews>
  <sheetFormatPr baseColWidth="10" defaultColWidth="8.83203125" defaultRowHeight="15" x14ac:dyDescent="0.2"/>
  <cols>
    <col min="1" max="1" width="20.6640625" customWidth="1"/>
    <col min="2" max="2" width="9.83203125" customWidth="1"/>
    <col min="3" max="3" width="12.6640625" style="1" customWidth="1"/>
    <col min="4" max="4" width="16.33203125" bestFit="1" customWidth="1"/>
    <col min="5" max="5" width="16.5" style="1" bestFit="1" customWidth="1"/>
    <col min="6" max="6" width="8.83203125" style="1"/>
    <col min="8" max="8" width="12.1640625" bestFit="1" customWidth="1"/>
    <col min="9" max="9" width="14.6640625" bestFit="1" customWidth="1"/>
    <col min="10" max="10" width="13.6640625" bestFit="1" customWidth="1"/>
    <col min="11" max="11" width="14.6640625" bestFit="1" customWidth="1"/>
    <col min="12" max="12" width="14.83203125" bestFit="1" customWidth="1"/>
  </cols>
  <sheetData>
    <row r="1" spans="1:18" x14ac:dyDescent="0.2">
      <c r="A1" s="8"/>
      <c r="B1" s="9" t="s">
        <v>51</v>
      </c>
      <c r="C1" s="9" t="s">
        <v>53</v>
      </c>
      <c r="D1" s="9" t="s">
        <v>63</v>
      </c>
      <c r="E1" s="9" t="s">
        <v>111</v>
      </c>
      <c r="F1" s="9"/>
    </row>
    <row r="2" spans="1:18" x14ac:dyDescent="0.2">
      <c r="A2" s="8" t="s">
        <v>1</v>
      </c>
      <c r="B2" s="10">
        <f>2*0.826939192641799</f>
        <v>1.6538783852835981</v>
      </c>
      <c r="C2" s="10">
        <f>87.6-SUM(B2:B3)</f>
        <v>84.520869010345749</v>
      </c>
      <c r="D2" s="10">
        <v>12.4</v>
      </c>
      <c r="E2" s="11">
        <v>100</v>
      </c>
      <c r="F2" s="11">
        <v>1</v>
      </c>
    </row>
    <row r="3" spans="1:18" x14ac:dyDescent="0.2">
      <c r="A3" s="8" t="s">
        <v>20</v>
      </c>
      <c r="B3" s="10">
        <f>2*0.712626302185322</f>
        <v>1.4252526043706439</v>
      </c>
      <c r="C3" s="11"/>
      <c r="D3" s="11"/>
      <c r="E3" s="11"/>
      <c r="F3" s="11"/>
    </row>
    <row r="4" spans="1:18" x14ac:dyDescent="0.2">
      <c r="A4" s="8"/>
      <c r="B4" s="11"/>
      <c r="C4" s="11"/>
      <c r="D4" s="11"/>
      <c r="E4" s="11"/>
      <c r="F4" s="11"/>
      <c r="I4" s="2" t="s">
        <v>74</v>
      </c>
      <c r="J4" s="2" t="s">
        <v>75</v>
      </c>
      <c r="K4" s="2" t="s">
        <v>76</v>
      </c>
      <c r="L4" s="2" t="s">
        <v>77</v>
      </c>
      <c r="M4" s="2" t="s">
        <v>115</v>
      </c>
    </row>
    <row r="5" spans="1:18" x14ac:dyDescent="0.2">
      <c r="A5" s="8" t="s">
        <v>1</v>
      </c>
      <c r="B5" s="10">
        <f>2*0.826939192641799</f>
        <v>1.6538783852835981</v>
      </c>
      <c r="C5" s="10">
        <f>87.6-SUM(B5:B6)</f>
        <v>83.94612161471639</v>
      </c>
      <c r="D5" s="10">
        <v>12.4</v>
      </c>
      <c r="E5" s="11">
        <v>100</v>
      </c>
      <c r="F5" s="11">
        <v>2</v>
      </c>
      <c r="H5">
        <v>1</v>
      </c>
      <c r="I5" s="1" t="s">
        <v>78</v>
      </c>
      <c r="J5" s="1" t="s">
        <v>78</v>
      </c>
      <c r="K5" s="1" t="s">
        <v>78</v>
      </c>
      <c r="L5" s="1" t="s">
        <v>78</v>
      </c>
      <c r="M5" s="1" t="s">
        <v>78</v>
      </c>
    </row>
    <row r="6" spans="1:18" x14ac:dyDescent="0.2">
      <c r="A6" s="8" t="s">
        <v>64</v>
      </c>
      <c r="B6" s="10">
        <f>2*1</f>
        <v>2</v>
      </c>
      <c r="C6" s="11"/>
      <c r="D6" s="11"/>
      <c r="E6" s="11"/>
      <c r="F6" s="11"/>
      <c r="H6">
        <v>2</v>
      </c>
      <c r="I6" s="1">
        <v>1</v>
      </c>
      <c r="J6" s="1" t="s">
        <v>80</v>
      </c>
      <c r="K6" s="1">
        <v>16</v>
      </c>
      <c r="L6" s="1" t="s">
        <v>95</v>
      </c>
      <c r="M6" s="1">
        <v>14</v>
      </c>
    </row>
    <row r="7" spans="1:18" x14ac:dyDescent="0.2">
      <c r="A7" s="8"/>
      <c r="B7" s="11"/>
      <c r="C7" s="11"/>
      <c r="D7" s="11"/>
      <c r="E7" s="11"/>
      <c r="F7" s="11"/>
      <c r="H7">
        <v>3</v>
      </c>
      <c r="I7" s="1">
        <v>2</v>
      </c>
      <c r="J7" s="1" t="s">
        <v>81</v>
      </c>
      <c r="K7" s="1">
        <v>17</v>
      </c>
      <c r="L7" s="1" t="s">
        <v>96</v>
      </c>
      <c r="M7" s="1">
        <v>28</v>
      </c>
    </row>
    <row r="8" spans="1:18" x14ac:dyDescent="0.2">
      <c r="A8" s="8" t="s">
        <v>1</v>
      </c>
      <c r="B8" s="10">
        <f>2*0.826939192641799</f>
        <v>1.6538783852835981</v>
      </c>
      <c r="C8" s="10">
        <f>87.6-SUM(B8:B9)</f>
        <v>83.146121614716392</v>
      </c>
      <c r="D8" s="10">
        <v>12.4</v>
      </c>
      <c r="E8" s="11">
        <v>100</v>
      </c>
      <c r="F8" s="11">
        <v>3</v>
      </c>
      <c r="H8">
        <v>4</v>
      </c>
      <c r="I8" s="1">
        <v>3</v>
      </c>
      <c r="J8" s="1" t="s">
        <v>82</v>
      </c>
      <c r="K8" s="1">
        <v>18</v>
      </c>
      <c r="L8" s="1" t="s">
        <v>97</v>
      </c>
      <c r="M8" s="1">
        <v>29</v>
      </c>
    </row>
    <row r="9" spans="1:18" x14ac:dyDescent="0.2">
      <c r="A9" s="8" t="s">
        <v>65</v>
      </c>
      <c r="B9" s="10">
        <f>2*1.4</f>
        <v>2.8</v>
      </c>
      <c r="C9" s="11"/>
      <c r="D9" s="11"/>
      <c r="E9" s="11"/>
      <c r="F9" s="11"/>
      <c r="H9">
        <v>5</v>
      </c>
      <c r="I9" s="1">
        <v>4</v>
      </c>
      <c r="J9" s="1" t="s">
        <v>83</v>
      </c>
      <c r="K9" s="1">
        <v>19</v>
      </c>
      <c r="L9" s="1" t="s">
        <v>98</v>
      </c>
      <c r="M9" s="1" t="s">
        <v>102</v>
      </c>
    </row>
    <row r="10" spans="1:18" x14ac:dyDescent="0.2">
      <c r="A10" s="8"/>
      <c r="B10" s="11"/>
      <c r="C10" s="11"/>
      <c r="D10" s="11"/>
      <c r="E10" s="11"/>
      <c r="F10" s="11"/>
      <c r="H10">
        <v>6</v>
      </c>
      <c r="I10" s="1">
        <v>5</v>
      </c>
      <c r="J10" s="1" t="s">
        <v>84</v>
      </c>
      <c r="K10" s="1">
        <v>20</v>
      </c>
      <c r="L10" s="1" t="s">
        <v>99</v>
      </c>
      <c r="M10" s="1" t="s">
        <v>79</v>
      </c>
    </row>
    <row r="11" spans="1:18" x14ac:dyDescent="0.2">
      <c r="A11" s="8" t="s">
        <v>1</v>
      </c>
      <c r="B11" s="10">
        <f>2*0.826939192641799</f>
        <v>1.6538783852835981</v>
      </c>
      <c r="C11" s="10">
        <f>87.6-SUM(B11:B12)</f>
        <v>83.94612161471639</v>
      </c>
      <c r="D11" s="10">
        <v>12.4</v>
      </c>
      <c r="E11" s="11">
        <v>100</v>
      </c>
      <c r="F11" s="11">
        <v>4</v>
      </c>
      <c r="H11">
        <v>7</v>
      </c>
      <c r="I11" s="1">
        <v>6</v>
      </c>
      <c r="J11" s="1" t="s">
        <v>85</v>
      </c>
      <c r="K11" s="1">
        <v>21</v>
      </c>
      <c r="L11" s="1" t="s">
        <v>100</v>
      </c>
      <c r="M11" s="1" t="s">
        <v>93</v>
      </c>
    </row>
    <row r="12" spans="1:18" x14ac:dyDescent="0.2">
      <c r="A12" s="8" t="s">
        <v>66</v>
      </c>
      <c r="B12" s="10">
        <f>2*1</f>
        <v>2</v>
      </c>
      <c r="C12" s="11"/>
      <c r="D12" s="11"/>
      <c r="E12" s="11"/>
      <c r="F12" s="11"/>
      <c r="H12">
        <v>8</v>
      </c>
      <c r="I12" s="1">
        <v>7</v>
      </c>
      <c r="J12" s="1" t="s">
        <v>86</v>
      </c>
      <c r="K12" s="1">
        <v>22</v>
      </c>
      <c r="L12" s="1" t="s">
        <v>101</v>
      </c>
      <c r="M12" s="1" t="s">
        <v>108</v>
      </c>
    </row>
    <row r="13" spans="1:18" x14ac:dyDescent="0.2">
      <c r="A13" s="8"/>
      <c r="B13" s="11"/>
      <c r="C13" s="11"/>
      <c r="D13" s="11"/>
      <c r="E13" s="11"/>
      <c r="F13" s="11"/>
      <c r="H13">
        <v>9</v>
      </c>
      <c r="I13" s="1">
        <v>8</v>
      </c>
      <c r="J13" s="1" t="s">
        <v>87</v>
      </c>
      <c r="K13" s="1">
        <v>23</v>
      </c>
      <c r="L13" s="1" t="s">
        <v>103</v>
      </c>
      <c r="M13" s="1" t="s">
        <v>116</v>
      </c>
    </row>
    <row r="14" spans="1:18" x14ac:dyDescent="0.2">
      <c r="A14" s="8" t="s">
        <v>1</v>
      </c>
      <c r="B14" s="10">
        <f>2*0.826939192641799</f>
        <v>1.6538783852835981</v>
      </c>
      <c r="C14" s="10">
        <f>87.6-SUM(B14:B15)</f>
        <v>83.146121614716392</v>
      </c>
      <c r="D14" s="10">
        <v>12.4</v>
      </c>
      <c r="E14" s="11">
        <v>100</v>
      </c>
      <c r="F14" s="11">
        <v>5</v>
      </c>
      <c r="H14">
        <v>10</v>
      </c>
      <c r="I14" s="1">
        <v>9</v>
      </c>
      <c r="J14" s="1" t="s">
        <v>88</v>
      </c>
      <c r="K14" s="1">
        <v>24</v>
      </c>
      <c r="L14" s="1" t="s">
        <v>104</v>
      </c>
      <c r="M14" s="1" t="s">
        <v>102</v>
      </c>
    </row>
    <row r="15" spans="1:18" x14ac:dyDescent="0.2">
      <c r="A15" s="8" t="s">
        <v>67</v>
      </c>
      <c r="B15" s="10">
        <f>2*1.4</f>
        <v>2.8</v>
      </c>
      <c r="C15" s="11"/>
      <c r="D15" s="11"/>
      <c r="E15" s="11"/>
      <c r="F15" s="11"/>
      <c r="H15">
        <v>11</v>
      </c>
      <c r="I15" s="1">
        <v>10</v>
      </c>
      <c r="J15" s="1" t="s">
        <v>89</v>
      </c>
      <c r="K15" s="1">
        <v>25</v>
      </c>
      <c r="L15" s="1" t="s">
        <v>105</v>
      </c>
    </row>
    <row r="16" spans="1:18" x14ac:dyDescent="0.2">
      <c r="A16" s="8"/>
      <c r="B16" s="11"/>
      <c r="C16" s="11"/>
      <c r="D16" s="11"/>
      <c r="E16" s="11"/>
      <c r="F16" s="11"/>
      <c r="H16">
        <v>12</v>
      </c>
      <c r="I16" s="1">
        <v>11</v>
      </c>
      <c r="J16" s="1" t="s">
        <v>90</v>
      </c>
      <c r="K16" s="1">
        <v>26</v>
      </c>
      <c r="L16" s="1" t="s">
        <v>106</v>
      </c>
      <c r="P16" s="1"/>
      <c r="R16" s="1"/>
    </row>
    <row r="17" spans="1:18" x14ac:dyDescent="0.2">
      <c r="A17" s="8" t="s">
        <v>1</v>
      </c>
      <c r="B17" s="10">
        <f>2*0.826939192641799</f>
        <v>1.6538783852835981</v>
      </c>
      <c r="C17" s="10">
        <f>87.6-SUM(B17:B18)</f>
        <v>83.546121614716398</v>
      </c>
      <c r="D17" s="10">
        <v>12.4</v>
      </c>
      <c r="E17" s="11">
        <v>100</v>
      </c>
      <c r="F17" s="11">
        <v>6</v>
      </c>
      <c r="H17">
        <v>13</v>
      </c>
      <c r="I17" s="1">
        <v>12</v>
      </c>
      <c r="J17" s="1" t="s">
        <v>91</v>
      </c>
      <c r="K17" s="1">
        <v>27</v>
      </c>
      <c r="L17" s="1" t="s">
        <v>107</v>
      </c>
      <c r="P17" s="1"/>
      <c r="R17" s="1"/>
    </row>
    <row r="18" spans="1:18" x14ac:dyDescent="0.2">
      <c r="A18" s="8" t="s">
        <v>68</v>
      </c>
      <c r="B18" s="10">
        <f>2*1.2</f>
        <v>2.4</v>
      </c>
      <c r="C18" s="11"/>
      <c r="D18" s="11"/>
      <c r="E18" s="11"/>
      <c r="F18" s="11"/>
      <c r="H18">
        <v>14</v>
      </c>
      <c r="I18" s="1">
        <v>13</v>
      </c>
      <c r="J18" s="1" t="s">
        <v>92</v>
      </c>
      <c r="K18" t="s">
        <v>102</v>
      </c>
      <c r="L18" t="s">
        <v>102</v>
      </c>
      <c r="O18" s="1"/>
      <c r="P18" s="1"/>
      <c r="Q18" s="1"/>
      <c r="R18" s="1"/>
    </row>
    <row r="19" spans="1:18" x14ac:dyDescent="0.2">
      <c r="A19" s="8"/>
      <c r="B19" s="11"/>
      <c r="C19" s="11"/>
      <c r="D19" s="11"/>
      <c r="E19" s="11"/>
      <c r="F19" s="11"/>
      <c r="H19">
        <v>15</v>
      </c>
      <c r="I19" s="1">
        <v>15</v>
      </c>
      <c r="J19" s="1" t="s">
        <v>94</v>
      </c>
      <c r="K19" t="s">
        <v>79</v>
      </c>
      <c r="L19" t="s">
        <v>79</v>
      </c>
      <c r="O19" s="1"/>
      <c r="P19" s="1"/>
      <c r="Q19" s="1"/>
      <c r="R19" s="1"/>
    </row>
    <row r="20" spans="1:18" x14ac:dyDescent="0.2">
      <c r="A20" s="8" t="s">
        <v>1</v>
      </c>
      <c r="B20" s="10">
        <f>2*0.826939192641799</f>
        <v>1.6538783852835981</v>
      </c>
      <c r="C20" s="10">
        <f>87.6-SUM(B20:B21)</f>
        <v>83.546121614716398</v>
      </c>
      <c r="D20" s="10">
        <v>12.4</v>
      </c>
      <c r="E20" s="11">
        <v>100</v>
      </c>
      <c r="F20" s="11">
        <v>7</v>
      </c>
      <c r="H20">
        <v>16</v>
      </c>
      <c r="I20" t="s">
        <v>102</v>
      </c>
      <c r="J20" t="s">
        <v>102</v>
      </c>
      <c r="K20" t="s">
        <v>102</v>
      </c>
      <c r="L20" t="s">
        <v>102</v>
      </c>
      <c r="O20" s="1"/>
      <c r="P20" s="1"/>
      <c r="Q20" s="1"/>
      <c r="R20" s="1"/>
    </row>
    <row r="21" spans="1:18" x14ac:dyDescent="0.2">
      <c r="A21" s="8" t="s">
        <v>69</v>
      </c>
      <c r="B21" s="10">
        <f>2*1.2</f>
        <v>2.4</v>
      </c>
      <c r="C21" s="11"/>
      <c r="D21" s="11"/>
      <c r="E21" s="11"/>
      <c r="F21" s="11"/>
      <c r="H21">
        <v>17</v>
      </c>
      <c r="I21" t="s">
        <v>79</v>
      </c>
      <c r="J21" t="s">
        <v>79</v>
      </c>
      <c r="K21" t="s">
        <v>102</v>
      </c>
      <c r="L21" t="s">
        <v>102</v>
      </c>
      <c r="O21" s="1"/>
      <c r="P21" s="1"/>
      <c r="Q21" s="1"/>
      <c r="R21" s="1"/>
    </row>
    <row r="22" spans="1:18" x14ac:dyDescent="0.2">
      <c r="A22" s="8"/>
      <c r="B22" s="11"/>
      <c r="C22" s="11"/>
      <c r="D22" s="11"/>
      <c r="E22" s="11"/>
      <c r="F22" s="11"/>
      <c r="H22">
        <v>18</v>
      </c>
      <c r="I22" t="s">
        <v>102</v>
      </c>
      <c r="J22" t="s">
        <v>102</v>
      </c>
      <c r="K22" t="s">
        <v>102</v>
      </c>
      <c r="L22" t="s">
        <v>102</v>
      </c>
      <c r="O22" s="1"/>
      <c r="P22" s="1"/>
      <c r="Q22" s="1"/>
      <c r="R22" s="1"/>
    </row>
    <row r="23" spans="1:18" x14ac:dyDescent="0.2">
      <c r="A23" s="8" t="s">
        <v>43</v>
      </c>
      <c r="B23" s="10">
        <f>6*(5.3/5)</f>
        <v>6.36</v>
      </c>
      <c r="C23" s="10">
        <f>(6*87.6)-SUM(B23:B24)</f>
        <v>510.83999999999992</v>
      </c>
      <c r="D23" s="10">
        <f>12.4*6</f>
        <v>74.400000000000006</v>
      </c>
      <c r="E23" s="11">
        <v>600</v>
      </c>
      <c r="F23" s="12" t="s">
        <v>113</v>
      </c>
      <c r="G23" t="s">
        <v>117</v>
      </c>
      <c r="O23" s="1"/>
      <c r="P23" s="1"/>
      <c r="Q23" s="1"/>
      <c r="R23" s="1"/>
    </row>
    <row r="24" spans="1:18" x14ac:dyDescent="0.2">
      <c r="A24" s="8" t="s">
        <v>20</v>
      </c>
      <c r="B24" s="10">
        <f>6*(7/5)</f>
        <v>8.3999999999999986</v>
      </c>
      <c r="C24" s="11"/>
      <c r="D24" s="11"/>
      <c r="E24" s="11"/>
      <c r="F24" s="11"/>
      <c r="O24" s="1"/>
      <c r="P24" s="1"/>
      <c r="Q24" s="1"/>
      <c r="R24" s="1"/>
    </row>
    <row r="25" spans="1:18" x14ac:dyDescent="0.2">
      <c r="A25" s="8"/>
      <c r="B25" s="11"/>
      <c r="C25" s="11"/>
      <c r="D25" s="11"/>
      <c r="E25" s="11"/>
      <c r="F25" s="11"/>
      <c r="O25" s="1"/>
      <c r="P25" s="1"/>
      <c r="Q25" s="1"/>
      <c r="R25" s="1"/>
    </row>
    <row r="26" spans="1:18" x14ac:dyDescent="0.2">
      <c r="A26" s="8" t="s">
        <v>2</v>
      </c>
      <c r="B26" s="11">
        <v>2.4</v>
      </c>
      <c r="C26" s="10">
        <f>87.6-SUM(B26:B27)</f>
        <v>81</v>
      </c>
      <c r="D26" s="10">
        <v>12.4</v>
      </c>
      <c r="E26" s="11">
        <v>100</v>
      </c>
      <c r="F26" s="11">
        <v>14</v>
      </c>
      <c r="O26" s="1"/>
      <c r="P26" s="1"/>
      <c r="Q26" s="1"/>
      <c r="R26" s="1"/>
    </row>
    <row r="27" spans="1:18" x14ac:dyDescent="0.2">
      <c r="A27" s="8" t="s">
        <v>112</v>
      </c>
      <c r="B27" s="11">
        <v>4.2</v>
      </c>
      <c r="C27" s="11"/>
      <c r="D27" s="11"/>
      <c r="E27" s="11"/>
      <c r="F27" s="11"/>
    </row>
    <row r="28" spans="1:18" x14ac:dyDescent="0.2">
      <c r="A28" s="8"/>
      <c r="B28" s="11"/>
      <c r="C28" s="11"/>
      <c r="D28" s="11"/>
      <c r="E28" s="11"/>
      <c r="F28" s="11"/>
      <c r="O28" s="1"/>
      <c r="P28" s="1"/>
      <c r="Q28" s="1"/>
      <c r="R28" s="1"/>
    </row>
    <row r="29" spans="1:18" x14ac:dyDescent="0.2">
      <c r="A29" s="8" t="s">
        <v>23</v>
      </c>
      <c r="B29" s="11">
        <v>0.8</v>
      </c>
      <c r="C29" s="10">
        <f>87.6-SUM(B29:B30)</f>
        <v>85.399999999999991</v>
      </c>
      <c r="D29" s="10">
        <v>12.4</v>
      </c>
      <c r="E29" s="11">
        <v>100</v>
      </c>
      <c r="F29" s="11">
        <v>15</v>
      </c>
      <c r="H29" t="s">
        <v>120</v>
      </c>
      <c r="I29" t="s">
        <v>119</v>
      </c>
      <c r="O29" s="1"/>
      <c r="P29" s="1"/>
      <c r="Q29" s="1"/>
      <c r="R29" s="1"/>
    </row>
    <row r="30" spans="1:18" x14ac:dyDescent="0.2">
      <c r="A30" s="8" t="s">
        <v>20</v>
      </c>
      <c r="B30" s="11">
        <v>1.4</v>
      </c>
      <c r="C30" s="11"/>
      <c r="D30" s="11"/>
      <c r="E30" s="11"/>
      <c r="F30" s="11"/>
      <c r="H30" t="s">
        <v>121</v>
      </c>
      <c r="I30" t="s">
        <v>126</v>
      </c>
    </row>
    <row r="31" spans="1:18" x14ac:dyDescent="0.2">
      <c r="A31" s="8"/>
      <c r="B31" s="11"/>
      <c r="C31" s="11"/>
      <c r="D31" s="11"/>
      <c r="E31" s="11"/>
      <c r="F31" s="11"/>
      <c r="H31" t="s">
        <v>122</v>
      </c>
      <c r="I31" t="s">
        <v>127</v>
      </c>
    </row>
    <row r="32" spans="1:18" x14ac:dyDescent="0.2">
      <c r="A32" s="8" t="s">
        <v>21</v>
      </c>
      <c r="B32" s="10">
        <v>1.4</v>
      </c>
      <c r="C32" s="10">
        <f>87.6-SUM(B32:B33)</f>
        <v>84.509125739506047</v>
      </c>
      <c r="D32" s="10">
        <v>12.4</v>
      </c>
      <c r="E32" s="11">
        <v>100</v>
      </c>
      <c r="F32" s="11">
        <v>16</v>
      </c>
      <c r="H32" t="s">
        <v>123</v>
      </c>
      <c r="I32" t="s">
        <v>128</v>
      </c>
    </row>
    <row r="33" spans="1:9" x14ac:dyDescent="0.2">
      <c r="A33" s="8" t="s">
        <v>0</v>
      </c>
      <c r="B33" s="10">
        <f>2*0.845437130246972</f>
        <v>1.690874260493944</v>
      </c>
      <c r="C33" s="11"/>
      <c r="D33" s="11"/>
      <c r="E33" s="11"/>
      <c r="F33" s="11"/>
      <c r="H33" t="s">
        <v>124</v>
      </c>
      <c r="I33" t="s">
        <v>129</v>
      </c>
    </row>
    <row r="34" spans="1:9" x14ac:dyDescent="0.2">
      <c r="A34" s="8"/>
      <c r="B34" s="11"/>
      <c r="C34" s="11"/>
      <c r="D34" s="11"/>
      <c r="E34" s="11"/>
      <c r="F34" s="11"/>
      <c r="H34" t="s">
        <v>125</v>
      </c>
      <c r="I34" t="s">
        <v>130</v>
      </c>
    </row>
    <row r="35" spans="1:9" x14ac:dyDescent="0.2">
      <c r="A35" s="8" t="s">
        <v>21</v>
      </c>
      <c r="B35" s="10">
        <f>(10.5)*(2/3)*(6/5)</f>
        <v>8.4</v>
      </c>
      <c r="C35" s="10">
        <f>(6*87.6)-SUM(B35:B36)</f>
        <v>512.79999999999995</v>
      </c>
      <c r="D35" s="10">
        <f>6*12.4</f>
        <v>74.400000000000006</v>
      </c>
      <c r="E35" s="11">
        <v>500</v>
      </c>
      <c r="F35" s="13" t="s">
        <v>114</v>
      </c>
    </row>
    <row r="36" spans="1:9" x14ac:dyDescent="0.2">
      <c r="A36" s="8" t="s">
        <v>3</v>
      </c>
      <c r="B36" s="10">
        <f>5.5*(2/3)*(6/5)</f>
        <v>4.3999999999999995</v>
      </c>
      <c r="C36" s="11"/>
      <c r="D36" s="11"/>
      <c r="E36" s="11"/>
      <c r="F36" s="11"/>
      <c r="H36" t="s">
        <v>118</v>
      </c>
    </row>
    <row r="37" spans="1:9" x14ac:dyDescent="0.2">
      <c r="A37" s="8"/>
      <c r="B37" s="11"/>
      <c r="C37" s="11"/>
      <c r="D37" s="11"/>
      <c r="E37" s="11"/>
      <c r="F37" s="11"/>
    </row>
    <row r="38" spans="1:9" x14ac:dyDescent="0.2">
      <c r="A38" s="8" t="s">
        <v>21</v>
      </c>
      <c r="B38" s="10">
        <f>2*0.7</f>
        <v>1.4</v>
      </c>
      <c r="C38" s="10">
        <f>87.6-SUM(B38:B39)</f>
        <v>83.6</v>
      </c>
      <c r="D38" s="10">
        <v>12.4</v>
      </c>
      <c r="E38" s="11">
        <v>100</v>
      </c>
      <c r="F38" s="11">
        <v>23</v>
      </c>
    </row>
    <row r="39" spans="1:9" x14ac:dyDescent="0.2">
      <c r="A39" s="8" t="s">
        <v>70</v>
      </c>
      <c r="B39" s="10">
        <f>2*1.3</f>
        <v>2.6</v>
      </c>
      <c r="C39" s="11"/>
      <c r="D39" s="11"/>
      <c r="E39" s="11"/>
      <c r="F39" s="11"/>
    </row>
    <row r="40" spans="1:9" x14ac:dyDescent="0.2">
      <c r="A40" s="8"/>
      <c r="B40" s="11"/>
      <c r="C40" s="11"/>
      <c r="D40" s="11"/>
      <c r="E40" s="11"/>
      <c r="F40" s="11"/>
    </row>
    <row r="41" spans="1:9" x14ac:dyDescent="0.2">
      <c r="A41" s="8" t="s">
        <v>21</v>
      </c>
      <c r="B41" s="10">
        <f>2*0.7</f>
        <v>1.4</v>
      </c>
      <c r="C41" s="10">
        <f>87.6-SUM(B41:B42)</f>
        <v>84</v>
      </c>
      <c r="D41" s="10">
        <v>12.4</v>
      </c>
      <c r="E41" s="11">
        <v>100</v>
      </c>
      <c r="F41" s="11">
        <v>24</v>
      </c>
    </row>
    <row r="42" spans="1:9" x14ac:dyDescent="0.2">
      <c r="A42" s="8" t="s">
        <v>71</v>
      </c>
      <c r="B42" s="10">
        <f>2*1.1</f>
        <v>2.2000000000000002</v>
      </c>
      <c r="C42" s="11"/>
      <c r="D42" s="11"/>
      <c r="E42" s="11"/>
      <c r="F42" s="11"/>
    </row>
    <row r="43" spans="1:9" x14ac:dyDescent="0.2">
      <c r="A43" s="8"/>
      <c r="B43" s="11"/>
      <c r="C43" s="11"/>
      <c r="D43" s="11"/>
      <c r="E43" s="11"/>
      <c r="F43" s="11"/>
    </row>
    <row r="44" spans="1:9" x14ac:dyDescent="0.2">
      <c r="A44" s="8" t="s">
        <v>21</v>
      </c>
      <c r="B44" s="10">
        <f>2*0.7</f>
        <v>1.4</v>
      </c>
      <c r="C44" s="10">
        <f>87.6-SUM(B44:B45)</f>
        <v>83.6</v>
      </c>
      <c r="D44" s="10">
        <v>12.4</v>
      </c>
      <c r="E44" s="11">
        <v>100</v>
      </c>
      <c r="F44" s="11">
        <v>25</v>
      </c>
    </row>
    <row r="45" spans="1:9" x14ac:dyDescent="0.2">
      <c r="A45" s="8" t="s">
        <v>72</v>
      </c>
      <c r="B45" s="10">
        <f>2*1.3</f>
        <v>2.6</v>
      </c>
      <c r="C45" s="11"/>
      <c r="D45" s="11"/>
      <c r="E45" s="11"/>
      <c r="F45" s="11"/>
    </row>
    <row r="46" spans="1:9" x14ac:dyDescent="0.2">
      <c r="A46" s="8"/>
      <c r="B46" s="11"/>
      <c r="C46" s="11"/>
      <c r="D46" s="11"/>
      <c r="E46" s="11"/>
      <c r="F46" s="11"/>
    </row>
    <row r="48" spans="1:9" x14ac:dyDescent="0.2">
      <c r="A48" s="8" t="s">
        <v>21</v>
      </c>
      <c r="B48" s="10">
        <f>2*0.7</f>
        <v>1.4</v>
      </c>
      <c r="C48" s="10">
        <f>87.6-SUM(B48:B49)</f>
        <v>84.6</v>
      </c>
      <c r="D48" s="10">
        <v>12.4</v>
      </c>
      <c r="E48" s="11">
        <v>100</v>
      </c>
      <c r="F48" s="11">
        <v>26</v>
      </c>
    </row>
    <row r="49" spans="1:6" x14ac:dyDescent="0.2">
      <c r="A49" s="8" t="s">
        <v>73</v>
      </c>
      <c r="B49" s="10">
        <f>2*0.8</f>
        <v>1.6</v>
      </c>
      <c r="C49" s="11"/>
      <c r="D49" s="11"/>
      <c r="E49" s="11"/>
      <c r="F49" s="11"/>
    </row>
    <row r="50" spans="1:6" x14ac:dyDescent="0.2">
      <c r="A50" s="8"/>
      <c r="B50" s="11"/>
      <c r="C50" s="11"/>
      <c r="D50" s="11"/>
      <c r="E50" s="11"/>
      <c r="F50" s="11"/>
    </row>
    <row r="51" spans="1:6" x14ac:dyDescent="0.2">
      <c r="A51" s="8" t="s">
        <v>23</v>
      </c>
      <c r="B51" s="11">
        <v>0.8</v>
      </c>
      <c r="C51" s="10">
        <f>87.6-SUM(B51:B52)</f>
        <v>85.1</v>
      </c>
      <c r="D51" s="10">
        <v>12.4</v>
      </c>
      <c r="E51" s="11">
        <v>100</v>
      </c>
      <c r="F51" s="11">
        <v>27</v>
      </c>
    </row>
    <row r="52" spans="1:6" x14ac:dyDescent="0.2">
      <c r="A52" s="8" t="s">
        <v>0</v>
      </c>
      <c r="B52" s="11">
        <v>1.7</v>
      </c>
      <c r="C52" s="11"/>
      <c r="D52" s="11"/>
      <c r="E52" s="11"/>
      <c r="F52" s="11"/>
    </row>
    <row r="53" spans="1:6" x14ac:dyDescent="0.2">
      <c r="A53" s="8"/>
      <c r="B53" s="11"/>
      <c r="C53" s="11"/>
      <c r="D53" s="11"/>
      <c r="E53" s="11"/>
      <c r="F53" s="11"/>
    </row>
    <row r="54" spans="1:6" x14ac:dyDescent="0.2">
      <c r="A54" s="8" t="s">
        <v>22</v>
      </c>
      <c r="B54" s="11">
        <v>1.4</v>
      </c>
      <c r="C54" s="10">
        <f>87.6-SUM(B54:B55)</f>
        <v>82</v>
      </c>
      <c r="D54" s="10">
        <v>12.4</v>
      </c>
      <c r="E54" s="10">
        <v>100</v>
      </c>
      <c r="F54" s="11">
        <v>28</v>
      </c>
    </row>
    <row r="55" spans="1:6" x14ac:dyDescent="0.2">
      <c r="A55" s="8" t="s">
        <v>112</v>
      </c>
      <c r="B55" s="11">
        <v>4.2</v>
      </c>
      <c r="C55" s="11"/>
      <c r="D55" s="11"/>
      <c r="E55" s="11"/>
      <c r="F55" s="11"/>
    </row>
    <row r="57" spans="1:6" x14ac:dyDescent="0.2">
      <c r="A57" s="8" t="s">
        <v>24</v>
      </c>
      <c r="B57" s="11">
        <v>0.6</v>
      </c>
      <c r="C57" s="10">
        <f>87.6-SUM(B57:B58)</f>
        <v>82.8</v>
      </c>
      <c r="D57" s="10">
        <v>12.4</v>
      </c>
      <c r="E57" s="10">
        <v>100</v>
      </c>
      <c r="F57" s="11">
        <v>29</v>
      </c>
    </row>
    <row r="58" spans="1:6" x14ac:dyDescent="0.2">
      <c r="A58" s="8" t="s">
        <v>112</v>
      </c>
      <c r="B58" s="11">
        <v>4.2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46" workbookViewId="0">
      <selection activeCell="N41" sqref="N41"/>
    </sheetView>
  </sheetViews>
  <sheetFormatPr baseColWidth="10" defaultColWidth="8.83203125" defaultRowHeight="15" x14ac:dyDescent="0.2"/>
  <cols>
    <col min="1" max="1" width="22.6640625" bestFit="1" customWidth="1"/>
    <col min="3" max="3" width="8.83203125" style="1"/>
    <col min="4" max="4" width="9.1640625" customWidth="1"/>
    <col min="5" max="5" width="16.5" bestFit="1" customWidth="1"/>
    <col min="6" max="6" width="9.1640625" customWidth="1"/>
  </cols>
  <sheetData>
    <row r="1" spans="1:6" x14ac:dyDescent="0.2">
      <c r="B1" s="2" t="s">
        <v>51</v>
      </c>
      <c r="C1" s="2" t="s">
        <v>56</v>
      </c>
      <c r="D1" s="2" t="s">
        <v>55</v>
      </c>
      <c r="E1" s="2" t="s">
        <v>110</v>
      </c>
      <c r="F1" s="2"/>
    </row>
    <row r="2" spans="1:6" x14ac:dyDescent="0.2">
      <c r="A2" t="s">
        <v>0</v>
      </c>
      <c r="B2" s="4">
        <f>3*0.845437130246972</f>
        <v>2.536311390740916</v>
      </c>
      <c r="C2" s="4">
        <f>80-SUM(B2:B3)</f>
        <v>75.363688609259086</v>
      </c>
      <c r="D2" s="4">
        <v>45</v>
      </c>
      <c r="E2" s="1">
        <v>125</v>
      </c>
      <c r="F2" s="1">
        <v>15</v>
      </c>
    </row>
    <row r="3" spans="1:6" x14ac:dyDescent="0.2">
      <c r="A3" t="s">
        <v>20</v>
      </c>
      <c r="B3" s="4">
        <f>3*0.7</f>
        <v>2.0999999999999996</v>
      </c>
      <c r="F3" s="1"/>
    </row>
    <row r="4" spans="1:6" x14ac:dyDescent="0.2">
      <c r="F4" s="1"/>
    </row>
    <row r="5" spans="1:6" x14ac:dyDescent="0.2">
      <c r="A5" t="s">
        <v>0</v>
      </c>
      <c r="B5" s="4">
        <f>3*0.845437130246972</f>
        <v>2.536311390740916</v>
      </c>
      <c r="C5" s="4">
        <f>80-SUM(B5:B6)</f>
        <v>74.46368860925908</v>
      </c>
      <c r="D5" s="4">
        <v>45</v>
      </c>
      <c r="E5" s="1">
        <v>125</v>
      </c>
      <c r="F5" s="1">
        <v>16</v>
      </c>
    </row>
    <row r="6" spans="1:6" x14ac:dyDescent="0.2">
      <c r="A6" t="s">
        <v>64</v>
      </c>
      <c r="B6" s="4">
        <f>3*1</f>
        <v>3</v>
      </c>
      <c r="F6" s="1"/>
    </row>
    <row r="7" spans="1:6" x14ac:dyDescent="0.2">
      <c r="F7" s="1"/>
    </row>
    <row r="8" spans="1:6" x14ac:dyDescent="0.2">
      <c r="A8" t="s">
        <v>0</v>
      </c>
      <c r="B8" s="4">
        <f>3*0.845437130246972</f>
        <v>2.536311390740916</v>
      </c>
      <c r="C8" s="4">
        <f>80-SUM(B8:B9)</f>
        <v>73.263688609259077</v>
      </c>
      <c r="D8" s="4">
        <v>45</v>
      </c>
      <c r="E8" s="1">
        <v>125</v>
      </c>
      <c r="F8" s="1">
        <v>17</v>
      </c>
    </row>
    <row r="9" spans="1:6" x14ac:dyDescent="0.2">
      <c r="A9" t="s">
        <v>65</v>
      </c>
      <c r="B9" s="4">
        <f>3*1.4</f>
        <v>4.1999999999999993</v>
      </c>
      <c r="F9" s="1"/>
    </row>
    <row r="10" spans="1:6" x14ac:dyDescent="0.2">
      <c r="F10" s="1"/>
    </row>
    <row r="11" spans="1:6" x14ac:dyDescent="0.2">
      <c r="A11" t="s">
        <v>0</v>
      </c>
      <c r="B11" s="4">
        <f>3*0.845437130246972</f>
        <v>2.536311390740916</v>
      </c>
      <c r="C11" s="4">
        <f>80-SUM(B11:B12)</f>
        <v>74.46368860925908</v>
      </c>
      <c r="D11" s="4">
        <v>45</v>
      </c>
      <c r="E11" s="1">
        <v>125</v>
      </c>
      <c r="F11" s="1">
        <v>18</v>
      </c>
    </row>
    <row r="12" spans="1:6" x14ac:dyDescent="0.2">
      <c r="A12" t="s">
        <v>66</v>
      </c>
      <c r="B12" s="4">
        <f>3*1</f>
        <v>3</v>
      </c>
      <c r="F12" s="1"/>
    </row>
    <row r="13" spans="1:6" x14ac:dyDescent="0.2">
      <c r="F13" s="1"/>
    </row>
    <row r="14" spans="1:6" x14ac:dyDescent="0.2">
      <c r="A14" t="s">
        <v>0</v>
      </c>
      <c r="B14" s="4">
        <f>3*0.845437130246972</f>
        <v>2.536311390740916</v>
      </c>
      <c r="C14" s="4">
        <f>80-SUM(B14:B15)</f>
        <v>73.263688609259077</v>
      </c>
      <c r="D14" s="4">
        <v>45</v>
      </c>
      <c r="E14" s="1">
        <v>125</v>
      </c>
      <c r="F14" s="1">
        <v>19</v>
      </c>
    </row>
    <row r="15" spans="1:6" x14ac:dyDescent="0.2">
      <c r="A15" t="s">
        <v>67</v>
      </c>
      <c r="B15" s="4">
        <f>3*1.4</f>
        <v>4.1999999999999993</v>
      </c>
      <c r="F15" s="1"/>
    </row>
    <row r="16" spans="1:6" x14ac:dyDescent="0.2">
      <c r="B16" s="4"/>
      <c r="F16" s="1"/>
    </row>
    <row r="17" spans="1:6" x14ac:dyDescent="0.2">
      <c r="A17" t="s">
        <v>0</v>
      </c>
      <c r="B17" s="4">
        <f>3*0.845437130246972</f>
        <v>2.536311390740916</v>
      </c>
      <c r="C17" s="4">
        <f>80-SUM(B17:B18)</f>
        <v>73.863688609259086</v>
      </c>
      <c r="D17" s="4">
        <v>45</v>
      </c>
      <c r="E17" s="1">
        <v>125</v>
      </c>
      <c r="F17" s="1">
        <v>20</v>
      </c>
    </row>
    <row r="18" spans="1:6" x14ac:dyDescent="0.2">
      <c r="A18" t="s">
        <v>68</v>
      </c>
      <c r="B18" s="4">
        <f>3*1.2</f>
        <v>3.5999999999999996</v>
      </c>
      <c r="F18" s="1"/>
    </row>
    <row r="19" spans="1:6" x14ac:dyDescent="0.2">
      <c r="F19" s="1"/>
    </row>
    <row r="20" spans="1:6" x14ac:dyDescent="0.2">
      <c r="A20" t="s">
        <v>0</v>
      </c>
      <c r="B20" s="4">
        <f>3*0.845437130246972</f>
        <v>2.536311390740916</v>
      </c>
      <c r="C20" s="4">
        <f>80-SUM(B20:B21)</f>
        <v>73.863688609259086</v>
      </c>
      <c r="D20" s="4">
        <v>45</v>
      </c>
      <c r="E20" s="1">
        <v>125</v>
      </c>
      <c r="F20" s="1">
        <v>21</v>
      </c>
    </row>
    <row r="21" spans="1:6" x14ac:dyDescent="0.2">
      <c r="A21" t="s">
        <v>69</v>
      </c>
      <c r="B21" s="4">
        <f>3*1.2</f>
        <v>3.5999999999999996</v>
      </c>
      <c r="F21" s="1"/>
    </row>
    <row r="23" spans="1:6" x14ac:dyDescent="0.2">
      <c r="A23" t="s">
        <v>3</v>
      </c>
      <c r="B23" s="4">
        <f>3*0.3706667080129</f>
        <v>1.1120001240387001</v>
      </c>
      <c r="C23" s="4">
        <f>80-SUM(B23:B24)</f>
        <v>76.75012096940533</v>
      </c>
      <c r="D23" s="4">
        <v>45</v>
      </c>
      <c r="E23" s="1">
        <v>125</v>
      </c>
      <c r="F23" s="1">
        <v>22</v>
      </c>
    </row>
    <row r="24" spans="1:6" x14ac:dyDescent="0.2">
      <c r="A24" t="s">
        <v>20</v>
      </c>
      <c r="B24" s="4">
        <f>3*0.712626302185322</f>
        <v>2.137878906555966</v>
      </c>
    </row>
    <row r="26" spans="1:6" x14ac:dyDescent="0.2">
      <c r="A26" t="s">
        <v>20</v>
      </c>
      <c r="B26" s="4">
        <f>3*0.712626302185322</f>
        <v>2.137878906555966</v>
      </c>
      <c r="C26" s="4">
        <f>80-SUM(B26:B27)</f>
        <v>75.325809702703111</v>
      </c>
      <c r="D26" s="4">
        <v>45</v>
      </c>
      <c r="E26" s="1">
        <v>125</v>
      </c>
      <c r="F26" s="1">
        <v>23</v>
      </c>
    </row>
    <row r="27" spans="1:6" x14ac:dyDescent="0.2">
      <c r="A27" t="s">
        <v>0</v>
      </c>
      <c r="B27" s="4">
        <f>3*0.845437130246972</f>
        <v>2.536311390740916</v>
      </c>
    </row>
    <row r="29" spans="1:6" x14ac:dyDescent="0.2">
      <c r="A29" t="s">
        <v>20</v>
      </c>
      <c r="B29" s="4">
        <f>3*0.712626302185322</f>
        <v>2.137878906555966</v>
      </c>
      <c r="C29" s="4">
        <f>80-SUM(B29:B30)</f>
        <v>76.75012096940533</v>
      </c>
      <c r="D29" s="4">
        <v>45</v>
      </c>
      <c r="E29" s="1">
        <v>125</v>
      </c>
      <c r="F29" s="1">
        <v>24</v>
      </c>
    </row>
    <row r="30" spans="1:6" x14ac:dyDescent="0.2">
      <c r="A30" t="s">
        <v>3</v>
      </c>
      <c r="B30" s="4">
        <f>3*0.3706667080129</f>
        <v>1.1120001240387001</v>
      </c>
    </row>
    <row r="32" spans="1:6" x14ac:dyDescent="0.2">
      <c r="A32" t="s">
        <v>20</v>
      </c>
      <c r="B32" s="4">
        <f>3*0.712626302185322</f>
        <v>2.137878906555966</v>
      </c>
      <c r="C32" s="4">
        <f>80-SUM(B32:B33)</f>
        <v>73.96212109344404</v>
      </c>
      <c r="D32" s="4">
        <v>45</v>
      </c>
      <c r="E32" s="1">
        <v>125</v>
      </c>
      <c r="F32" s="1">
        <v>25</v>
      </c>
    </row>
    <row r="33" spans="1:6" x14ac:dyDescent="0.2">
      <c r="A33" t="s">
        <v>70</v>
      </c>
      <c r="B33" s="4">
        <f>3*1.3</f>
        <v>3.9000000000000004</v>
      </c>
    </row>
    <row r="35" spans="1:6" x14ac:dyDescent="0.2">
      <c r="A35" t="s">
        <v>20</v>
      </c>
      <c r="B35" s="4">
        <f>3*0.712626302185322</f>
        <v>2.137878906555966</v>
      </c>
      <c r="C35" s="4">
        <f>80-SUM(B35:B36)</f>
        <v>74.562121093444034</v>
      </c>
      <c r="D35" s="4">
        <v>45</v>
      </c>
      <c r="E35" s="1">
        <v>125</v>
      </c>
      <c r="F35" s="1">
        <v>26</v>
      </c>
    </row>
    <row r="36" spans="1:6" x14ac:dyDescent="0.2">
      <c r="A36" t="s">
        <v>71</v>
      </c>
      <c r="B36" s="4">
        <f>3*1.1</f>
        <v>3.3000000000000003</v>
      </c>
    </row>
    <row r="38" spans="1:6" x14ac:dyDescent="0.2">
      <c r="A38" t="s">
        <v>20</v>
      </c>
      <c r="B38" s="4">
        <f>3*0.712626302185322</f>
        <v>2.137878906555966</v>
      </c>
      <c r="C38" s="4">
        <f>80-SUM(B38:B39)</f>
        <v>73.96212109344404</v>
      </c>
      <c r="D38" s="4">
        <v>45</v>
      </c>
      <c r="E38" s="1">
        <v>125</v>
      </c>
      <c r="F38" s="1">
        <v>27</v>
      </c>
    </row>
    <row r="39" spans="1:6" x14ac:dyDescent="0.2">
      <c r="A39" t="s">
        <v>72</v>
      </c>
      <c r="B39" s="4">
        <f>3*1.3</f>
        <v>3.9000000000000004</v>
      </c>
    </row>
    <row r="41" spans="1:6" x14ac:dyDescent="0.2">
      <c r="A41" t="s">
        <v>20</v>
      </c>
      <c r="B41" s="4">
        <f>3*0.712626302185322</f>
        <v>2.137878906555966</v>
      </c>
      <c r="C41" s="4">
        <f>80-SUM(B41:B42)</f>
        <v>75.46212109344404</v>
      </c>
      <c r="D41" s="4">
        <v>45</v>
      </c>
      <c r="E41" s="1">
        <v>125</v>
      </c>
      <c r="F41" s="1">
        <v>28</v>
      </c>
    </row>
    <row r="42" spans="1:6" x14ac:dyDescent="0.2">
      <c r="A42" t="s">
        <v>73</v>
      </c>
      <c r="B42" s="4">
        <f>3*0.8</f>
        <v>2.4000000000000004</v>
      </c>
    </row>
    <row r="44" spans="1:6" x14ac:dyDescent="0.2">
      <c r="A44" s="1"/>
      <c r="B44" s="1"/>
      <c r="D44" s="1"/>
    </row>
    <row r="45" spans="1:6" x14ac:dyDescent="0.2">
      <c r="A45" s="1"/>
      <c r="B45" s="1"/>
      <c r="D45" s="1"/>
    </row>
    <row r="46" spans="1:6" x14ac:dyDescent="0.2">
      <c r="A46" s="1"/>
      <c r="B46" s="1"/>
      <c r="D46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topLeftCell="A37" workbookViewId="0">
      <selection activeCell="A48" sqref="A48:F49"/>
    </sheetView>
  </sheetViews>
  <sheetFormatPr baseColWidth="10" defaultColWidth="8.83203125" defaultRowHeight="15" x14ac:dyDescent="0.2"/>
  <cols>
    <col min="2" max="2" width="11" bestFit="1" customWidth="1"/>
    <col min="3" max="6" width="8.83203125" style="1"/>
  </cols>
  <sheetData>
    <row r="1" spans="1:6" x14ac:dyDescent="0.2">
      <c r="A1" s="14"/>
      <c r="B1" s="14"/>
      <c r="C1" s="15" t="s">
        <v>51</v>
      </c>
      <c r="D1" s="15" t="s">
        <v>63</v>
      </c>
      <c r="E1" s="15" t="s">
        <v>53</v>
      </c>
      <c r="F1" s="15" t="s">
        <v>111</v>
      </c>
    </row>
    <row r="2" spans="1:6" x14ac:dyDescent="0.2">
      <c r="A2" s="16">
        <v>1</v>
      </c>
      <c r="B2" s="17" t="s">
        <v>1</v>
      </c>
      <c r="C2" s="18">
        <v>3.4</v>
      </c>
      <c r="D2" s="18">
        <v>12.4</v>
      </c>
      <c r="E2" s="18">
        <f>100-SUM(D2,C2,C3)</f>
        <v>82.8</v>
      </c>
      <c r="F2" s="19">
        <v>100</v>
      </c>
    </row>
    <row r="3" spans="1:6" x14ac:dyDescent="0.2">
      <c r="A3" s="20"/>
      <c r="B3" s="21" t="s">
        <v>20</v>
      </c>
      <c r="C3" s="22">
        <v>1.4</v>
      </c>
      <c r="D3" s="22"/>
      <c r="E3" s="22"/>
      <c r="F3" s="23"/>
    </row>
    <row r="4" spans="1:6" x14ac:dyDescent="0.2">
      <c r="A4" s="14"/>
      <c r="B4" s="14"/>
      <c r="C4" s="24"/>
      <c r="D4" s="24"/>
      <c r="E4" s="24"/>
      <c r="F4" s="24"/>
    </row>
    <row r="5" spans="1:6" x14ac:dyDescent="0.2">
      <c r="A5" s="16">
        <v>2</v>
      </c>
      <c r="B5" s="17" t="s">
        <v>1</v>
      </c>
      <c r="C5" s="18">
        <v>3.4</v>
      </c>
      <c r="D5" s="18">
        <v>12.4</v>
      </c>
      <c r="E5" s="18">
        <f>100-SUM(D5,C5,C6)</f>
        <v>80.8</v>
      </c>
      <c r="F5" s="19">
        <v>100</v>
      </c>
    </row>
    <row r="6" spans="1:6" x14ac:dyDescent="0.2">
      <c r="A6" s="20"/>
      <c r="B6" s="25" t="s">
        <v>131</v>
      </c>
      <c r="C6" s="22">
        <v>3.4</v>
      </c>
      <c r="D6" s="22"/>
      <c r="E6" s="22"/>
      <c r="F6" s="23"/>
    </row>
    <row r="7" spans="1:6" x14ac:dyDescent="0.2">
      <c r="A7" s="14"/>
      <c r="B7" s="14"/>
      <c r="C7" s="24"/>
      <c r="D7" s="24"/>
      <c r="E7" s="24"/>
      <c r="F7" s="24"/>
    </row>
    <row r="8" spans="1:6" x14ac:dyDescent="0.2">
      <c r="A8" s="16">
        <v>3</v>
      </c>
      <c r="B8" s="17" t="s">
        <v>1</v>
      </c>
      <c r="C8" s="18">
        <v>3.4</v>
      </c>
      <c r="D8" s="18">
        <v>12.4</v>
      </c>
      <c r="E8" s="18">
        <f>100-SUM(D8,C8,C9)</f>
        <v>82.2</v>
      </c>
      <c r="F8" s="19">
        <v>100</v>
      </c>
    </row>
    <row r="9" spans="1:6" x14ac:dyDescent="0.2">
      <c r="A9" s="20"/>
      <c r="B9" s="25" t="s">
        <v>132</v>
      </c>
      <c r="C9" s="22">
        <v>2</v>
      </c>
      <c r="D9" s="22"/>
      <c r="E9" s="22"/>
      <c r="F9" s="23"/>
    </row>
    <row r="10" spans="1:6" x14ac:dyDescent="0.2">
      <c r="A10" s="14"/>
      <c r="B10" s="14"/>
      <c r="C10" s="24"/>
      <c r="D10" s="24"/>
      <c r="E10" s="24"/>
      <c r="F10" s="24"/>
    </row>
    <row r="11" spans="1:6" x14ac:dyDescent="0.2">
      <c r="A11" s="16">
        <v>4</v>
      </c>
      <c r="B11" s="17" t="s">
        <v>1</v>
      </c>
      <c r="C11" s="18">
        <v>3.4</v>
      </c>
      <c r="D11" s="18">
        <v>12.4</v>
      </c>
      <c r="E11" s="18">
        <f>100-SUM(D11,C11,C12)</f>
        <v>82.3</v>
      </c>
      <c r="F11" s="19">
        <v>100</v>
      </c>
    </row>
    <row r="12" spans="1:6" x14ac:dyDescent="0.2">
      <c r="A12" s="20"/>
      <c r="B12" s="25" t="s">
        <v>133</v>
      </c>
      <c r="C12" s="22">
        <v>1.9</v>
      </c>
      <c r="D12" s="22"/>
      <c r="E12" s="22"/>
      <c r="F12" s="23"/>
    </row>
    <row r="13" spans="1:6" x14ac:dyDescent="0.2">
      <c r="A13" s="14"/>
      <c r="B13" s="14"/>
      <c r="C13" s="24"/>
      <c r="D13" s="24"/>
      <c r="E13" s="24"/>
      <c r="F13" s="24"/>
    </row>
    <row r="14" spans="1:6" x14ac:dyDescent="0.2">
      <c r="A14" s="16">
        <v>5</v>
      </c>
      <c r="B14" s="17" t="s">
        <v>1</v>
      </c>
      <c r="C14" s="18">
        <v>3.4</v>
      </c>
      <c r="D14" s="18">
        <v>12.4</v>
      </c>
      <c r="E14" s="18">
        <f>100-SUM(D14,C14,C15)</f>
        <v>80.900000000000006</v>
      </c>
      <c r="F14" s="19">
        <v>100</v>
      </c>
    </row>
    <row r="15" spans="1:6" x14ac:dyDescent="0.2">
      <c r="A15" s="20"/>
      <c r="B15" s="25" t="s">
        <v>134</v>
      </c>
      <c r="C15" s="22">
        <v>3.3</v>
      </c>
      <c r="D15" s="22"/>
      <c r="E15" s="22"/>
      <c r="F15" s="23"/>
    </row>
    <row r="16" spans="1:6" x14ac:dyDescent="0.2">
      <c r="A16" s="14"/>
      <c r="B16" s="14"/>
      <c r="C16" s="24"/>
      <c r="D16" s="24"/>
      <c r="E16" s="24"/>
      <c r="F16" s="24"/>
    </row>
    <row r="17" spans="1:6" x14ac:dyDescent="0.2">
      <c r="A17" s="16">
        <v>6</v>
      </c>
      <c r="B17" s="17" t="s">
        <v>1</v>
      </c>
      <c r="C17" s="18">
        <v>3.4</v>
      </c>
      <c r="D17" s="18">
        <v>12.4</v>
      </c>
      <c r="E17" s="18">
        <f>100-SUM(D17,C17,C18)</f>
        <v>81.599999999999994</v>
      </c>
      <c r="F17" s="19">
        <v>100</v>
      </c>
    </row>
    <row r="18" spans="1:6" x14ac:dyDescent="0.2">
      <c r="A18" s="20"/>
      <c r="B18" s="25" t="s">
        <v>135</v>
      </c>
      <c r="C18" s="22">
        <v>2.6</v>
      </c>
      <c r="D18" s="22"/>
      <c r="E18" s="22"/>
      <c r="F18" s="23"/>
    </row>
    <row r="19" spans="1:6" x14ac:dyDescent="0.2">
      <c r="A19" s="14"/>
      <c r="B19" s="14"/>
      <c r="C19" s="24"/>
      <c r="D19" s="24"/>
      <c r="E19" s="24"/>
      <c r="F19" s="24"/>
    </row>
    <row r="20" spans="1:6" x14ac:dyDescent="0.2">
      <c r="A20" s="16">
        <v>7</v>
      </c>
      <c r="B20" s="17" t="s">
        <v>1</v>
      </c>
      <c r="C20" s="18">
        <v>3.4</v>
      </c>
      <c r="D20" s="18">
        <v>12.4</v>
      </c>
      <c r="E20" s="18">
        <f>100-SUM(D20,C20,C21)</f>
        <v>81.599999999999994</v>
      </c>
      <c r="F20" s="19">
        <v>100</v>
      </c>
    </row>
    <row r="21" spans="1:6" x14ac:dyDescent="0.2">
      <c r="A21" s="20"/>
      <c r="B21" s="25" t="s">
        <v>136</v>
      </c>
      <c r="C21" s="22">
        <v>2.6</v>
      </c>
      <c r="D21" s="22"/>
      <c r="E21" s="22"/>
      <c r="F21" s="23"/>
    </row>
    <row r="22" spans="1:6" x14ac:dyDescent="0.2">
      <c r="A22" s="14"/>
      <c r="B22" s="14"/>
      <c r="C22" s="24"/>
      <c r="D22" s="24"/>
      <c r="E22" s="24"/>
      <c r="F22" s="24"/>
    </row>
    <row r="23" spans="1:6" x14ac:dyDescent="0.2">
      <c r="A23" s="26" t="s">
        <v>149</v>
      </c>
      <c r="B23" s="17" t="s">
        <v>137</v>
      </c>
      <c r="C23" s="18">
        <v>12</v>
      </c>
      <c r="D23" s="18">
        <f>5*12.4</f>
        <v>62</v>
      </c>
      <c r="E23" s="18">
        <f>500-SUM(D23,C23,C24)</f>
        <v>419</v>
      </c>
      <c r="F23" s="19">
        <v>500</v>
      </c>
    </row>
    <row r="24" spans="1:6" x14ac:dyDescent="0.2">
      <c r="A24" s="20"/>
      <c r="B24" s="21" t="s">
        <v>138</v>
      </c>
      <c r="C24" s="22">
        <v>7</v>
      </c>
      <c r="D24" s="22"/>
      <c r="E24" s="22"/>
      <c r="F24" s="23"/>
    </row>
    <row r="25" spans="1:6" x14ac:dyDescent="0.2">
      <c r="A25" s="14"/>
      <c r="B25" s="14"/>
      <c r="C25" s="24"/>
      <c r="D25" s="24"/>
      <c r="E25" s="24"/>
      <c r="F25" s="24"/>
    </row>
    <row r="26" spans="1:6" x14ac:dyDescent="0.2">
      <c r="A26" s="16">
        <v>13</v>
      </c>
      <c r="B26" s="17" t="s">
        <v>23</v>
      </c>
      <c r="C26" s="18">
        <v>3</v>
      </c>
      <c r="D26" s="18">
        <v>12.4</v>
      </c>
      <c r="E26" s="18">
        <f>100-SUM(D26,C26,C27)</f>
        <v>83.2</v>
      </c>
      <c r="F26" s="19">
        <v>100</v>
      </c>
    </row>
    <row r="27" spans="1:6" x14ac:dyDescent="0.2">
      <c r="A27" s="20"/>
      <c r="B27" s="21" t="s">
        <v>20</v>
      </c>
      <c r="C27" s="22">
        <v>1.4</v>
      </c>
      <c r="D27" s="22"/>
      <c r="E27" s="22"/>
      <c r="F27" s="23"/>
    </row>
    <row r="28" spans="1:6" x14ac:dyDescent="0.2">
      <c r="A28" s="14"/>
      <c r="B28" s="14"/>
      <c r="C28" s="24"/>
      <c r="D28" s="24"/>
      <c r="E28" s="24"/>
      <c r="F28" s="24"/>
    </row>
    <row r="29" spans="1:6" x14ac:dyDescent="0.2">
      <c r="A29" s="16">
        <v>14</v>
      </c>
      <c r="B29" s="17" t="s">
        <v>21</v>
      </c>
      <c r="C29" s="18">
        <v>1.3</v>
      </c>
      <c r="D29" s="18">
        <v>12.4</v>
      </c>
      <c r="E29" s="18">
        <f>100-SUM(D29,C29,C30)</f>
        <v>83.6</v>
      </c>
      <c r="F29" s="19">
        <v>100</v>
      </c>
    </row>
    <row r="30" spans="1:6" x14ac:dyDescent="0.2">
      <c r="A30" s="20"/>
      <c r="B30" s="21" t="s">
        <v>0</v>
      </c>
      <c r="C30" s="22">
        <v>2.7</v>
      </c>
      <c r="D30" s="22"/>
      <c r="E30" s="22"/>
      <c r="F30" s="23"/>
    </row>
    <row r="31" spans="1:6" x14ac:dyDescent="0.2">
      <c r="A31" s="14"/>
      <c r="B31" s="14"/>
      <c r="C31" s="24"/>
      <c r="D31" s="24"/>
      <c r="E31" s="24"/>
      <c r="F31" s="24"/>
    </row>
    <row r="32" spans="1:6" x14ac:dyDescent="0.2">
      <c r="A32" s="16">
        <v>15</v>
      </c>
      <c r="B32" s="17" t="s">
        <v>21</v>
      </c>
      <c r="C32" s="18">
        <v>1.3</v>
      </c>
      <c r="D32" s="18">
        <v>12.4</v>
      </c>
      <c r="E32" s="18">
        <f>100-SUM(D32,C32,C33)</f>
        <v>83.9</v>
      </c>
      <c r="F32" s="19">
        <v>100</v>
      </c>
    </row>
    <row r="33" spans="1:6" x14ac:dyDescent="0.2">
      <c r="A33" s="20"/>
      <c r="B33" s="25" t="s">
        <v>139</v>
      </c>
      <c r="C33" s="22">
        <v>2.4</v>
      </c>
      <c r="D33" s="22"/>
      <c r="E33" s="22"/>
      <c r="F33" s="23"/>
    </row>
    <row r="34" spans="1:6" x14ac:dyDescent="0.2">
      <c r="A34" s="14"/>
      <c r="B34" s="14"/>
      <c r="C34" s="24"/>
      <c r="D34" s="24"/>
      <c r="E34" s="24"/>
      <c r="F34" s="24"/>
    </row>
    <row r="35" spans="1:6" x14ac:dyDescent="0.2">
      <c r="A35" s="16">
        <v>16</v>
      </c>
      <c r="B35" s="17" t="s">
        <v>21</v>
      </c>
      <c r="C35" s="18">
        <v>1.3</v>
      </c>
      <c r="D35" s="18">
        <v>12.4</v>
      </c>
      <c r="E35" s="18">
        <f>100-SUM(D35,C35,C36)</f>
        <v>82.9</v>
      </c>
      <c r="F35" s="19">
        <v>100</v>
      </c>
    </row>
    <row r="36" spans="1:6" x14ac:dyDescent="0.2">
      <c r="A36" s="20"/>
      <c r="B36" s="25" t="s">
        <v>140</v>
      </c>
      <c r="C36" s="22">
        <v>3.4</v>
      </c>
      <c r="D36" s="22"/>
      <c r="E36" s="22"/>
      <c r="F36" s="23"/>
    </row>
    <row r="37" spans="1:6" x14ac:dyDescent="0.2">
      <c r="A37" s="14"/>
      <c r="B37" s="14"/>
      <c r="C37" s="24"/>
      <c r="D37" s="24"/>
      <c r="E37" s="24"/>
      <c r="F37" s="24"/>
    </row>
    <row r="38" spans="1:6" x14ac:dyDescent="0.2">
      <c r="A38" s="16">
        <v>17</v>
      </c>
      <c r="B38" s="17" t="s">
        <v>21</v>
      </c>
      <c r="C38" s="18">
        <v>1.3</v>
      </c>
      <c r="D38" s="18">
        <v>12.4</v>
      </c>
      <c r="E38" s="18">
        <f>100-SUM(D38,C38,C39)</f>
        <v>83.4</v>
      </c>
      <c r="F38" s="19">
        <v>100</v>
      </c>
    </row>
    <row r="39" spans="1:6" x14ac:dyDescent="0.2">
      <c r="A39" s="20"/>
      <c r="B39" s="25" t="s">
        <v>141</v>
      </c>
      <c r="C39" s="22">
        <v>2.9</v>
      </c>
      <c r="D39" s="22"/>
      <c r="E39" s="22"/>
      <c r="F39" s="23"/>
    </row>
    <row r="40" spans="1:6" x14ac:dyDescent="0.2">
      <c r="A40" s="14"/>
      <c r="B40" s="14"/>
      <c r="C40" s="24"/>
      <c r="D40" s="24"/>
      <c r="E40" s="24"/>
      <c r="F40" s="24"/>
    </row>
    <row r="41" spans="1:6" x14ac:dyDescent="0.2">
      <c r="A41" s="16">
        <v>18</v>
      </c>
      <c r="B41" s="17" t="s">
        <v>21</v>
      </c>
      <c r="C41" s="18">
        <v>1.3</v>
      </c>
      <c r="D41" s="18">
        <v>12.4</v>
      </c>
      <c r="E41" s="18">
        <f>100-SUM(D41,C41,C42)</f>
        <v>84.4</v>
      </c>
      <c r="F41" s="19">
        <v>100</v>
      </c>
    </row>
    <row r="42" spans="1:6" x14ac:dyDescent="0.2">
      <c r="A42" s="20"/>
      <c r="B42" s="25" t="s">
        <v>142</v>
      </c>
      <c r="C42" s="22">
        <v>1.9</v>
      </c>
      <c r="D42" s="22"/>
      <c r="E42" s="22"/>
      <c r="F42" s="23"/>
    </row>
    <row r="43" spans="1:6" x14ac:dyDescent="0.2">
      <c r="A43" s="14"/>
      <c r="B43" s="14"/>
      <c r="C43" s="24"/>
      <c r="D43" s="24"/>
      <c r="E43" s="24"/>
      <c r="F43" s="24"/>
    </row>
    <row r="44" spans="1:6" x14ac:dyDescent="0.2">
      <c r="A44" s="35">
        <v>19</v>
      </c>
      <c r="B44" s="17" t="s">
        <v>21</v>
      </c>
      <c r="C44" s="36">
        <v>1.3</v>
      </c>
      <c r="D44" s="18">
        <v>12.4</v>
      </c>
      <c r="E44" s="18">
        <f>100-SUM(D44,C44,C45)</f>
        <v>83.3</v>
      </c>
      <c r="F44" s="19">
        <v>100</v>
      </c>
    </row>
    <row r="45" spans="1:6" x14ac:dyDescent="0.2">
      <c r="A45" s="37"/>
      <c r="B45" s="21" t="s">
        <v>170</v>
      </c>
      <c r="C45" s="38">
        <v>3</v>
      </c>
      <c r="D45" s="38"/>
      <c r="E45" s="38"/>
      <c r="F45" s="39"/>
    </row>
    <row r="48" spans="1:6" x14ac:dyDescent="0.2">
      <c r="A48" s="27" t="s">
        <v>171</v>
      </c>
      <c r="B48" s="17" t="s">
        <v>143</v>
      </c>
      <c r="C48" s="18">
        <v>5.2</v>
      </c>
      <c r="D48" s="18">
        <f>4*12.4</f>
        <v>49.6</v>
      </c>
      <c r="E48" s="18">
        <f>400-SUM(D48,C48,C49)</f>
        <v>334.4</v>
      </c>
      <c r="F48" s="19">
        <v>400</v>
      </c>
    </row>
    <row r="49" spans="1:6" x14ac:dyDescent="0.2">
      <c r="A49" s="20"/>
      <c r="B49" s="21" t="s">
        <v>144</v>
      </c>
      <c r="C49" s="22">
        <v>10.8</v>
      </c>
      <c r="D49" s="22"/>
      <c r="E49" s="22"/>
      <c r="F49" s="23"/>
    </row>
    <row r="50" spans="1:6" x14ac:dyDescent="0.2">
      <c r="A50" s="14"/>
      <c r="B50" s="14"/>
      <c r="C50" s="24"/>
      <c r="D50" s="24"/>
      <c r="E50" s="24"/>
      <c r="F50" s="24"/>
    </row>
    <row r="51" spans="1:6" x14ac:dyDescent="0.2">
      <c r="A51" s="16">
        <v>24</v>
      </c>
      <c r="B51" s="17" t="s">
        <v>150</v>
      </c>
      <c r="C51" s="18">
        <v>3.7</v>
      </c>
      <c r="D51" s="18">
        <v>12.4</v>
      </c>
      <c r="E51" s="18">
        <f>100-SUM(D51,C51,C52)</f>
        <v>81.2</v>
      </c>
      <c r="F51" s="19">
        <v>100</v>
      </c>
    </row>
    <row r="52" spans="1:6" x14ac:dyDescent="0.2">
      <c r="A52" s="20"/>
      <c r="B52" s="21" t="s">
        <v>0</v>
      </c>
      <c r="C52" s="22">
        <v>2.7</v>
      </c>
      <c r="D52" s="22"/>
      <c r="E52" s="22"/>
      <c r="F52" s="23"/>
    </row>
    <row r="53" spans="1:6" x14ac:dyDescent="0.2">
      <c r="A53" s="14"/>
      <c r="B53" s="14"/>
      <c r="C53" s="24"/>
      <c r="D53" s="24"/>
      <c r="E53" s="24"/>
      <c r="F53" s="24"/>
    </row>
    <row r="54" spans="1:6" x14ac:dyDescent="0.2">
      <c r="A54" s="16">
        <v>25</v>
      </c>
      <c r="B54" s="17" t="s">
        <v>150</v>
      </c>
      <c r="C54" s="18">
        <v>3.7</v>
      </c>
      <c r="D54" s="18">
        <v>12.4</v>
      </c>
      <c r="E54" s="18">
        <f>100-SUM(D54,C54,C55)</f>
        <v>81.2</v>
      </c>
      <c r="F54" s="19">
        <v>100</v>
      </c>
    </row>
    <row r="55" spans="1:6" x14ac:dyDescent="0.2">
      <c r="A55" s="20"/>
      <c r="B55" s="21" t="s">
        <v>3</v>
      </c>
      <c r="C55" s="22">
        <v>2.7</v>
      </c>
      <c r="D55" s="22"/>
      <c r="E55" s="22"/>
      <c r="F55" s="23"/>
    </row>
    <row r="56" spans="1:6" x14ac:dyDescent="0.2">
      <c r="A56" s="14"/>
      <c r="B56" s="14"/>
      <c r="C56" s="24"/>
      <c r="D56" s="24"/>
      <c r="E56" s="24"/>
      <c r="F56" s="24"/>
    </row>
    <row r="57" spans="1:6" x14ac:dyDescent="0.2">
      <c r="A57" s="16">
        <v>26</v>
      </c>
      <c r="B57" s="17" t="s">
        <v>23</v>
      </c>
      <c r="C57" s="18">
        <v>3</v>
      </c>
      <c r="D57" s="18">
        <v>12.4</v>
      </c>
      <c r="E57" s="18">
        <f>100-SUM(D57,C57,C58)</f>
        <v>81.900000000000006</v>
      </c>
      <c r="F57" s="19">
        <v>100</v>
      </c>
    </row>
    <row r="58" spans="1:6" x14ac:dyDescent="0.2">
      <c r="A58" s="20"/>
      <c r="B58" s="21" t="s">
        <v>0</v>
      </c>
      <c r="C58" s="22">
        <v>2.7</v>
      </c>
      <c r="D58" s="22"/>
      <c r="E58" s="22"/>
      <c r="F58" s="23"/>
    </row>
    <row r="59" spans="1:6" x14ac:dyDescent="0.2">
      <c r="A59" s="14"/>
      <c r="B59" s="14"/>
      <c r="C59" s="24"/>
      <c r="D59" s="24"/>
      <c r="E59" s="24"/>
      <c r="F59" s="24"/>
    </row>
    <row r="60" spans="1:6" x14ac:dyDescent="0.2">
      <c r="A60" s="27" t="s">
        <v>152</v>
      </c>
      <c r="B60" s="17" t="s">
        <v>145</v>
      </c>
      <c r="C60" s="18">
        <v>20</v>
      </c>
      <c r="D60" s="18">
        <f>5*12.4</f>
        <v>62</v>
      </c>
      <c r="E60" s="18">
        <f>500-SUM(D60,C60,C61)</f>
        <v>404</v>
      </c>
      <c r="F60" s="19">
        <v>500</v>
      </c>
    </row>
    <row r="61" spans="1:6" x14ac:dyDescent="0.2">
      <c r="A61" s="20"/>
      <c r="B61" s="21" t="s">
        <v>146</v>
      </c>
      <c r="C61" s="22">
        <v>14</v>
      </c>
      <c r="D61" s="22"/>
      <c r="E61" s="22"/>
      <c r="F61" s="23"/>
    </row>
    <row r="62" spans="1:6" x14ac:dyDescent="0.2">
      <c r="A62" s="14"/>
      <c r="B62" s="14"/>
      <c r="C62" s="24"/>
      <c r="D62" s="24"/>
      <c r="E62" s="24"/>
      <c r="F62" s="24"/>
    </row>
    <row r="63" spans="1:6" x14ac:dyDescent="0.2">
      <c r="A63" s="28" t="s">
        <v>153</v>
      </c>
      <c r="B63" s="17" t="s">
        <v>147</v>
      </c>
      <c r="C63" s="18">
        <v>21.5</v>
      </c>
      <c r="D63" s="18">
        <f>5*12.4</f>
        <v>62</v>
      </c>
      <c r="E63" s="18">
        <f>500-SUM(D63,C63,C64)</f>
        <v>402.5</v>
      </c>
      <c r="F63" s="19">
        <v>500</v>
      </c>
    </row>
    <row r="64" spans="1:6" x14ac:dyDescent="0.2">
      <c r="A64" s="20"/>
      <c r="B64" s="21" t="s">
        <v>146</v>
      </c>
      <c r="C64" s="22">
        <v>14</v>
      </c>
      <c r="D64" s="22"/>
      <c r="E64" s="22"/>
      <c r="F64" s="23"/>
    </row>
    <row r="65" spans="1:6" x14ac:dyDescent="0.2">
      <c r="A65" s="14"/>
      <c r="B65" s="14"/>
      <c r="C65" s="24"/>
      <c r="D65" s="24"/>
      <c r="E65" s="24"/>
      <c r="F65" s="24"/>
    </row>
    <row r="66" spans="1:6" x14ac:dyDescent="0.2">
      <c r="A66" s="16">
        <v>37</v>
      </c>
      <c r="B66" s="17" t="s">
        <v>151</v>
      </c>
      <c r="C66" s="18">
        <v>2</v>
      </c>
      <c r="D66" s="18">
        <v>12.4</v>
      </c>
      <c r="E66" s="18">
        <f>100-SUM(D66,C66,C67)</f>
        <v>85.6</v>
      </c>
      <c r="F66" s="19">
        <v>100</v>
      </c>
    </row>
    <row r="67" spans="1:6" x14ac:dyDescent="0.2">
      <c r="A67" s="20"/>
      <c r="B67" s="21" t="s">
        <v>112</v>
      </c>
      <c r="C67" s="22" t="s">
        <v>169</v>
      </c>
      <c r="D67" s="22"/>
      <c r="E67" s="22"/>
      <c r="F67" s="23"/>
    </row>
    <row r="68" spans="1:6" x14ac:dyDescent="0.2">
      <c r="A68" s="14"/>
      <c r="B68" s="14"/>
      <c r="C68" s="24"/>
      <c r="D68" s="24"/>
      <c r="E68" s="24"/>
      <c r="F68" s="24"/>
    </row>
    <row r="69" spans="1:6" x14ac:dyDescent="0.2">
      <c r="A69" s="28" t="s">
        <v>154</v>
      </c>
      <c r="B69" s="17" t="s">
        <v>148</v>
      </c>
      <c r="C69" s="18">
        <v>14</v>
      </c>
      <c r="D69" s="18">
        <f>5*12.4</f>
        <v>62</v>
      </c>
      <c r="E69" s="18">
        <f>500-SUM(D69,C69,C70)</f>
        <v>410</v>
      </c>
      <c r="F69" s="19">
        <v>500</v>
      </c>
    </row>
    <row r="70" spans="1:6" x14ac:dyDescent="0.2">
      <c r="A70" s="20"/>
      <c r="B70" s="21" t="s">
        <v>146</v>
      </c>
      <c r="C70" s="22">
        <v>14</v>
      </c>
      <c r="D70" s="22"/>
      <c r="E70" s="22"/>
      <c r="F70" s="23"/>
    </row>
    <row r="71" spans="1:6" x14ac:dyDescent="0.2">
      <c r="A71" s="14"/>
      <c r="B71" s="14"/>
      <c r="C71" s="24"/>
      <c r="D71" s="24"/>
      <c r="E71" s="24"/>
      <c r="F71" s="24"/>
    </row>
    <row r="72" spans="1:6" x14ac:dyDescent="0.2">
      <c r="A72" s="16">
        <v>43</v>
      </c>
      <c r="B72" s="29" t="s">
        <v>155</v>
      </c>
      <c r="C72" s="18">
        <v>11.6</v>
      </c>
      <c r="D72" s="18">
        <v>12.4</v>
      </c>
      <c r="E72" s="18">
        <f>100-SUM(D72,C72,C73,C74)</f>
        <v>69.2</v>
      </c>
      <c r="F72" s="19">
        <v>100</v>
      </c>
    </row>
    <row r="73" spans="1:6" x14ac:dyDescent="0.2">
      <c r="A73" s="30"/>
      <c r="B73" s="31" t="s">
        <v>156</v>
      </c>
      <c r="C73" s="32">
        <v>0.3</v>
      </c>
      <c r="D73" s="32"/>
      <c r="E73" s="32"/>
      <c r="F73" s="33"/>
    </row>
    <row r="74" spans="1:6" x14ac:dyDescent="0.2">
      <c r="A74" s="20"/>
      <c r="B74" s="34" t="s">
        <v>30</v>
      </c>
      <c r="C74" s="22">
        <v>6.5</v>
      </c>
      <c r="D74" s="22"/>
      <c r="E74" s="22"/>
      <c r="F74" s="23"/>
    </row>
    <row r="75" spans="1:6" x14ac:dyDescent="0.2">
      <c r="A75" s="14"/>
      <c r="B75" s="31"/>
      <c r="C75" s="24"/>
      <c r="D75" s="24"/>
      <c r="E75" s="24"/>
      <c r="F75" s="24"/>
    </row>
    <row r="76" spans="1:6" x14ac:dyDescent="0.2">
      <c r="A76" s="16">
        <v>44</v>
      </c>
      <c r="B76" s="29" t="s">
        <v>157</v>
      </c>
      <c r="C76" s="18">
        <v>0.6</v>
      </c>
      <c r="D76" s="18">
        <v>12.4</v>
      </c>
      <c r="E76" s="18">
        <f>100-SUM(D76,C76,C77,C78)</f>
        <v>80.2</v>
      </c>
      <c r="F76" s="19">
        <v>100</v>
      </c>
    </row>
    <row r="77" spans="1:6" x14ac:dyDescent="0.2">
      <c r="A77" s="30"/>
      <c r="B77" s="31" t="s">
        <v>156</v>
      </c>
      <c r="C77" s="32">
        <v>0.3</v>
      </c>
      <c r="D77" s="32"/>
      <c r="E77" s="32"/>
      <c r="F77" s="33"/>
    </row>
    <row r="78" spans="1:6" x14ac:dyDescent="0.2">
      <c r="A78" s="20"/>
      <c r="B78" s="34" t="s">
        <v>30</v>
      </c>
      <c r="C78" s="22">
        <v>6.5</v>
      </c>
      <c r="D78" s="22"/>
      <c r="E78" s="22"/>
      <c r="F78" s="23"/>
    </row>
    <row r="79" spans="1:6" x14ac:dyDescent="0.2">
      <c r="A79" s="14"/>
      <c r="B79" s="14"/>
      <c r="C79" s="24"/>
      <c r="D79" s="24"/>
      <c r="E79" s="24"/>
      <c r="F79" s="24"/>
    </row>
    <row r="80" spans="1:6" x14ac:dyDescent="0.2">
      <c r="A80" s="16">
        <v>45</v>
      </c>
      <c r="B80" s="29" t="s">
        <v>23</v>
      </c>
      <c r="C80" s="18">
        <v>3</v>
      </c>
      <c r="D80" s="18">
        <v>12.4</v>
      </c>
      <c r="E80" s="18">
        <f>100-SUM(D80,C80,C81,C82)</f>
        <v>77.8</v>
      </c>
      <c r="F80" s="19">
        <v>100</v>
      </c>
    </row>
    <row r="81" spans="1:6" x14ac:dyDescent="0.2">
      <c r="A81" s="30"/>
      <c r="B81" s="31" t="s">
        <v>30</v>
      </c>
      <c r="C81" s="32">
        <v>6.5</v>
      </c>
      <c r="D81" s="32"/>
      <c r="E81" s="32"/>
      <c r="F81" s="33"/>
    </row>
    <row r="82" spans="1:6" x14ac:dyDescent="0.2">
      <c r="A82" s="20"/>
      <c r="B82" s="34" t="s">
        <v>156</v>
      </c>
      <c r="C82" s="22">
        <v>0.3</v>
      </c>
      <c r="D82" s="22"/>
      <c r="E82" s="22"/>
      <c r="F82" s="23"/>
    </row>
    <row r="83" spans="1:6" x14ac:dyDescent="0.2">
      <c r="A83" s="14"/>
      <c r="B83" s="14"/>
      <c r="C83" s="24"/>
      <c r="D83" s="24"/>
      <c r="E83" s="24"/>
      <c r="F83" s="24"/>
    </row>
    <row r="84" spans="1:6" x14ac:dyDescent="0.2">
      <c r="A84" s="16">
        <v>46</v>
      </c>
      <c r="B84" s="29" t="s">
        <v>158</v>
      </c>
      <c r="C84" s="18">
        <v>0.4</v>
      </c>
      <c r="D84" s="18">
        <v>12.4</v>
      </c>
      <c r="E84" s="18">
        <f>100-SUM(D84,C84,C85,C86)</f>
        <v>77.5</v>
      </c>
      <c r="F84" s="19">
        <v>100</v>
      </c>
    </row>
    <row r="85" spans="1:6" x14ac:dyDescent="0.2">
      <c r="A85" s="30"/>
      <c r="B85" s="31" t="s">
        <v>159</v>
      </c>
      <c r="C85" s="32">
        <v>6.9</v>
      </c>
      <c r="D85" s="32"/>
      <c r="E85" s="32"/>
      <c r="F85" s="33"/>
    </row>
    <row r="86" spans="1:6" x14ac:dyDescent="0.2">
      <c r="A86" s="20"/>
      <c r="B86" s="34" t="s">
        <v>161</v>
      </c>
      <c r="C86" s="22">
        <v>2.8</v>
      </c>
      <c r="D86" s="22"/>
      <c r="E86" s="22"/>
      <c r="F86" s="23"/>
    </row>
    <row r="87" spans="1:6" x14ac:dyDescent="0.2">
      <c r="A87" s="14"/>
      <c r="B87" s="14"/>
      <c r="C87" s="24"/>
      <c r="D87" s="24"/>
      <c r="E87" s="24"/>
      <c r="F87" s="24"/>
    </row>
    <row r="88" spans="1:6" x14ac:dyDescent="0.2">
      <c r="A88" s="16">
        <v>47</v>
      </c>
      <c r="B88" s="29" t="s">
        <v>160</v>
      </c>
      <c r="C88" s="18">
        <v>0.6</v>
      </c>
      <c r="D88" s="18">
        <v>12.4</v>
      </c>
      <c r="E88" s="18">
        <f>100-SUM(D88,C88,C89,C90)</f>
        <v>77.3</v>
      </c>
      <c r="F88" s="19">
        <v>100</v>
      </c>
    </row>
    <row r="89" spans="1:6" x14ac:dyDescent="0.2">
      <c r="A89" s="30"/>
      <c r="B89" s="31" t="s">
        <v>162</v>
      </c>
      <c r="C89" s="32">
        <v>6.9</v>
      </c>
      <c r="D89" s="32"/>
      <c r="E89" s="32"/>
      <c r="F89" s="33"/>
    </row>
    <row r="90" spans="1:6" x14ac:dyDescent="0.2">
      <c r="A90" s="20"/>
      <c r="B90" s="34" t="s">
        <v>161</v>
      </c>
      <c r="C90" s="22">
        <v>2.8</v>
      </c>
      <c r="D90" s="22"/>
      <c r="E90" s="22"/>
      <c r="F90" s="23"/>
    </row>
    <row r="91" spans="1:6" x14ac:dyDescent="0.2">
      <c r="A91" s="14"/>
      <c r="B91" s="14"/>
      <c r="C91" s="24"/>
      <c r="D91" s="24"/>
      <c r="E91" s="24"/>
      <c r="F91" s="24"/>
    </row>
    <row r="92" spans="1:6" x14ac:dyDescent="0.2">
      <c r="A92" s="16">
        <v>48</v>
      </c>
      <c r="B92" s="29" t="s">
        <v>24</v>
      </c>
      <c r="C92" s="18">
        <v>2.8</v>
      </c>
      <c r="D92" s="18">
        <v>12.4</v>
      </c>
      <c r="E92" s="18">
        <f>100-SUM(D92,C92,C93,C94)</f>
        <v>75.099999999999994</v>
      </c>
      <c r="F92" s="19">
        <v>100</v>
      </c>
    </row>
    <row r="93" spans="1:6" x14ac:dyDescent="0.2">
      <c r="A93" s="30"/>
      <c r="B93" s="31" t="s">
        <v>163</v>
      </c>
      <c r="C93" s="32">
        <v>6.9</v>
      </c>
      <c r="D93" s="32"/>
      <c r="E93" s="32"/>
      <c r="F93" s="33"/>
    </row>
    <row r="94" spans="1:6" x14ac:dyDescent="0.2">
      <c r="A94" s="20"/>
      <c r="B94" s="34" t="s">
        <v>161</v>
      </c>
      <c r="C94" s="22">
        <v>2.8</v>
      </c>
      <c r="D94" s="22"/>
      <c r="E94" s="22"/>
      <c r="F94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art syn form</vt:lpstr>
      <vt:lpstr>Sheet2</vt:lpstr>
      <vt:lpstr>BirA Bella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Microsoft Office User</cp:lastModifiedBy>
  <cp:lastPrinted>2017-11-02T02:34:28Z</cp:lastPrinted>
  <dcterms:created xsi:type="dcterms:W3CDTF">2017-01-04T06:47:30Z</dcterms:created>
  <dcterms:modified xsi:type="dcterms:W3CDTF">2017-11-04T17:10:49Z</dcterms:modified>
</cp:coreProperties>
</file>