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advanced excel project\Finanacial modelling\"/>
    </mc:Choice>
  </mc:AlternateContent>
  <xr:revisionPtr revIDLastSave="0" documentId="13_ncr:1_{5D1CC17B-4ACB-4480-ACFB-8946BDFC0976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WACC" sheetId="17" r:id="rId1"/>
    <sheet name="BETA Reliance" sheetId="18" r:id="rId2"/>
    <sheet name="BETA IOCL" sheetId="19" r:id="rId3"/>
    <sheet name="BETA BPCL" sheetId="20" r:id="rId4"/>
    <sheet name="BETA HPCL" sheetId="21" r:id="rId5"/>
    <sheet name="BETA MRPL" sheetId="22" r:id="rId6"/>
    <sheet name="Beta Comps" sheetId="23" r:id="rId7"/>
    <sheet name="RM" sheetId="24" r:id="rId8"/>
    <sheet name="historical fs" sheetId="8" r:id="rId9"/>
    <sheet name="ratio analysis" sheetId="12" r:id="rId10"/>
    <sheet name="CFS" sheetId="11" r:id="rId11"/>
    <sheet name="Forecasting" sheetId="13" r:id="rId12"/>
    <sheet name="RAW FS" sheetId="14" r:id="rId13"/>
    <sheet name="Intrisic Growth" sheetId="15" r:id="rId14"/>
    <sheet name="FCFF" sheetId="16" r:id="rId15"/>
    <sheet name="Data Sheet" sheetId="6" r:id="rId16"/>
    <sheet name="Profit &amp; Loss" sheetId="1" r:id="rId17"/>
    <sheet name="Quarters" sheetId="3" r:id="rId18"/>
    <sheet name="Balance Sheet" sheetId="2" r:id="rId19"/>
    <sheet name="Cash Flow" sheetId="4" r:id="rId20"/>
  </sheets>
  <definedNames>
    <definedName name="_xlnm._FilterDatabase" localSheetId="3" hidden="1">'BETA BPCL'!$B$6:$D$6</definedName>
    <definedName name="_xlnm._FilterDatabase" localSheetId="4" hidden="1">'BETA HPCL'!$B$6:$D$6</definedName>
    <definedName name="_xlnm._FilterDatabase" localSheetId="2" hidden="1">'BETA IOCL'!$B$6:$D$6</definedName>
    <definedName name="_xlnm._FilterDatabase" localSheetId="5" hidden="1">'BETA MRPL'!$B$6:$D$6</definedName>
    <definedName name="_xlnm._FilterDatabase" localSheetId="1" hidden="1">'BETA Reliance'!$B$6:$D$6</definedName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5" i="16" l="1"/>
  <c r="E44" i="16"/>
  <c r="E42" i="16"/>
  <c r="E41" i="16"/>
  <c r="E40" i="16"/>
  <c r="E38" i="16"/>
  <c r="E37" i="16"/>
  <c r="E27" i="16"/>
  <c r="E22" i="16"/>
  <c r="H16" i="16" s="1"/>
  <c r="G5" i="24"/>
  <c r="G7" i="24" s="1"/>
  <c r="L23" i="17" s="1"/>
  <c r="D8" i="22"/>
  <c r="H8" i="22"/>
  <c r="D9" i="22"/>
  <c r="P9" i="22" s="1"/>
  <c r="H9" i="22"/>
  <c r="D10" i="22"/>
  <c r="H10" i="22"/>
  <c r="D11" i="22"/>
  <c r="H11" i="22"/>
  <c r="P11" i="22"/>
  <c r="M6" i="22" s="1"/>
  <c r="M12" i="22" s="1"/>
  <c r="D12" i="22"/>
  <c r="H12" i="22"/>
  <c r="D13" i="22"/>
  <c r="H13" i="22"/>
  <c r="D14" i="22"/>
  <c r="H14" i="22"/>
  <c r="D15" i="22"/>
  <c r="H15" i="22"/>
  <c r="D16" i="22"/>
  <c r="H16" i="22"/>
  <c r="D17" i="22"/>
  <c r="H17" i="22"/>
  <c r="D18" i="22"/>
  <c r="H18" i="22"/>
  <c r="D19" i="22"/>
  <c r="H19" i="22"/>
  <c r="D20" i="22"/>
  <c r="H20" i="22"/>
  <c r="D21" i="22"/>
  <c r="H21" i="22"/>
  <c r="D22" i="22"/>
  <c r="H22" i="22"/>
  <c r="D23" i="22"/>
  <c r="H23" i="22"/>
  <c r="D24" i="22"/>
  <c r="H24" i="22"/>
  <c r="D25" i="22"/>
  <c r="H25" i="22"/>
  <c r="D26" i="22"/>
  <c r="H26" i="22"/>
  <c r="D27" i="22"/>
  <c r="H27" i="22"/>
  <c r="D28" i="22"/>
  <c r="H28" i="22"/>
  <c r="D29" i="22"/>
  <c r="H29" i="22"/>
  <c r="D30" i="22"/>
  <c r="H30" i="22"/>
  <c r="D31" i="22"/>
  <c r="H31" i="22"/>
  <c r="D32" i="22"/>
  <c r="H32" i="22"/>
  <c r="D33" i="22"/>
  <c r="H33" i="22"/>
  <c r="D34" i="22"/>
  <c r="H34" i="22"/>
  <c r="D35" i="22"/>
  <c r="H35" i="22"/>
  <c r="D36" i="22"/>
  <c r="H36" i="22"/>
  <c r="D37" i="22"/>
  <c r="H37" i="22"/>
  <c r="D38" i="22"/>
  <c r="H38" i="22"/>
  <c r="D39" i="22"/>
  <c r="H39" i="22"/>
  <c r="D40" i="22"/>
  <c r="H40" i="22"/>
  <c r="D41" i="22"/>
  <c r="H41" i="22"/>
  <c r="D42" i="22"/>
  <c r="H42" i="22"/>
  <c r="D43" i="22"/>
  <c r="H43" i="22"/>
  <c r="D44" i="22"/>
  <c r="H44" i="22"/>
  <c r="D45" i="22"/>
  <c r="H45" i="22"/>
  <c r="D46" i="22"/>
  <c r="H46" i="22"/>
  <c r="D47" i="22"/>
  <c r="H47" i="22"/>
  <c r="D48" i="22"/>
  <c r="H48" i="22"/>
  <c r="D49" i="22"/>
  <c r="H49" i="22"/>
  <c r="D50" i="22"/>
  <c r="H50" i="22"/>
  <c r="D51" i="22"/>
  <c r="H51" i="22"/>
  <c r="D52" i="22"/>
  <c r="H52" i="22"/>
  <c r="D53" i="22"/>
  <c r="H53" i="22"/>
  <c r="D54" i="22"/>
  <c r="H54" i="22"/>
  <c r="D55" i="22"/>
  <c r="H55" i="22"/>
  <c r="D56" i="22"/>
  <c r="H56" i="22"/>
  <c r="D57" i="22"/>
  <c r="H57" i="22"/>
  <c r="D58" i="22"/>
  <c r="H58" i="22"/>
  <c r="D59" i="22"/>
  <c r="H59" i="22"/>
  <c r="D60" i="22"/>
  <c r="H60" i="22"/>
  <c r="D61" i="22"/>
  <c r="H61" i="22"/>
  <c r="D62" i="22"/>
  <c r="H62" i="22"/>
  <c r="D63" i="22"/>
  <c r="H63" i="22"/>
  <c r="D64" i="22"/>
  <c r="H64" i="22"/>
  <c r="D65" i="22"/>
  <c r="H65" i="22"/>
  <c r="D66" i="22"/>
  <c r="H66" i="22"/>
  <c r="D67" i="22"/>
  <c r="H67" i="22"/>
  <c r="D68" i="22"/>
  <c r="H68" i="22"/>
  <c r="D69" i="22"/>
  <c r="H69" i="22"/>
  <c r="D70" i="22"/>
  <c r="H70" i="22"/>
  <c r="D71" i="22"/>
  <c r="H71" i="22"/>
  <c r="D72" i="22"/>
  <c r="H72" i="22"/>
  <c r="D73" i="22"/>
  <c r="H73" i="22"/>
  <c r="D74" i="22"/>
  <c r="H74" i="22"/>
  <c r="D75" i="22"/>
  <c r="H75" i="22"/>
  <c r="D76" i="22"/>
  <c r="H76" i="22"/>
  <c r="D77" i="22"/>
  <c r="H77" i="22"/>
  <c r="D78" i="22"/>
  <c r="H78" i="22"/>
  <c r="D79" i="22"/>
  <c r="H79" i="22"/>
  <c r="D80" i="22"/>
  <c r="H80" i="22"/>
  <c r="D81" i="22"/>
  <c r="H81" i="22"/>
  <c r="D82" i="22"/>
  <c r="H82" i="22"/>
  <c r="D83" i="22"/>
  <c r="H83" i="22"/>
  <c r="D84" i="22"/>
  <c r="H84" i="22"/>
  <c r="D85" i="22"/>
  <c r="H85" i="22"/>
  <c r="D86" i="22"/>
  <c r="H86" i="22"/>
  <c r="D87" i="22"/>
  <c r="H87" i="22"/>
  <c r="D88" i="22"/>
  <c r="H88" i="22"/>
  <c r="D89" i="22"/>
  <c r="H89" i="22"/>
  <c r="D90" i="22"/>
  <c r="H90" i="22"/>
  <c r="D91" i="22"/>
  <c r="H91" i="22"/>
  <c r="D92" i="22"/>
  <c r="H92" i="22"/>
  <c r="D93" i="22"/>
  <c r="H93" i="22"/>
  <c r="D94" i="22"/>
  <c r="H94" i="22"/>
  <c r="D95" i="22"/>
  <c r="H95" i="22"/>
  <c r="D96" i="22"/>
  <c r="H96" i="22"/>
  <c r="D97" i="22"/>
  <c r="H97" i="22"/>
  <c r="D98" i="22"/>
  <c r="H98" i="22"/>
  <c r="D99" i="22"/>
  <c r="H99" i="22"/>
  <c r="D100" i="22"/>
  <c r="H100" i="22"/>
  <c r="D101" i="22"/>
  <c r="H101" i="22"/>
  <c r="D102" i="22"/>
  <c r="H102" i="22"/>
  <c r="D103" i="22"/>
  <c r="H103" i="22"/>
  <c r="D104" i="22"/>
  <c r="H104" i="22"/>
  <c r="D105" i="22"/>
  <c r="H105" i="22"/>
  <c r="D106" i="22"/>
  <c r="H106" i="22"/>
  <c r="D107" i="22"/>
  <c r="H107" i="22"/>
  <c r="D108" i="22"/>
  <c r="H108" i="22"/>
  <c r="D109" i="22"/>
  <c r="H109" i="22"/>
  <c r="D110" i="22"/>
  <c r="H110" i="22"/>
  <c r="M6" i="21"/>
  <c r="M12" i="21" s="1"/>
  <c r="D8" i="21"/>
  <c r="P9" i="21" s="1"/>
  <c r="H8" i="21"/>
  <c r="D9" i="21"/>
  <c r="H9" i="21"/>
  <c r="D10" i="21"/>
  <c r="H10" i="21"/>
  <c r="P8" i="21" s="1"/>
  <c r="D11" i="21"/>
  <c r="H11" i="21"/>
  <c r="P11" i="21"/>
  <c r="D12" i="21"/>
  <c r="H12" i="21"/>
  <c r="D13" i="21"/>
  <c r="H13" i="21"/>
  <c r="D14" i="21"/>
  <c r="H14" i="21"/>
  <c r="D15" i="21"/>
  <c r="H15" i="21"/>
  <c r="D16" i="21"/>
  <c r="H16" i="21"/>
  <c r="D17" i="21"/>
  <c r="H17" i="21"/>
  <c r="D18" i="21"/>
  <c r="H18" i="21"/>
  <c r="D19" i="21"/>
  <c r="H19" i="21"/>
  <c r="D20" i="21"/>
  <c r="H20" i="21"/>
  <c r="D21" i="21"/>
  <c r="H21" i="21"/>
  <c r="D22" i="21"/>
  <c r="H22" i="21"/>
  <c r="D23" i="21"/>
  <c r="H23" i="21"/>
  <c r="D24" i="21"/>
  <c r="H24" i="21"/>
  <c r="D25" i="21"/>
  <c r="H25" i="21"/>
  <c r="D26" i="21"/>
  <c r="H26" i="21"/>
  <c r="D27" i="21"/>
  <c r="H27" i="21"/>
  <c r="D28" i="21"/>
  <c r="H28" i="21"/>
  <c r="D29" i="21"/>
  <c r="H29" i="21"/>
  <c r="D30" i="21"/>
  <c r="H30" i="21"/>
  <c r="D31" i="21"/>
  <c r="H31" i="21"/>
  <c r="D32" i="21"/>
  <c r="H32" i="21"/>
  <c r="D33" i="21"/>
  <c r="H33" i="21"/>
  <c r="D34" i="21"/>
  <c r="H34" i="21"/>
  <c r="D35" i="21"/>
  <c r="H35" i="21"/>
  <c r="D36" i="21"/>
  <c r="H36" i="21"/>
  <c r="D37" i="21"/>
  <c r="H37" i="21"/>
  <c r="D38" i="21"/>
  <c r="H38" i="21"/>
  <c r="D39" i="21"/>
  <c r="H39" i="21"/>
  <c r="D40" i="21"/>
  <c r="H40" i="21"/>
  <c r="D41" i="21"/>
  <c r="H41" i="21"/>
  <c r="D42" i="21"/>
  <c r="H42" i="21"/>
  <c r="D43" i="21"/>
  <c r="H43" i="21"/>
  <c r="D44" i="21"/>
  <c r="H44" i="21"/>
  <c r="D45" i="21"/>
  <c r="H45" i="21"/>
  <c r="D46" i="21"/>
  <c r="H46" i="21"/>
  <c r="D47" i="21"/>
  <c r="H47" i="21"/>
  <c r="D48" i="21"/>
  <c r="H48" i="21"/>
  <c r="D49" i="21"/>
  <c r="H49" i="21"/>
  <c r="D50" i="21"/>
  <c r="H50" i="21"/>
  <c r="D51" i="21"/>
  <c r="H51" i="21"/>
  <c r="D52" i="21"/>
  <c r="H52" i="21"/>
  <c r="D53" i="21"/>
  <c r="H53" i="21"/>
  <c r="D54" i="21"/>
  <c r="H54" i="21"/>
  <c r="D55" i="21"/>
  <c r="H55" i="21"/>
  <c r="D56" i="21"/>
  <c r="H56" i="21"/>
  <c r="D57" i="21"/>
  <c r="H57" i="21"/>
  <c r="D58" i="21"/>
  <c r="H58" i="21"/>
  <c r="D59" i="21"/>
  <c r="H59" i="21"/>
  <c r="D60" i="21"/>
  <c r="H60" i="21"/>
  <c r="D61" i="21"/>
  <c r="H61" i="21"/>
  <c r="D62" i="21"/>
  <c r="H62" i="21"/>
  <c r="D63" i="21"/>
  <c r="H63" i="21"/>
  <c r="D64" i="21"/>
  <c r="H64" i="21"/>
  <c r="D65" i="21"/>
  <c r="H65" i="21"/>
  <c r="D66" i="21"/>
  <c r="H66" i="21"/>
  <c r="D67" i="21"/>
  <c r="H67" i="21"/>
  <c r="D68" i="21"/>
  <c r="H68" i="21"/>
  <c r="D69" i="21"/>
  <c r="H69" i="21"/>
  <c r="D70" i="21"/>
  <c r="H70" i="21"/>
  <c r="D71" i="21"/>
  <c r="H71" i="21"/>
  <c r="D72" i="21"/>
  <c r="H72" i="21"/>
  <c r="D73" i="21"/>
  <c r="H73" i="21"/>
  <c r="D74" i="21"/>
  <c r="H74" i="21"/>
  <c r="D75" i="21"/>
  <c r="H75" i="21"/>
  <c r="D76" i="21"/>
  <c r="H76" i="21"/>
  <c r="D77" i="21"/>
  <c r="H77" i="21"/>
  <c r="D78" i="21"/>
  <c r="H78" i="21"/>
  <c r="D79" i="21"/>
  <c r="H79" i="21"/>
  <c r="D80" i="21"/>
  <c r="H80" i="21"/>
  <c r="D81" i="21"/>
  <c r="H81" i="21"/>
  <c r="D82" i="21"/>
  <c r="H82" i="21"/>
  <c r="D83" i="21"/>
  <c r="H83" i="21"/>
  <c r="D84" i="21"/>
  <c r="H84" i="21"/>
  <c r="D85" i="21"/>
  <c r="H85" i="21"/>
  <c r="D86" i="21"/>
  <c r="H86" i="21"/>
  <c r="D87" i="21"/>
  <c r="H87" i="21"/>
  <c r="D88" i="21"/>
  <c r="H88" i="21"/>
  <c r="D89" i="21"/>
  <c r="H89" i="21"/>
  <c r="D90" i="21"/>
  <c r="H90" i="21"/>
  <c r="D91" i="21"/>
  <c r="H91" i="21"/>
  <c r="D92" i="21"/>
  <c r="H92" i="21"/>
  <c r="D93" i="21"/>
  <c r="H93" i="21"/>
  <c r="D94" i="21"/>
  <c r="H94" i="21"/>
  <c r="D95" i="21"/>
  <c r="H95" i="21"/>
  <c r="D96" i="21"/>
  <c r="H96" i="21"/>
  <c r="D97" i="21"/>
  <c r="H97" i="21"/>
  <c r="D98" i="21"/>
  <c r="H98" i="21"/>
  <c r="D99" i="21"/>
  <c r="H99" i="21"/>
  <c r="D100" i="21"/>
  <c r="H100" i="21"/>
  <c r="D101" i="21"/>
  <c r="H101" i="21"/>
  <c r="D102" i="21"/>
  <c r="H102" i="21"/>
  <c r="D103" i="21"/>
  <c r="H103" i="21"/>
  <c r="D104" i="21"/>
  <c r="H104" i="21"/>
  <c r="D105" i="21"/>
  <c r="H105" i="21"/>
  <c r="D106" i="21"/>
  <c r="H106" i="21"/>
  <c r="D107" i="21"/>
  <c r="H107" i="21"/>
  <c r="D108" i="21"/>
  <c r="H108" i="21"/>
  <c r="D109" i="21"/>
  <c r="H109" i="21"/>
  <c r="D110" i="21"/>
  <c r="H110" i="21"/>
  <c r="D8" i="20"/>
  <c r="H8" i="20"/>
  <c r="D9" i="20"/>
  <c r="H9" i="20"/>
  <c r="P8" i="20" s="1"/>
  <c r="D10" i="20"/>
  <c r="H10" i="20"/>
  <c r="D11" i="20"/>
  <c r="H11" i="20"/>
  <c r="P11" i="20"/>
  <c r="M6" i="20" s="1"/>
  <c r="M12" i="20" s="1"/>
  <c r="D12" i="20"/>
  <c r="H12" i="20"/>
  <c r="D13" i="20"/>
  <c r="H13" i="20"/>
  <c r="D14" i="20"/>
  <c r="H14" i="20"/>
  <c r="D15" i="20"/>
  <c r="H15" i="20"/>
  <c r="D16" i="20"/>
  <c r="H16" i="20"/>
  <c r="D17" i="20"/>
  <c r="H17" i="20"/>
  <c r="D18" i="20"/>
  <c r="H18" i="20"/>
  <c r="D19" i="20"/>
  <c r="H19" i="20"/>
  <c r="D20" i="20"/>
  <c r="H20" i="20"/>
  <c r="D21" i="20"/>
  <c r="H21" i="20"/>
  <c r="D22" i="20"/>
  <c r="H22" i="20"/>
  <c r="D23" i="20"/>
  <c r="H23" i="20"/>
  <c r="D24" i="20"/>
  <c r="H24" i="20"/>
  <c r="D25" i="20"/>
  <c r="H25" i="20"/>
  <c r="D26" i="20"/>
  <c r="H26" i="20"/>
  <c r="D27" i="20"/>
  <c r="H27" i="20"/>
  <c r="D28" i="20"/>
  <c r="H28" i="20"/>
  <c r="D29" i="20"/>
  <c r="H29" i="20"/>
  <c r="D30" i="20"/>
  <c r="H30" i="20"/>
  <c r="D31" i="20"/>
  <c r="H31" i="20"/>
  <c r="D32" i="20"/>
  <c r="H32" i="20"/>
  <c r="D33" i="20"/>
  <c r="H33" i="20"/>
  <c r="D34" i="20"/>
  <c r="H34" i="20"/>
  <c r="D35" i="20"/>
  <c r="H35" i="20"/>
  <c r="D36" i="20"/>
  <c r="H36" i="20"/>
  <c r="D37" i="20"/>
  <c r="H37" i="20"/>
  <c r="D38" i="20"/>
  <c r="H38" i="20"/>
  <c r="D39" i="20"/>
  <c r="H39" i="20"/>
  <c r="D40" i="20"/>
  <c r="H40" i="20"/>
  <c r="D41" i="20"/>
  <c r="H41" i="20"/>
  <c r="D42" i="20"/>
  <c r="H42" i="20"/>
  <c r="D43" i="20"/>
  <c r="H43" i="20"/>
  <c r="D44" i="20"/>
  <c r="H44" i="20"/>
  <c r="D45" i="20"/>
  <c r="H45" i="20"/>
  <c r="D46" i="20"/>
  <c r="H46" i="20"/>
  <c r="D47" i="20"/>
  <c r="H47" i="20"/>
  <c r="D48" i="20"/>
  <c r="H48" i="20"/>
  <c r="D49" i="20"/>
  <c r="H49" i="20"/>
  <c r="D50" i="20"/>
  <c r="H50" i="20"/>
  <c r="D51" i="20"/>
  <c r="H51" i="20"/>
  <c r="D52" i="20"/>
  <c r="H52" i="20"/>
  <c r="D53" i="20"/>
  <c r="H53" i="20"/>
  <c r="D54" i="20"/>
  <c r="H54" i="20"/>
  <c r="D55" i="20"/>
  <c r="H55" i="20"/>
  <c r="D56" i="20"/>
  <c r="H56" i="20"/>
  <c r="D57" i="20"/>
  <c r="H57" i="20"/>
  <c r="D58" i="20"/>
  <c r="H58" i="20"/>
  <c r="D59" i="20"/>
  <c r="H59" i="20"/>
  <c r="D60" i="20"/>
  <c r="H60" i="20"/>
  <c r="D61" i="20"/>
  <c r="H61" i="20"/>
  <c r="D62" i="20"/>
  <c r="H62" i="20"/>
  <c r="D63" i="20"/>
  <c r="H63" i="20"/>
  <c r="D64" i="20"/>
  <c r="H64" i="20"/>
  <c r="D65" i="20"/>
  <c r="H65" i="20"/>
  <c r="D66" i="20"/>
  <c r="H66" i="20"/>
  <c r="D67" i="20"/>
  <c r="H67" i="20"/>
  <c r="D68" i="20"/>
  <c r="H68" i="20"/>
  <c r="D69" i="20"/>
  <c r="H69" i="20"/>
  <c r="D70" i="20"/>
  <c r="H70" i="20"/>
  <c r="D71" i="20"/>
  <c r="H71" i="20"/>
  <c r="D72" i="20"/>
  <c r="H72" i="20"/>
  <c r="D73" i="20"/>
  <c r="H73" i="20"/>
  <c r="D74" i="20"/>
  <c r="H74" i="20"/>
  <c r="D75" i="20"/>
  <c r="H75" i="20"/>
  <c r="D76" i="20"/>
  <c r="H76" i="20"/>
  <c r="D77" i="20"/>
  <c r="H77" i="20"/>
  <c r="D78" i="20"/>
  <c r="H78" i="20"/>
  <c r="D79" i="20"/>
  <c r="H79" i="20"/>
  <c r="D80" i="20"/>
  <c r="H80" i="20"/>
  <c r="D81" i="20"/>
  <c r="H81" i="20"/>
  <c r="D82" i="20"/>
  <c r="H82" i="20"/>
  <c r="D83" i="20"/>
  <c r="H83" i="20"/>
  <c r="D84" i="20"/>
  <c r="H84" i="20"/>
  <c r="D85" i="20"/>
  <c r="H85" i="20"/>
  <c r="D86" i="20"/>
  <c r="H86" i="20"/>
  <c r="D87" i="20"/>
  <c r="H87" i="20"/>
  <c r="D88" i="20"/>
  <c r="H88" i="20"/>
  <c r="D89" i="20"/>
  <c r="H89" i="20"/>
  <c r="D90" i="20"/>
  <c r="H90" i="20"/>
  <c r="D91" i="20"/>
  <c r="H91" i="20"/>
  <c r="D92" i="20"/>
  <c r="H92" i="20"/>
  <c r="D93" i="20"/>
  <c r="H93" i="20"/>
  <c r="D94" i="20"/>
  <c r="H94" i="20"/>
  <c r="D95" i="20"/>
  <c r="H95" i="20"/>
  <c r="D96" i="20"/>
  <c r="H96" i="20"/>
  <c r="D97" i="20"/>
  <c r="H97" i="20"/>
  <c r="D98" i="20"/>
  <c r="H98" i="20"/>
  <c r="D99" i="20"/>
  <c r="H99" i="20"/>
  <c r="D100" i="20"/>
  <c r="H100" i="20"/>
  <c r="D101" i="20"/>
  <c r="H101" i="20"/>
  <c r="D102" i="20"/>
  <c r="H102" i="20"/>
  <c r="D103" i="20"/>
  <c r="H103" i="20"/>
  <c r="D104" i="20"/>
  <c r="H104" i="20"/>
  <c r="D105" i="20"/>
  <c r="H105" i="20"/>
  <c r="D106" i="20"/>
  <c r="H106" i="20"/>
  <c r="D107" i="20"/>
  <c r="H107" i="20"/>
  <c r="D108" i="20"/>
  <c r="H108" i="20"/>
  <c r="D109" i="20"/>
  <c r="H109" i="20"/>
  <c r="D110" i="20"/>
  <c r="H110" i="20"/>
  <c r="D8" i="19"/>
  <c r="H8" i="19"/>
  <c r="P9" i="19" s="1"/>
  <c r="D9" i="19"/>
  <c r="H9" i="19"/>
  <c r="D10" i="19"/>
  <c r="H10" i="19"/>
  <c r="D11" i="19"/>
  <c r="H11" i="19"/>
  <c r="P11" i="19"/>
  <c r="M6" i="19" s="1"/>
  <c r="M12" i="19" s="1"/>
  <c r="D12" i="19"/>
  <c r="H12" i="19"/>
  <c r="D13" i="19"/>
  <c r="H13" i="19"/>
  <c r="D14" i="19"/>
  <c r="H14" i="19"/>
  <c r="D15" i="19"/>
  <c r="H15" i="19"/>
  <c r="D16" i="19"/>
  <c r="H16" i="19"/>
  <c r="D17" i="19"/>
  <c r="H17" i="19"/>
  <c r="D18" i="19"/>
  <c r="H18" i="19"/>
  <c r="D19" i="19"/>
  <c r="H19" i="19"/>
  <c r="D20" i="19"/>
  <c r="H20" i="19"/>
  <c r="D21" i="19"/>
  <c r="H21" i="19"/>
  <c r="D22" i="19"/>
  <c r="H22" i="19"/>
  <c r="D23" i="19"/>
  <c r="H23" i="19"/>
  <c r="D24" i="19"/>
  <c r="H24" i="19"/>
  <c r="D25" i="19"/>
  <c r="H25" i="19"/>
  <c r="D26" i="19"/>
  <c r="H26" i="19"/>
  <c r="D27" i="19"/>
  <c r="H27" i="19"/>
  <c r="D28" i="19"/>
  <c r="H28" i="19"/>
  <c r="D29" i="19"/>
  <c r="H29" i="19"/>
  <c r="D30" i="19"/>
  <c r="H30" i="19"/>
  <c r="D31" i="19"/>
  <c r="H31" i="19"/>
  <c r="D32" i="19"/>
  <c r="H32" i="19"/>
  <c r="D33" i="19"/>
  <c r="H33" i="19"/>
  <c r="D34" i="19"/>
  <c r="H34" i="19"/>
  <c r="D35" i="19"/>
  <c r="H35" i="19"/>
  <c r="D36" i="19"/>
  <c r="H36" i="19"/>
  <c r="D37" i="19"/>
  <c r="H37" i="19"/>
  <c r="D38" i="19"/>
  <c r="H38" i="19"/>
  <c r="D39" i="19"/>
  <c r="H39" i="19"/>
  <c r="D40" i="19"/>
  <c r="H40" i="19"/>
  <c r="D41" i="19"/>
  <c r="H41" i="19"/>
  <c r="D42" i="19"/>
  <c r="H42" i="19"/>
  <c r="D43" i="19"/>
  <c r="H43" i="19"/>
  <c r="D44" i="19"/>
  <c r="H44" i="19"/>
  <c r="D45" i="19"/>
  <c r="H45" i="19"/>
  <c r="D46" i="19"/>
  <c r="H46" i="19"/>
  <c r="D47" i="19"/>
  <c r="H47" i="19"/>
  <c r="D48" i="19"/>
  <c r="H48" i="19"/>
  <c r="D49" i="19"/>
  <c r="H49" i="19"/>
  <c r="D50" i="19"/>
  <c r="H50" i="19"/>
  <c r="D51" i="19"/>
  <c r="H51" i="19"/>
  <c r="D52" i="19"/>
  <c r="H52" i="19"/>
  <c r="D53" i="19"/>
  <c r="H53" i="19"/>
  <c r="D54" i="19"/>
  <c r="H54" i="19"/>
  <c r="D55" i="19"/>
  <c r="H55" i="19"/>
  <c r="D56" i="19"/>
  <c r="H56" i="19"/>
  <c r="D57" i="19"/>
  <c r="H57" i="19"/>
  <c r="D58" i="19"/>
  <c r="H58" i="19"/>
  <c r="D59" i="19"/>
  <c r="H59" i="19"/>
  <c r="D60" i="19"/>
  <c r="H60" i="19"/>
  <c r="D61" i="19"/>
  <c r="H61" i="19"/>
  <c r="D62" i="19"/>
  <c r="H62" i="19"/>
  <c r="D63" i="19"/>
  <c r="H63" i="19"/>
  <c r="D64" i="19"/>
  <c r="H64" i="19"/>
  <c r="D65" i="19"/>
  <c r="H65" i="19"/>
  <c r="D66" i="19"/>
  <c r="H66" i="19"/>
  <c r="D67" i="19"/>
  <c r="H67" i="19"/>
  <c r="D68" i="19"/>
  <c r="H68" i="19"/>
  <c r="D69" i="19"/>
  <c r="H69" i="19"/>
  <c r="D70" i="19"/>
  <c r="H70" i="19"/>
  <c r="D71" i="19"/>
  <c r="H71" i="19"/>
  <c r="D72" i="19"/>
  <c r="H72" i="19"/>
  <c r="D73" i="19"/>
  <c r="H73" i="19"/>
  <c r="D74" i="19"/>
  <c r="H74" i="19"/>
  <c r="D75" i="19"/>
  <c r="H75" i="19"/>
  <c r="D76" i="19"/>
  <c r="H76" i="19"/>
  <c r="D77" i="19"/>
  <c r="H77" i="19"/>
  <c r="D78" i="19"/>
  <c r="H78" i="19"/>
  <c r="D79" i="19"/>
  <c r="H79" i="19"/>
  <c r="D80" i="19"/>
  <c r="H80" i="19"/>
  <c r="D81" i="19"/>
  <c r="H81" i="19"/>
  <c r="D82" i="19"/>
  <c r="H82" i="19"/>
  <c r="D83" i="19"/>
  <c r="H83" i="19"/>
  <c r="D84" i="19"/>
  <c r="H84" i="19"/>
  <c r="D85" i="19"/>
  <c r="H85" i="19"/>
  <c r="D86" i="19"/>
  <c r="H86" i="19"/>
  <c r="D87" i="19"/>
  <c r="H87" i="19"/>
  <c r="D88" i="19"/>
  <c r="H88" i="19"/>
  <c r="D89" i="19"/>
  <c r="H89" i="19"/>
  <c r="D90" i="19"/>
  <c r="H90" i="19"/>
  <c r="D91" i="19"/>
  <c r="H91" i="19"/>
  <c r="D92" i="19"/>
  <c r="H92" i="19"/>
  <c r="D93" i="19"/>
  <c r="H93" i="19"/>
  <c r="D94" i="19"/>
  <c r="H94" i="19"/>
  <c r="D95" i="19"/>
  <c r="H95" i="19"/>
  <c r="D96" i="19"/>
  <c r="H96" i="19"/>
  <c r="D97" i="19"/>
  <c r="H97" i="19"/>
  <c r="D98" i="19"/>
  <c r="H98" i="19"/>
  <c r="D99" i="19"/>
  <c r="H99" i="19"/>
  <c r="D100" i="19"/>
  <c r="H100" i="19"/>
  <c r="D101" i="19"/>
  <c r="H101" i="19"/>
  <c r="D102" i="19"/>
  <c r="H102" i="19"/>
  <c r="D103" i="19"/>
  <c r="H103" i="19"/>
  <c r="D104" i="19"/>
  <c r="H104" i="19"/>
  <c r="D105" i="19"/>
  <c r="H105" i="19"/>
  <c r="D106" i="19"/>
  <c r="H106" i="19"/>
  <c r="D107" i="19"/>
  <c r="H107" i="19"/>
  <c r="D108" i="19"/>
  <c r="H108" i="19"/>
  <c r="D109" i="19"/>
  <c r="H109" i="19"/>
  <c r="D110" i="19"/>
  <c r="H110" i="19"/>
  <c r="M6" i="18"/>
  <c r="M12" i="18" s="1"/>
  <c r="D8" i="18"/>
  <c r="H8" i="18"/>
  <c r="P8" i="18" s="1"/>
  <c r="D9" i="18"/>
  <c r="H9" i="18"/>
  <c r="D10" i="18"/>
  <c r="H10" i="18"/>
  <c r="D11" i="18"/>
  <c r="H11" i="18"/>
  <c r="P11" i="18"/>
  <c r="D12" i="18"/>
  <c r="H12" i="18"/>
  <c r="D13" i="18"/>
  <c r="H13" i="18"/>
  <c r="D14" i="18"/>
  <c r="H14" i="18"/>
  <c r="D15" i="18"/>
  <c r="H15" i="18"/>
  <c r="D16" i="18"/>
  <c r="H16" i="18"/>
  <c r="D17" i="18"/>
  <c r="H17" i="18"/>
  <c r="D18" i="18"/>
  <c r="H18" i="18"/>
  <c r="D19" i="18"/>
  <c r="H19" i="18"/>
  <c r="D20" i="18"/>
  <c r="H20" i="18"/>
  <c r="D21" i="18"/>
  <c r="H21" i="18"/>
  <c r="D22" i="18"/>
  <c r="H22" i="18"/>
  <c r="D23" i="18"/>
  <c r="H23" i="18"/>
  <c r="D24" i="18"/>
  <c r="H24" i="18"/>
  <c r="D25" i="18"/>
  <c r="H25" i="18"/>
  <c r="D26" i="18"/>
  <c r="H26" i="18"/>
  <c r="D27" i="18"/>
  <c r="H27" i="18"/>
  <c r="D28" i="18"/>
  <c r="H28" i="18"/>
  <c r="D29" i="18"/>
  <c r="H29" i="18"/>
  <c r="D30" i="18"/>
  <c r="H30" i="18"/>
  <c r="D31" i="18"/>
  <c r="H31" i="18"/>
  <c r="D32" i="18"/>
  <c r="H32" i="18"/>
  <c r="D33" i="18"/>
  <c r="H33" i="18"/>
  <c r="D34" i="18"/>
  <c r="H34" i="18"/>
  <c r="D35" i="18"/>
  <c r="H35" i="18"/>
  <c r="D36" i="18"/>
  <c r="H36" i="18"/>
  <c r="D37" i="18"/>
  <c r="H37" i="18"/>
  <c r="D38" i="18"/>
  <c r="H38" i="18"/>
  <c r="D39" i="18"/>
  <c r="H39" i="18"/>
  <c r="D40" i="18"/>
  <c r="H40" i="18"/>
  <c r="D41" i="18"/>
  <c r="H41" i="18"/>
  <c r="D42" i="18"/>
  <c r="H42" i="18"/>
  <c r="D43" i="18"/>
  <c r="H43" i="18"/>
  <c r="D44" i="18"/>
  <c r="H44" i="18"/>
  <c r="D45" i="18"/>
  <c r="H45" i="18"/>
  <c r="D46" i="18"/>
  <c r="H46" i="18"/>
  <c r="D47" i="18"/>
  <c r="H47" i="18"/>
  <c r="D48" i="18"/>
  <c r="H48" i="18"/>
  <c r="D49" i="18"/>
  <c r="H49" i="18"/>
  <c r="D50" i="18"/>
  <c r="H50" i="18"/>
  <c r="D51" i="18"/>
  <c r="H51" i="18"/>
  <c r="D52" i="18"/>
  <c r="H52" i="18"/>
  <c r="D53" i="18"/>
  <c r="H53" i="18"/>
  <c r="D54" i="18"/>
  <c r="H54" i="18"/>
  <c r="D55" i="18"/>
  <c r="H55" i="18"/>
  <c r="D56" i="18"/>
  <c r="H56" i="18"/>
  <c r="D57" i="18"/>
  <c r="H57" i="18"/>
  <c r="D58" i="18"/>
  <c r="H58" i="18"/>
  <c r="D59" i="18"/>
  <c r="H59" i="18"/>
  <c r="D60" i="18"/>
  <c r="H60" i="18"/>
  <c r="D61" i="18"/>
  <c r="H61" i="18"/>
  <c r="D62" i="18"/>
  <c r="H62" i="18"/>
  <c r="D63" i="18"/>
  <c r="H63" i="18"/>
  <c r="D64" i="18"/>
  <c r="H64" i="18"/>
  <c r="D65" i="18"/>
  <c r="H65" i="18"/>
  <c r="D66" i="18"/>
  <c r="H66" i="18"/>
  <c r="D67" i="18"/>
  <c r="H67" i="18"/>
  <c r="D68" i="18"/>
  <c r="H68" i="18"/>
  <c r="D69" i="18"/>
  <c r="H69" i="18"/>
  <c r="D70" i="18"/>
  <c r="H70" i="18"/>
  <c r="D71" i="18"/>
  <c r="H71" i="18"/>
  <c r="D72" i="18"/>
  <c r="H72" i="18"/>
  <c r="D73" i="18"/>
  <c r="H73" i="18"/>
  <c r="D74" i="18"/>
  <c r="H74" i="18"/>
  <c r="D75" i="18"/>
  <c r="H75" i="18"/>
  <c r="D76" i="18"/>
  <c r="H76" i="18"/>
  <c r="D77" i="18"/>
  <c r="H77" i="18"/>
  <c r="D78" i="18"/>
  <c r="H78" i="18"/>
  <c r="D79" i="18"/>
  <c r="H79" i="18"/>
  <c r="D80" i="18"/>
  <c r="H80" i="18"/>
  <c r="D81" i="18"/>
  <c r="H81" i="18"/>
  <c r="D82" i="18"/>
  <c r="H82" i="18"/>
  <c r="D83" i="18"/>
  <c r="H83" i="18"/>
  <c r="D84" i="18"/>
  <c r="H84" i="18"/>
  <c r="D85" i="18"/>
  <c r="H85" i="18"/>
  <c r="D86" i="18"/>
  <c r="H86" i="18"/>
  <c r="D87" i="18"/>
  <c r="H87" i="18"/>
  <c r="D88" i="18"/>
  <c r="H88" i="18"/>
  <c r="D89" i="18"/>
  <c r="H89" i="18"/>
  <c r="D90" i="18"/>
  <c r="H90" i="18"/>
  <c r="D91" i="18"/>
  <c r="H91" i="18"/>
  <c r="D92" i="18"/>
  <c r="H92" i="18"/>
  <c r="D93" i="18"/>
  <c r="H93" i="18"/>
  <c r="D94" i="18"/>
  <c r="H94" i="18"/>
  <c r="D95" i="18"/>
  <c r="H95" i="18"/>
  <c r="D96" i="18"/>
  <c r="H96" i="18"/>
  <c r="D97" i="18"/>
  <c r="H97" i="18"/>
  <c r="D98" i="18"/>
  <c r="H98" i="18"/>
  <c r="D99" i="18"/>
  <c r="H99" i="18"/>
  <c r="D100" i="18"/>
  <c r="H100" i="18"/>
  <c r="D101" i="18"/>
  <c r="H101" i="18"/>
  <c r="D102" i="18"/>
  <c r="H102" i="18"/>
  <c r="D103" i="18"/>
  <c r="H103" i="18"/>
  <c r="D104" i="18"/>
  <c r="H104" i="18"/>
  <c r="D105" i="18"/>
  <c r="H105" i="18"/>
  <c r="D106" i="18"/>
  <c r="H106" i="18"/>
  <c r="D107" i="18"/>
  <c r="H107" i="18"/>
  <c r="D108" i="18"/>
  <c r="H108" i="18"/>
  <c r="D109" i="18"/>
  <c r="H109" i="18"/>
  <c r="D110" i="18"/>
  <c r="H110" i="18"/>
  <c r="D10" i="17"/>
  <c r="H10" i="17" s="1"/>
  <c r="E10" i="17"/>
  <c r="G10" i="17"/>
  <c r="I10" i="17"/>
  <c r="I16" i="17" s="1"/>
  <c r="D11" i="17"/>
  <c r="H11" i="17" s="1"/>
  <c r="E11" i="17"/>
  <c r="G11" i="17" s="1"/>
  <c r="I11" i="17"/>
  <c r="D12" i="17"/>
  <c r="H12" i="17" s="1"/>
  <c r="E12" i="17"/>
  <c r="I12" i="17"/>
  <c r="D13" i="17"/>
  <c r="E13" i="17"/>
  <c r="G13" i="17"/>
  <c r="H13" i="17"/>
  <c r="I13" i="17"/>
  <c r="J13" i="17" s="1"/>
  <c r="D14" i="17"/>
  <c r="H14" i="17" s="1"/>
  <c r="E14" i="17"/>
  <c r="G14" i="17"/>
  <c r="I14" i="17"/>
  <c r="J14" i="17" s="1"/>
  <c r="F16" i="17"/>
  <c r="F17" i="17"/>
  <c r="I17" i="17"/>
  <c r="E22" i="17"/>
  <c r="E23" i="17"/>
  <c r="E24" i="17"/>
  <c r="K46" i="17" s="1"/>
  <c r="C31" i="17"/>
  <c r="D31" i="17" s="1"/>
  <c r="C32" i="17"/>
  <c r="L32" i="17"/>
  <c r="C33" i="17"/>
  <c r="D32" i="17" s="1"/>
  <c r="K38" i="17"/>
  <c r="I16" i="16" l="1"/>
  <c r="E26" i="16"/>
  <c r="G16" i="16"/>
  <c r="K16" i="16"/>
  <c r="J16" i="16"/>
  <c r="G17" i="17"/>
  <c r="D33" i="17"/>
  <c r="D35" i="17"/>
  <c r="J12" i="17"/>
  <c r="H16" i="17"/>
  <c r="E31" i="17" s="1"/>
  <c r="H17" i="17"/>
  <c r="J11" i="17"/>
  <c r="G12" i="17"/>
  <c r="G16" i="17" s="1"/>
  <c r="J10" i="17"/>
  <c r="P8" i="19"/>
  <c r="P9" i="20"/>
  <c r="P8" i="22"/>
  <c r="P9" i="18"/>
  <c r="E32" i="17" l="1"/>
  <c r="E35" i="17"/>
  <c r="L31" i="17" s="1"/>
  <c r="K47" i="17"/>
  <c r="L38" i="17"/>
  <c r="J17" i="17"/>
  <c r="L30" i="17" s="1"/>
  <c r="L33" i="17" s="1"/>
  <c r="L24" i="17" s="1"/>
  <c r="L25" i="17" s="1"/>
  <c r="J16" i="17"/>
  <c r="K43" i="17" l="1"/>
  <c r="K39" i="17"/>
  <c r="K44" i="17"/>
  <c r="L39" i="17"/>
  <c r="L40" i="17" s="1"/>
  <c r="K48" i="17" l="1"/>
  <c r="K10" i="16" l="1"/>
  <c r="K6" i="16"/>
  <c r="E20" i="16"/>
  <c r="P57" i="15"/>
  <c r="J6" i="16"/>
  <c r="I6" i="16"/>
  <c r="H6" i="16"/>
  <c r="G6" i="16"/>
  <c r="J10" i="16"/>
  <c r="I10" i="16"/>
  <c r="H10" i="16"/>
  <c r="G10" i="16"/>
  <c r="F10" i="16"/>
  <c r="P49" i="15"/>
  <c r="F6" i="16"/>
  <c r="F4" i="16"/>
  <c r="F2" i="16"/>
  <c r="G2" i="16" s="1"/>
  <c r="H2" i="16" s="1"/>
  <c r="I2" i="16" s="1"/>
  <c r="J2" i="16" s="1"/>
  <c r="K2" i="16" s="1"/>
  <c r="I55" i="15"/>
  <c r="J55" i="15"/>
  <c r="K55" i="15"/>
  <c r="L55" i="15"/>
  <c r="I35" i="15"/>
  <c r="J35" i="15"/>
  <c r="K35" i="15"/>
  <c r="L35" i="15"/>
  <c r="H35" i="15"/>
  <c r="J54" i="15"/>
  <c r="J57" i="15" s="1"/>
  <c r="K54" i="15"/>
  <c r="K57" i="15" s="1"/>
  <c r="L54" i="15"/>
  <c r="L57" i="15" s="1"/>
  <c r="I54" i="15"/>
  <c r="I57" i="15" s="1"/>
  <c r="I52" i="15"/>
  <c r="J52" i="15"/>
  <c r="K52" i="15"/>
  <c r="L52" i="15"/>
  <c r="H52" i="15"/>
  <c r="K45" i="15"/>
  <c r="L45" i="15"/>
  <c r="I44" i="15"/>
  <c r="J44" i="15"/>
  <c r="K44" i="15"/>
  <c r="L44" i="15"/>
  <c r="H44" i="15"/>
  <c r="I40" i="15"/>
  <c r="J40" i="15"/>
  <c r="K40" i="15"/>
  <c r="L40" i="15"/>
  <c r="H40" i="15"/>
  <c r="I38" i="15"/>
  <c r="J38" i="15"/>
  <c r="K38" i="15"/>
  <c r="L38" i="15"/>
  <c r="H38" i="15"/>
  <c r="I33" i="15"/>
  <c r="I43" i="15" s="1"/>
  <c r="I45" i="15" s="1"/>
  <c r="J33" i="15"/>
  <c r="J43" i="15" s="1"/>
  <c r="J45" i="15" s="1"/>
  <c r="K33" i="15"/>
  <c r="K43" i="15" s="1"/>
  <c r="L33" i="15"/>
  <c r="L43" i="15" s="1"/>
  <c r="H33" i="15"/>
  <c r="H43" i="15" s="1"/>
  <c r="H45" i="15" s="1"/>
  <c r="I29" i="15"/>
  <c r="J29" i="15"/>
  <c r="K29" i="15"/>
  <c r="L29" i="15"/>
  <c r="H29" i="15"/>
  <c r="I19" i="15"/>
  <c r="J19" i="15"/>
  <c r="K19" i="15"/>
  <c r="L19" i="15"/>
  <c r="L28" i="15" s="1"/>
  <c r="L30" i="15" s="1"/>
  <c r="I20" i="15"/>
  <c r="J20" i="15"/>
  <c r="K20" i="15"/>
  <c r="L20" i="15"/>
  <c r="I21" i="15"/>
  <c r="J21" i="15"/>
  <c r="K21" i="15"/>
  <c r="L21" i="15"/>
  <c r="I22" i="15"/>
  <c r="J22" i="15"/>
  <c r="K22" i="15"/>
  <c r="L22" i="15"/>
  <c r="I23" i="15"/>
  <c r="J23" i="15"/>
  <c r="K23" i="15"/>
  <c r="L23" i="15"/>
  <c r="I24" i="15"/>
  <c r="J24" i="15"/>
  <c r="K24" i="15"/>
  <c r="L24" i="15"/>
  <c r="I25" i="15"/>
  <c r="J25" i="15"/>
  <c r="K25" i="15"/>
  <c r="L25" i="15"/>
  <c r="I26" i="15"/>
  <c r="J26" i="15"/>
  <c r="K26" i="15"/>
  <c r="L26" i="15"/>
  <c r="I27" i="15"/>
  <c r="J27" i="15"/>
  <c r="K27" i="15"/>
  <c r="L27" i="15"/>
  <c r="H20" i="15"/>
  <c r="H21" i="15"/>
  <c r="H22" i="15"/>
  <c r="H23" i="15"/>
  <c r="H24" i="15"/>
  <c r="H25" i="15"/>
  <c r="H26" i="15"/>
  <c r="H27" i="15"/>
  <c r="H19" i="15"/>
  <c r="H28" i="15" s="1"/>
  <c r="H30" i="15" s="1"/>
  <c r="B20" i="15"/>
  <c r="B21" i="15"/>
  <c r="B22" i="15"/>
  <c r="B23" i="15"/>
  <c r="B24" i="15"/>
  <c r="B25" i="15"/>
  <c r="B26" i="15"/>
  <c r="B27" i="15"/>
  <c r="B19" i="15"/>
  <c r="I12" i="15"/>
  <c r="J12" i="15"/>
  <c r="K12" i="15"/>
  <c r="L12" i="15"/>
  <c r="I13" i="15"/>
  <c r="J13" i="15"/>
  <c r="K13" i="15"/>
  <c r="L13" i="15"/>
  <c r="L14" i="15" s="1"/>
  <c r="H13" i="15"/>
  <c r="H12" i="15"/>
  <c r="B13" i="15"/>
  <c r="B12" i="15"/>
  <c r="B5" i="15"/>
  <c r="I8" i="15"/>
  <c r="J8" i="15"/>
  <c r="K8" i="15"/>
  <c r="L8" i="15"/>
  <c r="I7" i="15"/>
  <c r="J7" i="15"/>
  <c r="K7" i="15"/>
  <c r="L7" i="15"/>
  <c r="I6" i="15"/>
  <c r="J6" i="15"/>
  <c r="K6" i="15"/>
  <c r="L6" i="15"/>
  <c r="H8" i="15"/>
  <c r="H7" i="15"/>
  <c r="H6" i="15"/>
  <c r="I5" i="15"/>
  <c r="J5" i="15"/>
  <c r="K5" i="15"/>
  <c r="L5" i="15"/>
  <c r="H5" i="15"/>
  <c r="B8" i="15"/>
  <c r="B7" i="15"/>
  <c r="B6" i="15"/>
  <c r="I2" i="15"/>
  <c r="J2" i="15"/>
  <c r="K2" i="15"/>
  <c r="L2" i="15"/>
  <c r="H2" i="15"/>
  <c r="F8" i="16" l="1"/>
  <c r="F12" i="16" s="1"/>
  <c r="G4" i="16"/>
  <c r="I28" i="15"/>
  <c r="I30" i="15" s="1"/>
  <c r="K28" i="15"/>
  <c r="K30" i="15" s="1"/>
  <c r="J28" i="15"/>
  <c r="J30" i="15" s="1"/>
  <c r="L9" i="15"/>
  <c r="L16" i="15" s="1"/>
  <c r="L32" i="15" s="1"/>
  <c r="J9" i="15"/>
  <c r="I9" i="15"/>
  <c r="H9" i="15"/>
  <c r="H14" i="15"/>
  <c r="K9" i="15"/>
  <c r="J14" i="15"/>
  <c r="I14" i="15"/>
  <c r="K14" i="15"/>
  <c r="H4" i="16" l="1"/>
  <c r="G8" i="16"/>
  <c r="G12" i="16" s="1"/>
  <c r="G18" i="16" s="1"/>
  <c r="H16" i="15"/>
  <c r="H32" i="15" s="1"/>
  <c r="K16" i="15"/>
  <c r="I16" i="15"/>
  <c r="J16" i="15"/>
  <c r="I4" i="16" l="1"/>
  <c r="H8" i="16"/>
  <c r="H12" i="16" s="1"/>
  <c r="H18" i="16" s="1"/>
  <c r="K41" i="15"/>
  <c r="K47" i="15" s="1"/>
  <c r="K49" i="15" s="1"/>
  <c r="K32" i="15"/>
  <c r="J41" i="15"/>
  <c r="J47" i="15" s="1"/>
  <c r="J49" i="15" s="1"/>
  <c r="J32" i="15"/>
  <c r="I41" i="15"/>
  <c r="I47" i="15" s="1"/>
  <c r="I49" i="15" s="1"/>
  <c r="I32" i="15"/>
  <c r="L41" i="15"/>
  <c r="L47" i="15" s="1"/>
  <c r="L49" i="15" s="1"/>
  <c r="J4" i="16" l="1"/>
  <c r="I8" i="16"/>
  <c r="I12" i="16" s="1"/>
  <c r="I18" i="16" s="1"/>
  <c r="D29" i="14"/>
  <c r="E29" i="14"/>
  <c r="F29" i="14"/>
  <c r="G29" i="14"/>
  <c r="H29" i="14"/>
  <c r="I29" i="14"/>
  <c r="J29" i="14"/>
  <c r="K29" i="14"/>
  <c r="L29" i="14"/>
  <c r="M29" i="14"/>
  <c r="N29" i="14"/>
  <c r="C29" i="14"/>
  <c r="J8" i="16" l="1"/>
  <c r="J12" i="16" s="1"/>
  <c r="J18" i="16" s="1"/>
  <c r="K4" i="16"/>
  <c r="K8" i="16" s="1"/>
  <c r="K12" i="16" s="1"/>
  <c r="N15" i="13"/>
  <c r="N16" i="13" s="1"/>
  <c r="N14" i="13"/>
  <c r="O14" i="13" s="1"/>
  <c r="N4" i="13" a="1"/>
  <c r="N4" i="13" s="1"/>
  <c r="L2" i="13"/>
  <c r="G2" i="13"/>
  <c r="O12" i="13"/>
  <c r="O10" i="13"/>
  <c r="O8" i="13"/>
  <c r="O6" i="13"/>
  <c r="O13" i="13"/>
  <c r="I15" i="13"/>
  <c r="I16" i="13"/>
  <c r="I17" i="13"/>
  <c r="I18" i="13"/>
  <c r="J18" i="13" s="1"/>
  <c r="I19" i="13"/>
  <c r="J19" i="13" s="1"/>
  <c r="I14" i="13"/>
  <c r="J15" i="13" s="1"/>
  <c r="D14" i="13"/>
  <c r="E14" i="13" s="1"/>
  <c r="I4" i="13" a="1"/>
  <c r="I4" i="13" s="1"/>
  <c r="B2" i="13"/>
  <c r="J17" i="13"/>
  <c r="J16" i="13"/>
  <c r="E16" i="13"/>
  <c r="E17" i="13"/>
  <c r="E18" i="13"/>
  <c r="E19" i="13"/>
  <c r="D15" i="13"/>
  <c r="D16" i="13"/>
  <c r="D17" i="13"/>
  <c r="D18" i="13"/>
  <c r="D19" i="13"/>
  <c r="E6" i="13"/>
  <c r="E7" i="13"/>
  <c r="E8" i="13"/>
  <c r="E9" i="13"/>
  <c r="E10" i="13"/>
  <c r="E11" i="13"/>
  <c r="E12" i="13"/>
  <c r="E13" i="13"/>
  <c r="E5" i="13"/>
  <c r="D4" i="13" a="1"/>
  <c r="D4" i="13" s="1"/>
  <c r="O52" i="12"/>
  <c r="O6" i="12"/>
  <c r="O7" i="12"/>
  <c r="O8" i="12"/>
  <c r="O9" i="12"/>
  <c r="O11" i="12"/>
  <c r="O12" i="12"/>
  <c r="O13" i="12"/>
  <c r="O14" i="12"/>
  <c r="O15" i="12"/>
  <c r="O17" i="12"/>
  <c r="O18" i="12"/>
  <c r="O19" i="12"/>
  <c r="O21" i="12"/>
  <c r="O22" i="12"/>
  <c r="O23" i="12"/>
  <c r="O24" i="12"/>
  <c r="O25" i="12"/>
  <c r="O27" i="12"/>
  <c r="O28" i="12"/>
  <c r="O29" i="12"/>
  <c r="O30" i="12"/>
  <c r="O31" i="12"/>
  <c r="O33" i="12"/>
  <c r="O34" i="12"/>
  <c r="O35" i="12"/>
  <c r="O36" i="12"/>
  <c r="O38" i="12"/>
  <c r="O39" i="12"/>
  <c r="O40" i="12"/>
  <c r="O43" i="12"/>
  <c r="O44" i="12"/>
  <c r="O45" i="12"/>
  <c r="O48" i="12"/>
  <c r="O49" i="12"/>
  <c r="O50" i="12"/>
  <c r="O51" i="12"/>
  <c r="O5" i="12"/>
  <c r="D40" i="12"/>
  <c r="E40" i="12"/>
  <c r="F40" i="12"/>
  <c r="G40" i="12"/>
  <c r="H40" i="12"/>
  <c r="I40" i="12"/>
  <c r="J40" i="12"/>
  <c r="K40" i="12"/>
  <c r="L40" i="12"/>
  <c r="D39" i="12"/>
  <c r="E39" i="12"/>
  <c r="F39" i="12"/>
  <c r="G39" i="12"/>
  <c r="H39" i="12"/>
  <c r="I39" i="12"/>
  <c r="J39" i="12"/>
  <c r="K39" i="12"/>
  <c r="L39" i="12"/>
  <c r="C40" i="12"/>
  <c r="C39" i="12"/>
  <c r="D38" i="12"/>
  <c r="E38" i="12"/>
  <c r="F38" i="12"/>
  <c r="G38" i="12"/>
  <c r="H38" i="12"/>
  <c r="I38" i="12"/>
  <c r="J38" i="12"/>
  <c r="K38" i="12"/>
  <c r="L38" i="12"/>
  <c r="C38" i="12"/>
  <c r="D31" i="12"/>
  <c r="E31" i="12"/>
  <c r="F31" i="12"/>
  <c r="G31" i="12"/>
  <c r="H31" i="12"/>
  <c r="I31" i="12"/>
  <c r="J31" i="12"/>
  <c r="K31" i="12"/>
  <c r="L31" i="12"/>
  <c r="C31" i="12"/>
  <c r="D30" i="12"/>
  <c r="E30" i="12"/>
  <c r="F30" i="12"/>
  <c r="G30" i="12"/>
  <c r="H30" i="12"/>
  <c r="I30" i="12"/>
  <c r="J30" i="12"/>
  <c r="K30" i="12"/>
  <c r="L30" i="12"/>
  <c r="C30" i="12"/>
  <c r="D29" i="12"/>
  <c r="D35" i="12" s="1"/>
  <c r="E29" i="12"/>
  <c r="E35" i="12" s="1"/>
  <c r="F29" i="12"/>
  <c r="F35" i="12" s="1"/>
  <c r="G29" i="12"/>
  <c r="G35" i="12" s="1"/>
  <c r="H29" i="12"/>
  <c r="H35" i="12" s="1"/>
  <c r="I29" i="12"/>
  <c r="I35" i="12" s="1"/>
  <c r="J29" i="12"/>
  <c r="J35" i="12" s="1"/>
  <c r="K29" i="12"/>
  <c r="K35" i="12" s="1"/>
  <c r="L29" i="12"/>
  <c r="L35" i="12" s="1"/>
  <c r="C29" i="12"/>
  <c r="C35" i="12" s="1"/>
  <c r="D28" i="12"/>
  <c r="D34" i="12" s="1"/>
  <c r="E28" i="12"/>
  <c r="E34" i="12" s="1"/>
  <c r="F28" i="12"/>
  <c r="F34" i="12" s="1"/>
  <c r="G28" i="12"/>
  <c r="G34" i="12" s="1"/>
  <c r="H28" i="12"/>
  <c r="H34" i="12" s="1"/>
  <c r="I28" i="12"/>
  <c r="I34" i="12" s="1"/>
  <c r="J28" i="12"/>
  <c r="J34" i="12" s="1"/>
  <c r="K28" i="12"/>
  <c r="K34" i="12" s="1"/>
  <c r="L28" i="12"/>
  <c r="L34" i="12" s="1"/>
  <c r="C28" i="12"/>
  <c r="C34" i="12" s="1"/>
  <c r="D51" i="12"/>
  <c r="E51" i="12"/>
  <c r="F51" i="12"/>
  <c r="G51" i="12"/>
  <c r="H51" i="12"/>
  <c r="I51" i="12"/>
  <c r="J51" i="12"/>
  <c r="K51" i="12"/>
  <c r="L51" i="12"/>
  <c r="D50" i="12"/>
  <c r="D52" i="12" s="1"/>
  <c r="E50" i="12"/>
  <c r="E52" i="12" s="1"/>
  <c r="F50" i="12"/>
  <c r="F52" i="12" s="1"/>
  <c r="G50" i="12"/>
  <c r="G52" i="12" s="1"/>
  <c r="H50" i="12"/>
  <c r="H52" i="12" s="1"/>
  <c r="I50" i="12"/>
  <c r="I52" i="12" s="1"/>
  <c r="J50" i="12"/>
  <c r="J52" i="12" s="1"/>
  <c r="K50" i="12"/>
  <c r="K52" i="12" s="1"/>
  <c r="L50" i="12"/>
  <c r="L52" i="12" s="1"/>
  <c r="D49" i="12"/>
  <c r="E49" i="12"/>
  <c r="F49" i="12"/>
  <c r="G49" i="12"/>
  <c r="H49" i="12"/>
  <c r="I49" i="12"/>
  <c r="J49" i="12"/>
  <c r="K49" i="12"/>
  <c r="L49" i="12"/>
  <c r="C49" i="12"/>
  <c r="C51" i="12"/>
  <c r="N51" i="12" s="1"/>
  <c r="C50" i="12"/>
  <c r="C52" i="12" s="1"/>
  <c r="D48" i="12"/>
  <c r="E48" i="12"/>
  <c r="F48" i="12"/>
  <c r="G48" i="12"/>
  <c r="H48" i="12"/>
  <c r="I48" i="12"/>
  <c r="J48" i="12"/>
  <c r="K48" i="12"/>
  <c r="L48" i="12"/>
  <c r="C48" i="12"/>
  <c r="C27" i="12"/>
  <c r="C33" i="12" s="1"/>
  <c r="C36" i="12" s="1"/>
  <c r="D27" i="12"/>
  <c r="D33" i="12" s="1"/>
  <c r="E27" i="12"/>
  <c r="E33" i="12" s="1"/>
  <c r="E36" i="12" s="1"/>
  <c r="F27" i="12"/>
  <c r="F33" i="12" s="1"/>
  <c r="G27" i="12"/>
  <c r="G33" i="12" s="1"/>
  <c r="G36" i="12" s="1"/>
  <c r="H27" i="12"/>
  <c r="H33" i="12" s="1"/>
  <c r="I27" i="12"/>
  <c r="I33" i="12" s="1"/>
  <c r="I36" i="12" s="1"/>
  <c r="J27" i="12"/>
  <c r="J33" i="12" s="1"/>
  <c r="K27" i="12"/>
  <c r="K33" i="12" s="1"/>
  <c r="K36" i="12" s="1"/>
  <c r="L27" i="12"/>
  <c r="L33" i="12" s="1"/>
  <c r="C59" i="8" a="1"/>
  <c r="C59" i="8" s="1"/>
  <c r="C62" i="8" s="1"/>
  <c r="D45" i="12"/>
  <c r="E45" i="12"/>
  <c r="F45" i="12"/>
  <c r="G45" i="12"/>
  <c r="H45" i="12"/>
  <c r="I45" i="12"/>
  <c r="J45" i="12"/>
  <c r="K45" i="12"/>
  <c r="L45" i="12"/>
  <c r="D44" i="12"/>
  <c r="E44" i="12"/>
  <c r="F44" i="12"/>
  <c r="G44" i="12"/>
  <c r="H44" i="12"/>
  <c r="I44" i="12"/>
  <c r="J44" i="12"/>
  <c r="K44" i="12"/>
  <c r="L44" i="12"/>
  <c r="D43" i="12"/>
  <c r="E43" i="12"/>
  <c r="F43" i="12"/>
  <c r="G43" i="12"/>
  <c r="H43" i="12"/>
  <c r="I43" i="12"/>
  <c r="J43" i="12"/>
  <c r="K43" i="12"/>
  <c r="L43" i="12"/>
  <c r="D25" i="12"/>
  <c r="E25" i="12"/>
  <c r="F25" i="12"/>
  <c r="G25" i="12"/>
  <c r="H25" i="12"/>
  <c r="I25" i="12"/>
  <c r="J25" i="12"/>
  <c r="K25" i="12"/>
  <c r="L25" i="12"/>
  <c r="C25" i="12"/>
  <c r="E9" i="12"/>
  <c r="F9" i="12"/>
  <c r="G9" i="12"/>
  <c r="H9" i="12"/>
  <c r="I9" i="12"/>
  <c r="J9" i="12"/>
  <c r="K9" i="12"/>
  <c r="L9" i="12"/>
  <c r="D9" i="12"/>
  <c r="N9" i="12" s="1"/>
  <c r="E8" i="12"/>
  <c r="F8" i="12"/>
  <c r="G8" i="12"/>
  <c r="H8" i="12"/>
  <c r="I8" i="12"/>
  <c r="J8" i="12"/>
  <c r="K8" i="12"/>
  <c r="L8" i="12"/>
  <c r="D8" i="12"/>
  <c r="E7" i="12"/>
  <c r="F7" i="12"/>
  <c r="G7" i="12"/>
  <c r="H7" i="12"/>
  <c r="I7" i="12"/>
  <c r="J7" i="12"/>
  <c r="K7" i="12"/>
  <c r="L7" i="12"/>
  <c r="D7" i="12"/>
  <c r="E6" i="12"/>
  <c r="F6" i="12"/>
  <c r="G6" i="12"/>
  <c r="H6" i="12"/>
  <c r="I6" i="12"/>
  <c r="J6" i="12"/>
  <c r="K6" i="12"/>
  <c r="L6" i="12"/>
  <c r="D6" i="12"/>
  <c r="D23" i="12"/>
  <c r="E23" i="12"/>
  <c r="F23" i="12"/>
  <c r="G23" i="12"/>
  <c r="H23" i="12"/>
  <c r="I23" i="12"/>
  <c r="J23" i="12"/>
  <c r="K23" i="12"/>
  <c r="L23" i="12"/>
  <c r="C23" i="12"/>
  <c r="D22" i="12"/>
  <c r="E22" i="12"/>
  <c r="F22" i="12"/>
  <c r="G22" i="12"/>
  <c r="H22" i="12"/>
  <c r="I22" i="12"/>
  <c r="J22" i="12"/>
  <c r="K22" i="12"/>
  <c r="L22" i="12"/>
  <c r="C22" i="12"/>
  <c r="D21" i="12"/>
  <c r="E21" i="12"/>
  <c r="F21" i="12"/>
  <c r="G21" i="12"/>
  <c r="H21" i="12"/>
  <c r="I21" i="12"/>
  <c r="J21" i="12"/>
  <c r="K21" i="12"/>
  <c r="L21" i="12"/>
  <c r="C21" i="12"/>
  <c r="D18" i="12"/>
  <c r="E18" i="12"/>
  <c r="F18" i="12"/>
  <c r="G18" i="12"/>
  <c r="H18" i="12"/>
  <c r="I18" i="12"/>
  <c r="J18" i="12"/>
  <c r="K18" i="12"/>
  <c r="L18" i="12"/>
  <c r="D17" i="12"/>
  <c r="E17" i="12"/>
  <c r="F17" i="12"/>
  <c r="G17" i="12"/>
  <c r="H17" i="12"/>
  <c r="I17" i="12"/>
  <c r="J17" i="12"/>
  <c r="K17" i="12"/>
  <c r="L17" i="12"/>
  <c r="C18" i="12"/>
  <c r="N18" i="12" s="1"/>
  <c r="C17" i="12"/>
  <c r="D13" i="12"/>
  <c r="D19" i="12" s="1"/>
  <c r="E13" i="12"/>
  <c r="E19" i="12" s="1"/>
  <c r="F13" i="12"/>
  <c r="F19" i="12" s="1"/>
  <c r="G13" i="12"/>
  <c r="G19" i="12" s="1"/>
  <c r="H13" i="12"/>
  <c r="H19" i="12" s="1"/>
  <c r="I13" i="12"/>
  <c r="I19" i="12" s="1"/>
  <c r="J13" i="12"/>
  <c r="J19" i="12" s="1"/>
  <c r="K13" i="12"/>
  <c r="K19" i="12" s="1"/>
  <c r="L13" i="12"/>
  <c r="L19" i="12" s="1"/>
  <c r="C13" i="12"/>
  <c r="C19" i="12" s="1"/>
  <c r="D15" i="12"/>
  <c r="E15" i="12"/>
  <c r="F15" i="12"/>
  <c r="G15" i="12"/>
  <c r="H15" i="12"/>
  <c r="I15" i="12"/>
  <c r="J15" i="12"/>
  <c r="K15" i="12"/>
  <c r="L15" i="12"/>
  <c r="D14" i="12"/>
  <c r="E14" i="12"/>
  <c r="F14" i="12"/>
  <c r="G14" i="12"/>
  <c r="H14" i="12"/>
  <c r="I14" i="12"/>
  <c r="J14" i="12"/>
  <c r="K14" i="12"/>
  <c r="L14" i="12"/>
  <c r="D12" i="12"/>
  <c r="E12" i="12"/>
  <c r="F12" i="12"/>
  <c r="G12" i="12"/>
  <c r="H12" i="12"/>
  <c r="I12" i="12"/>
  <c r="J12" i="12"/>
  <c r="K12" i="12"/>
  <c r="L12" i="12"/>
  <c r="D11" i="12"/>
  <c r="E11" i="12"/>
  <c r="F11" i="12"/>
  <c r="G11" i="12"/>
  <c r="H11" i="12"/>
  <c r="I11" i="12"/>
  <c r="J11" i="12"/>
  <c r="K11" i="12"/>
  <c r="L11" i="12"/>
  <c r="C15" i="12"/>
  <c r="C14" i="12"/>
  <c r="C12" i="12"/>
  <c r="C11" i="12"/>
  <c r="D5" i="12"/>
  <c r="N5" i="12" s="1"/>
  <c r="E5" i="12"/>
  <c r="F5" i="12"/>
  <c r="G5" i="12"/>
  <c r="H5" i="12"/>
  <c r="I5" i="12"/>
  <c r="J5" i="12"/>
  <c r="K5" i="12"/>
  <c r="L5" i="12"/>
  <c r="C5" i="12"/>
  <c r="B2" i="12"/>
  <c r="L3" i="12"/>
  <c r="K3" i="12"/>
  <c r="J3" i="12"/>
  <c r="I3" i="12"/>
  <c r="H3" i="12"/>
  <c r="G3" i="12"/>
  <c r="F3" i="12"/>
  <c r="E3" i="12"/>
  <c r="D3" i="12"/>
  <c r="C3" i="12"/>
  <c r="D100" i="8"/>
  <c r="E100" i="8"/>
  <c r="F100" i="8"/>
  <c r="G100" i="8"/>
  <c r="H100" i="8"/>
  <c r="I100" i="8"/>
  <c r="J100" i="8"/>
  <c r="K100" i="8"/>
  <c r="L100" i="8"/>
  <c r="M100" i="8"/>
  <c r="D98" i="8"/>
  <c r="F98" i="8"/>
  <c r="G98" i="8"/>
  <c r="H98" i="8"/>
  <c r="I98" i="8"/>
  <c r="J98" i="8"/>
  <c r="K98" i="8"/>
  <c r="L98" i="8"/>
  <c r="M98" i="8"/>
  <c r="C98" i="8"/>
  <c r="C100" i="8" s="1"/>
  <c r="D90" i="8" a="1"/>
  <c r="D90" i="8" s="1"/>
  <c r="E90" i="8" a="1"/>
  <c r="E90" i="8" s="1"/>
  <c r="F90" i="8" a="1"/>
  <c r="F90" i="8" s="1"/>
  <c r="G90" i="8" a="1"/>
  <c r="G90" i="8" s="1"/>
  <c r="H90" i="8" a="1"/>
  <c r="H90" i="8" s="1"/>
  <c r="I90" i="8" a="1"/>
  <c r="I90" i="8" s="1"/>
  <c r="J90" i="8" a="1"/>
  <c r="J90" i="8" s="1"/>
  <c r="K90" i="8" a="1"/>
  <c r="K90" i="8" s="1"/>
  <c r="L90" i="8" a="1"/>
  <c r="L90" i="8" s="1"/>
  <c r="M90" i="8" a="1"/>
  <c r="M90" i="8" s="1"/>
  <c r="C90" i="8" a="1"/>
  <c r="C90" i="8" s="1"/>
  <c r="F87" i="8"/>
  <c r="J87" i="8"/>
  <c r="C87" i="8"/>
  <c r="D80" i="8" a="1"/>
  <c r="D80" i="8" s="1"/>
  <c r="D87" i="8" s="1"/>
  <c r="E80" i="8" a="1"/>
  <c r="E80" i="8" s="1"/>
  <c r="E87" i="8" s="1"/>
  <c r="F80" i="8" a="1"/>
  <c r="F80" i="8" s="1"/>
  <c r="G80" i="8" a="1"/>
  <c r="G80" i="8" s="1"/>
  <c r="G87" i="8" s="1"/>
  <c r="H80" i="8" a="1"/>
  <c r="H80" i="8" s="1"/>
  <c r="H87" i="8" s="1"/>
  <c r="I80" i="8" a="1"/>
  <c r="I80" i="8" s="1"/>
  <c r="I87" i="8" s="1"/>
  <c r="J80" i="8" a="1"/>
  <c r="J80" i="8" s="1"/>
  <c r="K80" i="8" a="1"/>
  <c r="K80" i="8" s="1"/>
  <c r="K87" i="8" s="1"/>
  <c r="L80" i="8" a="1"/>
  <c r="L80" i="8" s="1"/>
  <c r="L87" i="8" s="1"/>
  <c r="M80" i="8" a="1"/>
  <c r="M80" i="8" s="1"/>
  <c r="M87" i="8" s="1"/>
  <c r="C80" i="8" a="1"/>
  <c r="C80" i="8" s="1"/>
  <c r="D77" i="8"/>
  <c r="L77" i="8"/>
  <c r="D70" i="8" a="1"/>
  <c r="D70" i="8" s="1"/>
  <c r="E70" i="8" a="1"/>
  <c r="E70" i="8" s="1"/>
  <c r="E77" i="8" s="1"/>
  <c r="F70" i="8" a="1"/>
  <c r="F70" i="8" s="1"/>
  <c r="F77" i="8" s="1"/>
  <c r="G70" i="8" a="1"/>
  <c r="G70" i="8" s="1"/>
  <c r="G77" i="8" s="1"/>
  <c r="H70" i="8" a="1"/>
  <c r="H70" i="8" s="1"/>
  <c r="H77" i="8" s="1"/>
  <c r="I70" i="8" a="1"/>
  <c r="I70" i="8" s="1"/>
  <c r="I77" i="8" s="1"/>
  <c r="J70" i="8" a="1"/>
  <c r="J70" i="8" s="1"/>
  <c r="J77" i="8" s="1"/>
  <c r="K70" i="8" a="1"/>
  <c r="K70" i="8" s="1"/>
  <c r="K77" i="8" s="1"/>
  <c r="L70" i="8" a="1"/>
  <c r="L70" i="8" s="1"/>
  <c r="M70" i="8" a="1"/>
  <c r="M70" i="8" s="1"/>
  <c r="M77" i="8" s="1"/>
  <c r="C70" i="8" a="1"/>
  <c r="C70" i="8" s="1"/>
  <c r="C77" i="8" s="1"/>
  <c r="D57" i="8"/>
  <c r="D64" i="8" s="1"/>
  <c r="D56" i="8"/>
  <c r="E56" i="8"/>
  <c r="F56" i="8"/>
  <c r="G56" i="8"/>
  <c r="H56" i="8"/>
  <c r="I56" i="8"/>
  <c r="J56" i="8"/>
  <c r="K56" i="8"/>
  <c r="L56" i="8"/>
  <c r="M56" i="8"/>
  <c r="D53" i="8" a="1"/>
  <c r="D53" i="8" s="1"/>
  <c r="E53" i="8" a="1"/>
  <c r="E53" i="8" s="1"/>
  <c r="F53" i="8" a="1"/>
  <c r="F53" i="8" s="1"/>
  <c r="F57" i="8" s="1"/>
  <c r="G53" i="8" a="1"/>
  <c r="G53" i="8" s="1"/>
  <c r="G57" i="8" s="1"/>
  <c r="H53" i="8" a="1"/>
  <c r="H53" i="8" s="1"/>
  <c r="H57" i="8" s="1"/>
  <c r="H64" i="8" s="1"/>
  <c r="H66" i="8" s="1"/>
  <c r="I53" i="8" a="1"/>
  <c r="I53" i="8" s="1"/>
  <c r="J53" i="8" a="1"/>
  <c r="J53" i="8" s="1"/>
  <c r="J57" i="8" s="1"/>
  <c r="K53" i="8" a="1"/>
  <c r="K53" i="8" s="1"/>
  <c r="K57" i="8" s="1"/>
  <c r="L53" i="8" a="1"/>
  <c r="L53" i="8" s="1"/>
  <c r="L57" i="8" s="1"/>
  <c r="L64" i="8" s="1"/>
  <c r="L66" i="8" s="1"/>
  <c r="M53" i="8" a="1"/>
  <c r="M53" i="8" s="1"/>
  <c r="C56" i="8"/>
  <c r="C53" i="8" a="1"/>
  <c r="C53" i="8" s="1"/>
  <c r="C57" i="8" s="1"/>
  <c r="D59" i="8" a="1"/>
  <c r="D59" i="8" s="1"/>
  <c r="D62" i="8" s="1"/>
  <c r="E59" i="8" a="1"/>
  <c r="E59" i="8" s="1"/>
  <c r="E62" i="8" s="1"/>
  <c r="F59" i="8" a="1"/>
  <c r="F59" i="8" s="1"/>
  <c r="F62" i="8" s="1"/>
  <c r="G59" i="8" a="1"/>
  <c r="G59" i="8" s="1"/>
  <c r="G62" i="8" s="1"/>
  <c r="H59" i="8" a="1"/>
  <c r="H59" i="8" s="1"/>
  <c r="H62" i="8" s="1"/>
  <c r="I59" i="8" a="1"/>
  <c r="I59" i="8" s="1"/>
  <c r="I62" i="8" s="1"/>
  <c r="J59" i="8" a="1"/>
  <c r="J59" i="8" s="1"/>
  <c r="J62" i="8" s="1"/>
  <c r="K59" i="8" a="1"/>
  <c r="K59" i="8" s="1"/>
  <c r="K62" i="8" s="1"/>
  <c r="L59" i="8" a="1"/>
  <c r="L59" i="8" s="1"/>
  <c r="L62" i="8" s="1"/>
  <c r="M59" i="8" a="1"/>
  <c r="M59" i="8" s="1"/>
  <c r="M62" i="8" s="1"/>
  <c r="D48" i="8" a="1"/>
  <c r="D48" i="8" s="1"/>
  <c r="E48" i="8" a="1"/>
  <c r="E48" i="8" s="1"/>
  <c r="F48" i="8" a="1"/>
  <c r="F48" i="8" s="1"/>
  <c r="G48" i="8" a="1"/>
  <c r="G48" i="8" s="1"/>
  <c r="H48" i="8" a="1"/>
  <c r="H48" i="8" s="1"/>
  <c r="I48" i="8" a="1"/>
  <c r="I48" i="8" s="1"/>
  <c r="J48" i="8" a="1"/>
  <c r="J48" i="8" s="1"/>
  <c r="K48" i="8" a="1"/>
  <c r="K48" i="8" s="1"/>
  <c r="L48" i="8" a="1"/>
  <c r="L48" i="8" s="1"/>
  <c r="M48" i="8" a="1"/>
  <c r="M48" i="8" s="1"/>
  <c r="C48" i="8" a="1"/>
  <c r="C48" i="8" s="1"/>
  <c r="D47" i="8"/>
  <c r="E47" i="8"/>
  <c r="F47" i="8"/>
  <c r="G47" i="8"/>
  <c r="H47" i="8"/>
  <c r="I47" i="8"/>
  <c r="J47" i="8"/>
  <c r="K47" i="8"/>
  <c r="L47" i="8"/>
  <c r="M47" i="8"/>
  <c r="C47" i="8"/>
  <c r="D36" i="8"/>
  <c r="D41" i="8" s="1"/>
  <c r="E36" i="8"/>
  <c r="E41" i="8" s="1"/>
  <c r="F36" i="8"/>
  <c r="F41" i="8" s="1"/>
  <c r="G36" i="8"/>
  <c r="G41" i="8" s="1"/>
  <c r="H36" i="8"/>
  <c r="H41" i="8" s="1"/>
  <c r="I36" i="8"/>
  <c r="I41" i="8" s="1"/>
  <c r="J36" i="8"/>
  <c r="J41" i="8" s="1"/>
  <c r="K36" i="8"/>
  <c r="K41" i="8" s="1"/>
  <c r="L36" i="8"/>
  <c r="L41" i="8" s="1"/>
  <c r="M36" i="8"/>
  <c r="M41" i="8" s="1"/>
  <c r="C36" i="8"/>
  <c r="C41" i="8" s="1"/>
  <c r="M30" i="8"/>
  <c r="D30" i="8"/>
  <c r="E30" i="8"/>
  <c r="F30" i="8"/>
  <c r="G30" i="8"/>
  <c r="H30" i="8"/>
  <c r="I30" i="8"/>
  <c r="J30" i="8"/>
  <c r="K30" i="8"/>
  <c r="L30" i="8"/>
  <c r="C30" i="8"/>
  <c r="M24" i="8"/>
  <c r="D24" i="8"/>
  <c r="E24" i="8"/>
  <c r="F24" i="8"/>
  <c r="G24" i="8"/>
  <c r="H24" i="8"/>
  <c r="I24" i="8"/>
  <c r="J24" i="8"/>
  <c r="K24" i="8"/>
  <c r="L24" i="8"/>
  <c r="C24" i="8"/>
  <c r="M21" i="8"/>
  <c r="D21" i="8"/>
  <c r="E21" i="8"/>
  <c r="F21" i="8"/>
  <c r="G21" i="8"/>
  <c r="H21" i="8"/>
  <c r="I21" i="8"/>
  <c r="J21" i="8"/>
  <c r="K21" i="8"/>
  <c r="L21" i="8"/>
  <c r="C21" i="8"/>
  <c r="C9" i="8"/>
  <c r="C15" i="8"/>
  <c r="D15" i="8"/>
  <c r="E15" i="8"/>
  <c r="F15" i="8"/>
  <c r="G15" i="8"/>
  <c r="H15" i="8"/>
  <c r="I15" i="8"/>
  <c r="J15" i="8"/>
  <c r="K15" i="8"/>
  <c r="L15" i="8"/>
  <c r="M9" i="8"/>
  <c r="D9" i="8"/>
  <c r="E9" i="8"/>
  <c r="F9" i="8"/>
  <c r="G9" i="8"/>
  <c r="H9" i="8"/>
  <c r="I9" i="8"/>
  <c r="J9" i="8"/>
  <c r="K9" i="8"/>
  <c r="L9" i="8"/>
  <c r="M6" i="8"/>
  <c r="M16" i="8" s="1"/>
  <c r="D6" i="8"/>
  <c r="E6" i="8"/>
  <c r="F6" i="8"/>
  <c r="G6" i="8"/>
  <c r="H6" i="8"/>
  <c r="I6" i="8"/>
  <c r="J6" i="8"/>
  <c r="K6" i="8"/>
  <c r="L6" i="8"/>
  <c r="C6" i="8"/>
  <c r="D3" i="8"/>
  <c r="E3" i="8"/>
  <c r="F3" i="8"/>
  <c r="G3" i="8"/>
  <c r="H3" i="8"/>
  <c r="I3" i="8"/>
  <c r="J3" i="8"/>
  <c r="K3" i="8"/>
  <c r="L3" i="8"/>
  <c r="C3" i="8"/>
  <c r="B2" i="8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F24" i="2" s="1"/>
  <c r="E5" i="2"/>
  <c r="F4" i="2"/>
  <c r="G4" i="2"/>
  <c r="H4" i="2"/>
  <c r="I4" i="2"/>
  <c r="I5" i="2"/>
  <c r="J4" i="2"/>
  <c r="J5" i="2"/>
  <c r="K4" i="2"/>
  <c r="C5" i="2"/>
  <c r="C23" i="2" s="1"/>
  <c r="D5" i="2"/>
  <c r="F5" i="2"/>
  <c r="G5" i="2"/>
  <c r="H5" i="2"/>
  <c r="H23" i="2" s="1"/>
  <c r="K5" i="2"/>
  <c r="C6" i="2"/>
  <c r="D6" i="2"/>
  <c r="E6" i="2"/>
  <c r="F6" i="2"/>
  <c r="G6" i="2"/>
  <c r="H6" i="2"/>
  <c r="I6" i="2"/>
  <c r="J6" i="2"/>
  <c r="K6" i="2"/>
  <c r="C7" i="2"/>
  <c r="D7" i="2"/>
  <c r="D16" i="2" s="1"/>
  <c r="E7" i="2"/>
  <c r="F7" i="2"/>
  <c r="G7" i="2"/>
  <c r="H7" i="2"/>
  <c r="H16" i="2" s="1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F16" i="2" s="1"/>
  <c r="G13" i="2"/>
  <c r="H13" i="2"/>
  <c r="I13" i="2"/>
  <c r="J13" i="2"/>
  <c r="J16" i="2" s="1"/>
  <c r="K13" i="2"/>
  <c r="K16" i="2" s="1"/>
  <c r="C14" i="2"/>
  <c r="D14" i="2"/>
  <c r="E14" i="2"/>
  <c r="F14" i="2"/>
  <c r="G14" i="2"/>
  <c r="H14" i="2"/>
  <c r="I14" i="2"/>
  <c r="J14" i="2"/>
  <c r="K14" i="2"/>
  <c r="B14" i="2"/>
  <c r="B5" i="2"/>
  <c r="B4" i="2"/>
  <c r="B23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F14" i="3" s="1"/>
  <c r="G4" i="3"/>
  <c r="H4" i="3"/>
  <c r="I4" i="3"/>
  <c r="I14" i="3" s="1"/>
  <c r="J4" i="3"/>
  <c r="J14" i="3" s="1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L10" i="1" s="1"/>
  <c r="J10" i="3"/>
  <c r="K10" i="3"/>
  <c r="C11" i="3"/>
  <c r="D11" i="3"/>
  <c r="E11" i="3"/>
  <c r="F11" i="3"/>
  <c r="G11" i="3"/>
  <c r="H11" i="3"/>
  <c r="L11" i="1" s="1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C20" i="2" s="1"/>
  <c r="D4" i="1"/>
  <c r="E4" i="1"/>
  <c r="F4" i="1"/>
  <c r="F20" i="2" s="1"/>
  <c r="G4" i="1"/>
  <c r="G6" i="1" s="1"/>
  <c r="G19" i="1" s="1"/>
  <c r="H4" i="1"/>
  <c r="I4" i="1"/>
  <c r="J4" i="1"/>
  <c r="J6" i="1" s="1"/>
  <c r="J19" i="1" s="1"/>
  <c r="K4" i="1"/>
  <c r="H23" i="1" s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C13" i="1" s="1"/>
  <c r="C14" i="1" s="1"/>
  <c r="D12" i="1"/>
  <c r="E12" i="1"/>
  <c r="E23" i="2" s="1"/>
  <c r="F12" i="1"/>
  <c r="F13" i="1" s="1"/>
  <c r="F14" i="1" s="1"/>
  <c r="G12" i="1"/>
  <c r="G13" i="1" s="1"/>
  <c r="G14" i="1" s="1"/>
  <c r="H12" i="1"/>
  <c r="H13" i="1" s="1"/>
  <c r="I12" i="1"/>
  <c r="I13" i="1" s="1"/>
  <c r="J12" i="1"/>
  <c r="J13" i="1" s="1"/>
  <c r="J14" i="1" s="1"/>
  <c r="K12" i="1"/>
  <c r="K13" i="1" s="1"/>
  <c r="K14" i="1" s="1"/>
  <c r="C15" i="1"/>
  <c r="D15" i="1"/>
  <c r="E15" i="1"/>
  <c r="F15" i="1"/>
  <c r="G15" i="1"/>
  <c r="H15" i="1"/>
  <c r="I15" i="1"/>
  <c r="J15" i="1"/>
  <c r="K15" i="1"/>
  <c r="B15" i="1"/>
  <c r="B7" i="1"/>
  <c r="B4" i="1"/>
  <c r="B20" i="2" s="1"/>
  <c r="A1" i="1"/>
  <c r="A1" i="2" s="1"/>
  <c r="A1" i="4" s="1"/>
  <c r="E1" i="6"/>
  <c r="H1" i="1" s="1"/>
  <c r="K23" i="2"/>
  <c r="C16" i="2"/>
  <c r="E6" i="1"/>
  <c r="E19" i="1" s="1"/>
  <c r="D23" i="2"/>
  <c r="I6" i="1"/>
  <c r="I19" i="1" s="1"/>
  <c r="D6" i="1"/>
  <c r="D19" i="1" s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I21" i="2"/>
  <c r="H21" i="2"/>
  <c r="G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H14" i="3"/>
  <c r="B12" i="3"/>
  <c r="B11" i="3"/>
  <c r="B10" i="3"/>
  <c r="B9" i="3"/>
  <c r="B8" i="3"/>
  <c r="B7" i="3"/>
  <c r="B4" i="3"/>
  <c r="B14" i="3" s="1"/>
  <c r="B3" i="3"/>
  <c r="L15" i="1"/>
  <c r="B12" i="1"/>
  <c r="B13" i="1" s="1"/>
  <c r="B11" i="1"/>
  <c r="B10" i="1"/>
  <c r="B9" i="1"/>
  <c r="B8" i="1"/>
  <c r="B3" i="1"/>
  <c r="E14" i="3"/>
  <c r="G14" i="3"/>
  <c r="K20" i="2"/>
  <c r="D20" i="2"/>
  <c r="E20" i="2"/>
  <c r="L12" i="1"/>
  <c r="L13" i="1" s="1"/>
  <c r="L14" i="1" s="1"/>
  <c r="L25" i="1" s="1"/>
  <c r="L6" i="1"/>
  <c r="L4" i="1"/>
  <c r="L23" i="1" s="1"/>
  <c r="L5" i="1"/>
  <c r="K18" i="16" l="1"/>
  <c r="E33" i="16" s="1"/>
  <c r="E25" i="16"/>
  <c r="E29" i="16" s="1"/>
  <c r="E34" i="16" s="1"/>
  <c r="O16" i="13"/>
  <c r="N17" i="13"/>
  <c r="O17" i="13" s="1"/>
  <c r="O15" i="13"/>
  <c r="O7" i="13"/>
  <c r="O11" i="13"/>
  <c r="O5" i="13"/>
  <c r="O9" i="13"/>
  <c r="E15" i="13"/>
  <c r="J13" i="13"/>
  <c r="J6" i="13"/>
  <c r="J10" i="13"/>
  <c r="J8" i="13"/>
  <c r="J12" i="13"/>
  <c r="J7" i="13"/>
  <c r="J11" i="13"/>
  <c r="J14" i="13"/>
  <c r="J5" i="13"/>
  <c r="J9" i="13"/>
  <c r="N11" i="12"/>
  <c r="N19" i="12"/>
  <c r="N22" i="12"/>
  <c r="N6" i="12"/>
  <c r="N49" i="12"/>
  <c r="N34" i="12"/>
  <c r="N39" i="12"/>
  <c r="N12" i="12"/>
  <c r="N15" i="12"/>
  <c r="N21" i="12"/>
  <c r="N7" i="12"/>
  <c r="N8" i="12"/>
  <c r="N25" i="12"/>
  <c r="N48" i="12"/>
  <c r="N52" i="12"/>
  <c r="N30" i="12"/>
  <c r="N38" i="12"/>
  <c r="N40" i="12"/>
  <c r="N14" i="12"/>
  <c r="N17" i="12"/>
  <c r="N23" i="12"/>
  <c r="N31" i="12"/>
  <c r="N35" i="12"/>
  <c r="L36" i="12"/>
  <c r="H36" i="12"/>
  <c r="N29" i="12"/>
  <c r="N50" i="12"/>
  <c r="N33" i="12"/>
  <c r="N28" i="12"/>
  <c r="N13" i="12"/>
  <c r="N27" i="12"/>
  <c r="J36" i="12"/>
  <c r="F36" i="12"/>
  <c r="D36" i="12"/>
  <c r="C24" i="12"/>
  <c r="E24" i="12"/>
  <c r="J24" i="12"/>
  <c r="F24" i="12"/>
  <c r="C64" i="8"/>
  <c r="C43" i="12"/>
  <c r="N43" i="12" s="1"/>
  <c r="C44" i="12"/>
  <c r="N44" i="12" s="1"/>
  <c r="L24" i="12"/>
  <c r="H24" i="12"/>
  <c r="D24" i="12"/>
  <c r="K24" i="12"/>
  <c r="G24" i="12"/>
  <c r="I24" i="12"/>
  <c r="G64" i="8"/>
  <c r="G66" i="8" s="1"/>
  <c r="J64" i="8"/>
  <c r="J66" i="8" s="1"/>
  <c r="F64" i="8"/>
  <c r="F66" i="8" s="1"/>
  <c r="K64" i="8"/>
  <c r="K66" i="8" s="1"/>
  <c r="D66" i="8"/>
  <c r="M57" i="8"/>
  <c r="M64" i="8" s="1"/>
  <c r="M66" i="8" s="1"/>
  <c r="I57" i="8"/>
  <c r="I64" i="8" s="1"/>
  <c r="I66" i="8" s="1"/>
  <c r="E57" i="8"/>
  <c r="E64" i="8" s="1"/>
  <c r="E66" i="8" s="1"/>
  <c r="I10" i="8"/>
  <c r="E10" i="8"/>
  <c r="C25" i="8"/>
  <c r="I25" i="8"/>
  <c r="E25" i="8"/>
  <c r="J25" i="8"/>
  <c r="I22" i="8"/>
  <c r="E22" i="8"/>
  <c r="K7" i="8"/>
  <c r="G7" i="8"/>
  <c r="M22" i="8"/>
  <c r="J22" i="8"/>
  <c r="F22" i="8"/>
  <c r="L25" i="8"/>
  <c r="H25" i="8"/>
  <c r="J16" i="8"/>
  <c r="C22" i="8"/>
  <c r="K25" i="8"/>
  <c r="G25" i="8"/>
  <c r="M25" i="8"/>
  <c r="K22" i="8"/>
  <c r="G22" i="8"/>
  <c r="F16" i="8"/>
  <c r="L12" i="8"/>
  <c r="H12" i="8"/>
  <c r="D12" i="8"/>
  <c r="J10" i="8"/>
  <c r="F10" i="8"/>
  <c r="F25" i="8"/>
  <c r="M10" i="8"/>
  <c r="H22" i="8"/>
  <c r="J12" i="8"/>
  <c r="F12" i="8"/>
  <c r="L10" i="8"/>
  <c r="H10" i="8"/>
  <c r="D10" i="8"/>
  <c r="L16" i="8"/>
  <c r="H16" i="8"/>
  <c r="D16" i="8"/>
  <c r="D25" i="8"/>
  <c r="L22" i="8"/>
  <c r="D22" i="8"/>
  <c r="I16" i="8"/>
  <c r="K10" i="8"/>
  <c r="G10" i="8"/>
  <c r="K16" i="8"/>
  <c r="G16" i="8"/>
  <c r="E7" i="8"/>
  <c r="I12" i="8"/>
  <c r="E12" i="8"/>
  <c r="M12" i="8"/>
  <c r="C16" i="8"/>
  <c r="E16" i="8"/>
  <c r="C10" i="8"/>
  <c r="K12" i="8"/>
  <c r="G12" i="8"/>
  <c r="C12" i="8"/>
  <c r="M7" i="8"/>
  <c r="I7" i="8"/>
  <c r="D7" i="8"/>
  <c r="L7" i="8"/>
  <c r="H7" i="8"/>
  <c r="J7" i="8"/>
  <c r="F7" i="8"/>
  <c r="A1" i="3"/>
  <c r="N11" i="1"/>
  <c r="M11" i="1"/>
  <c r="I23" i="2"/>
  <c r="H24" i="2"/>
  <c r="J23" i="1"/>
  <c r="L19" i="1"/>
  <c r="L24" i="1" s="1"/>
  <c r="G20" i="2"/>
  <c r="B16" i="2"/>
  <c r="K6" i="1"/>
  <c r="K19" i="1" s="1"/>
  <c r="G16" i="2"/>
  <c r="G24" i="2"/>
  <c r="E24" i="2"/>
  <c r="D13" i="1"/>
  <c r="E13" i="1" s="1"/>
  <c r="E1" i="2"/>
  <c r="I14" i="1"/>
  <c r="K25" i="1" s="1"/>
  <c r="M25" i="1" s="1"/>
  <c r="M14" i="1" s="1"/>
  <c r="C24" i="2"/>
  <c r="C6" i="1"/>
  <c r="C19" i="1" s="1"/>
  <c r="E14" i="1"/>
  <c r="K24" i="1"/>
  <c r="M24" i="1" s="1"/>
  <c r="L9" i="1"/>
  <c r="N9" i="1" s="1"/>
  <c r="L8" i="1"/>
  <c r="L7" i="1"/>
  <c r="J23" i="2"/>
  <c r="J24" i="2"/>
  <c r="D24" i="2"/>
  <c r="H14" i="1"/>
  <c r="I23" i="1"/>
  <c r="N23" i="1" s="1"/>
  <c r="N4" i="1" s="1"/>
  <c r="J20" i="2"/>
  <c r="F21" i="2"/>
  <c r="J21" i="2"/>
  <c r="G23" i="2"/>
  <c r="F23" i="2"/>
  <c r="E1" i="3"/>
  <c r="B14" i="1"/>
  <c r="D14" i="1"/>
  <c r="I24" i="1"/>
  <c r="I16" i="2"/>
  <c r="K24" i="2"/>
  <c r="I24" i="2"/>
  <c r="J25" i="1"/>
  <c r="N8" i="1"/>
  <c r="M8" i="1"/>
  <c r="H25" i="1"/>
  <c r="I25" i="1"/>
  <c r="I20" i="2"/>
  <c r="H20" i="2"/>
  <c r="K23" i="1"/>
  <c r="M23" i="1" s="1"/>
  <c r="M4" i="1" s="1"/>
  <c r="H6" i="1"/>
  <c r="H19" i="1" s="1"/>
  <c r="J24" i="1" s="1"/>
  <c r="F6" i="1"/>
  <c r="F19" i="1" s="1"/>
  <c r="E1" i="4"/>
  <c r="E35" i="16" l="1"/>
  <c r="N18" i="13"/>
  <c r="O18" i="13" s="1"/>
  <c r="N36" i="12"/>
  <c r="N24" i="12"/>
  <c r="C66" i="8"/>
  <c r="C45" i="12"/>
  <c r="N45" i="12" s="1"/>
  <c r="M18" i="8"/>
  <c r="M13" i="8"/>
  <c r="E18" i="8"/>
  <c r="E13" i="8"/>
  <c r="C18" i="8"/>
  <c r="C13" i="8"/>
  <c r="I18" i="8"/>
  <c r="I13" i="8"/>
  <c r="F18" i="8"/>
  <c r="F13" i="8"/>
  <c r="H18" i="8"/>
  <c r="H13" i="8"/>
  <c r="K18" i="8"/>
  <c r="K13" i="8"/>
  <c r="D18" i="8"/>
  <c r="D13" i="8"/>
  <c r="G18" i="8"/>
  <c r="G13" i="8"/>
  <c r="J18" i="8"/>
  <c r="J13" i="8"/>
  <c r="L18" i="8"/>
  <c r="L13" i="8"/>
  <c r="M9" i="1"/>
  <c r="N25" i="1"/>
  <c r="N14" i="1" s="1"/>
  <c r="H24" i="1"/>
  <c r="N24" i="1" s="1"/>
  <c r="N6" i="1" s="1"/>
  <c r="M6" i="1"/>
  <c r="M10" i="1" s="1"/>
  <c r="M12" i="1" s="1"/>
  <c r="M13" i="1" s="1"/>
  <c r="M15" i="1" s="1"/>
  <c r="N19" i="13" l="1"/>
  <c r="O19" i="13" s="1"/>
  <c r="J19" i="8"/>
  <c r="J27" i="8"/>
  <c r="D19" i="8"/>
  <c r="D27" i="8"/>
  <c r="H19" i="8"/>
  <c r="H27" i="8"/>
  <c r="I19" i="8"/>
  <c r="I27" i="8"/>
  <c r="E19" i="8"/>
  <c r="E27" i="8"/>
  <c r="L19" i="8"/>
  <c r="L27" i="8"/>
  <c r="G19" i="8"/>
  <c r="G27" i="8"/>
  <c r="K19" i="8"/>
  <c r="K27" i="8"/>
  <c r="F19" i="8"/>
  <c r="F27" i="8"/>
  <c r="C19" i="8"/>
  <c r="C27" i="8"/>
  <c r="M19" i="8"/>
  <c r="M27" i="8"/>
  <c r="M33" i="8" s="1"/>
  <c r="N10" i="1"/>
  <c r="N12" i="1" s="1"/>
  <c r="N13" i="1" s="1"/>
  <c r="N15" i="1" s="1"/>
  <c r="N5" i="1"/>
  <c r="M5" i="1"/>
  <c r="C28" i="8" l="1"/>
  <c r="C33" i="8"/>
  <c r="C31" i="8"/>
  <c r="L33" i="8"/>
  <c r="L28" i="8"/>
  <c r="L31" i="8"/>
  <c r="I28" i="8"/>
  <c r="I33" i="8"/>
  <c r="I31" i="8"/>
  <c r="F28" i="8"/>
  <c r="F33" i="8"/>
  <c r="F31" i="8"/>
  <c r="E28" i="8"/>
  <c r="E33" i="8"/>
  <c r="E31" i="8"/>
  <c r="J28" i="8"/>
  <c r="J33" i="8"/>
  <c r="J31" i="8"/>
  <c r="K33" i="8"/>
  <c r="K28" i="8"/>
  <c r="K31" i="8"/>
  <c r="D33" i="8"/>
  <c r="D28" i="8"/>
  <c r="D31" i="8"/>
  <c r="M28" i="8"/>
  <c r="M31" i="8"/>
  <c r="G33" i="8"/>
  <c r="G28" i="8"/>
  <c r="G31" i="8"/>
  <c r="H33" i="8"/>
  <c r="H28" i="8"/>
  <c r="H31" i="8"/>
  <c r="G34" i="8" l="1"/>
  <c r="G38" i="8"/>
  <c r="G43" i="8" s="1"/>
  <c r="G44" i="8" s="1"/>
  <c r="I38" i="8"/>
  <c r="I43" i="8" s="1"/>
  <c r="I44" i="8" s="1"/>
  <c r="I34" i="8"/>
  <c r="L38" i="8"/>
  <c r="L43" i="8" s="1"/>
  <c r="L44" i="8" s="1"/>
  <c r="L34" i="8"/>
  <c r="K34" i="8"/>
  <c r="K38" i="8"/>
  <c r="K43" i="8" s="1"/>
  <c r="K44" i="8" s="1"/>
  <c r="F34" i="8"/>
  <c r="F38" i="8"/>
  <c r="F43" i="8" s="1"/>
  <c r="F44" i="8" s="1"/>
  <c r="M38" i="8"/>
  <c r="M43" i="8" s="1"/>
  <c r="M34" i="8"/>
  <c r="D38" i="8"/>
  <c r="D43" i="8" s="1"/>
  <c r="D44" i="8" s="1"/>
  <c r="D34" i="8"/>
  <c r="E38" i="8"/>
  <c r="E43" i="8" s="1"/>
  <c r="E44" i="8" s="1"/>
  <c r="E34" i="8"/>
  <c r="C34" i="8"/>
  <c r="C38" i="8"/>
  <c r="C43" i="8" s="1"/>
  <c r="C44" i="8" s="1"/>
  <c r="H38" i="8"/>
  <c r="H43" i="8" s="1"/>
  <c r="H44" i="8" s="1"/>
  <c r="H34" i="8"/>
  <c r="J34" i="8"/>
  <c r="J38" i="8"/>
  <c r="J43" i="8" s="1"/>
  <c r="J44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<sst xmlns="http://schemas.openxmlformats.org/spreadsheetml/2006/main" count="686" uniqueCount="377">
  <si>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</si>
  <si>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</si>
  <si>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</si>
  <si>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</si>
  <si>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</si>
  <si>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</si>
  <si>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</si>
  <si>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</si>
  <si>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</si>
  <si>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</si>
  <si>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</si>
  <si>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</si>
  <si>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</si>
  <si>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</si>
  <si>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</si>
  <si>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</si>
  <si>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</si>
  <si>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</si>
  <si>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</si>
  <si>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</si>
  <si>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</si>
  <si>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</si>
  <si>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</si>
  <si>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</si>
  <si>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</si>
  <si>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</si>
  <si>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</si>
  <si>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</si>
  <si>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</si>
  <si>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</si>
  <si>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</si>
  <si>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</si>
  <si>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</si>
  <si>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</si>
  <si>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</si>
  <si>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</si>
  <si>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</si>
  <si>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</si>
  <si>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</si>
  <si>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</si>
  <si>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</si>
  <si>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</si>
  <si>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</si>
  <si>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</si>
  <si>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</si>
  <si>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</si>
  <si>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</si>
  <si>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</si>
  <si>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EPS</t>
  </si>
  <si>
    <t>Price</t>
  </si>
  <si>
    <t>Return on Equity</t>
  </si>
  <si>
    <t>Return on Capital Emp</t>
  </si>
  <si>
    <t>LATEST VERSION</t>
  </si>
  <si>
    <t>CURRENT VERSION</t>
  </si>
  <si>
    <t>RELIANCE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</si>
  <si>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</si>
  <si>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</si>
  <si>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</si>
  <si>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</si>
  <si>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</si>
  <si>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</si>
  <si>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</si>
  <si>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</si>
  <si>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</si>
  <si>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</si>
  <si>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</si>
  <si>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</si>
  <si>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</si>
  <si>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</si>
  <si>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</si>
  <si>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</si>
  <si>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</si>
  <si>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</si>
  <si>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</si>
  <si>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</si>
  <si>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</si>
  <si>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</si>
  <si>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</si>
  <si>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</si>
  <si>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</si>
  <si>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</si>
  <si>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YEARS</t>
  </si>
  <si>
    <t>LTM</t>
  </si>
  <si>
    <t>INCOME STATEMENT</t>
  </si>
  <si>
    <t>#</t>
  </si>
  <si>
    <t>sales growth</t>
  </si>
  <si>
    <t>-</t>
  </si>
  <si>
    <t>cogs</t>
  </si>
  <si>
    <t>cogs%sales</t>
  </si>
  <si>
    <t>Gross profit</t>
  </si>
  <si>
    <t>selling and general expenses</t>
  </si>
  <si>
    <t>s&amp;g exp % sales</t>
  </si>
  <si>
    <t>EBITDA</t>
  </si>
  <si>
    <t>EBITDA%Sales ebitda margin</t>
  </si>
  <si>
    <t>interest</t>
  </si>
  <si>
    <t xml:space="preserve">intt % sales </t>
  </si>
  <si>
    <t>depreciation</t>
  </si>
  <si>
    <t>depreciation % sales</t>
  </si>
  <si>
    <t>gross margin gp/sales</t>
  </si>
  <si>
    <t>earning before tax ebt</t>
  </si>
  <si>
    <t xml:space="preserve">ebt%sales </t>
  </si>
  <si>
    <t>tax</t>
  </si>
  <si>
    <t>effective tax rate (tax / ebt)</t>
  </si>
  <si>
    <t>net profit tax-ebt</t>
  </si>
  <si>
    <t>net margin net profit / sales</t>
  </si>
  <si>
    <t xml:space="preserve">no. of equity share </t>
  </si>
  <si>
    <t xml:space="preserve">dividend per share </t>
  </si>
  <si>
    <t xml:space="preserve">dividend pay out ratio </t>
  </si>
  <si>
    <t xml:space="preserve">Retained earning </t>
  </si>
  <si>
    <t>Balance sheet</t>
  </si>
  <si>
    <t>Total Liabilities</t>
  </si>
  <si>
    <t>Fixed Assets Net Block</t>
  </si>
  <si>
    <t>Capital Work In Progress</t>
  </si>
  <si>
    <t>Total Non Current Assets</t>
  </si>
  <si>
    <t xml:space="preserve">Cash and Bank </t>
  </si>
  <si>
    <t xml:space="preserve">Total Current Assets </t>
  </si>
  <si>
    <t>Total ASSETS</t>
  </si>
  <si>
    <t>CHECK</t>
  </si>
  <si>
    <t>Cash from Operating Activity -</t>
  </si>
  <si>
    <t>Profit from operations</t>
  </si>
  <si>
    <t>Payables</t>
  </si>
  <si>
    <t>Working capital changes</t>
  </si>
  <si>
    <t>Direct taxes</t>
  </si>
  <si>
    <t>Other operating items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</si>
  <si>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</si>
  <si>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</si>
  <si>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</si>
  <si>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</si>
  <si>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</si>
  <si>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</si>
  <si>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</si>
  <si>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Other investing items</t>
  </si>
  <si>
    <t>Cash from Financing Activity -</t>
  </si>
  <si>
    <t>Proceeds from shares</t>
  </si>
  <si>
    <t>Proceeds from borrowings</t>
  </si>
  <si>
    <t>Repayment of borrowings</t>
  </si>
  <si>
    <t>Interest paid fin</t>
  </si>
  <si>
    <t>Dividends paid</t>
  </si>
  <si>
    <t>Financial liabilities</t>
  </si>
  <si>
    <t>Share application money</t>
  </si>
  <si>
    <t>Other financing items</t>
  </si>
  <si>
    <t xml:space="preserve">CASH FLOW STATEMENT </t>
  </si>
  <si>
    <t>Operating Activity</t>
  </si>
  <si>
    <t xml:space="preserve">Investing activity </t>
  </si>
  <si>
    <t xml:space="preserve">Cash from Investing Activity </t>
  </si>
  <si>
    <t xml:space="preserve">Financing activity </t>
  </si>
  <si>
    <t xml:space="preserve">Cash from Financing Activity </t>
  </si>
  <si>
    <t xml:space="preserve">Net Cash Flow </t>
  </si>
  <si>
    <t xml:space="preserve"> </t>
  </si>
  <si>
    <t>Gross Margin</t>
  </si>
  <si>
    <t>EBIDTA Growth</t>
  </si>
  <si>
    <t>Net profit growth</t>
  </si>
  <si>
    <t xml:space="preserve">Dividend Growth </t>
  </si>
  <si>
    <t>EBITDA Margin</t>
  </si>
  <si>
    <t>EBIT Margin</t>
  </si>
  <si>
    <t>EBT Margin</t>
  </si>
  <si>
    <t>Net Profit Margin</t>
  </si>
  <si>
    <t>SalesExpenses%Sales</t>
  </si>
  <si>
    <t>Depreciation%Sales</t>
  </si>
  <si>
    <t>Return on Capital Employed</t>
  </si>
  <si>
    <t>Return on Equity %</t>
  </si>
  <si>
    <t>Self Sustained Growth Rate</t>
  </si>
  <si>
    <t>Interest Coverage Ratio</t>
  </si>
  <si>
    <t>Debtor Turnover Ratio</t>
  </si>
  <si>
    <t>Creditor Turnover Ratio</t>
  </si>
  <si>
    <t>Inventory Turnover Ratio</t>
  </si>
  <si>
    <t>Fixed Asset Turnover Ratio</t>
  </si>
  <si>
    <t>Capital Turnover</t>
  </si>
  <si>
    <t>Payable Days</t>
  </si>
  <si>
    <t>Inventory Days</t>
  </si>
  <si>
    <t>Cash Conversion Cycle</t>
  </si>
  <si>
    <t>CFO/Sales</t>
  </si>
  <si>
    <t>CFO/TotalAssets</t>
  </si>
  <si>
    <t>CFO/Total Debt</t>
  </si>
  <si>
    <t>EBT Growth</t>
  </si>
  <si>
    <t>operatingincome%sales (Operating Income % Sales = EBIT Margin)</t>
  </si>
  <si>
    <t>Retained Earnings %</t>
  </si>
  <si>
    <t>Return on Assets</t>
  </si>
  <si>
    <t>PAT vs Total Assets</t>
  </si>
  <si>
    <t>EBIT vs Total Assets</t>
  </si>
  <si>
    <t>PAT after Tax benefit vs Total Assets</t>
  </si>
  <si>
    <t xml:space="preserve">Return on equity </t>
  </si>
  <si>
    <t>Cash Flow Earning Per Share</t>
  </si>
  <si>
    <t>Dividend Per Share</t>
  </si>
  <si>
    <t>Dividend pay out ratio</t>
  </si>
  <si>
    <t xml:space="preserve">Dividend yield ratio </t>
  </si>
  <si>
    <t>Mean</t>
  </si>
  <si>
    <t>Median</t>
  </si>
  <si>
    <t>Trend</t>
  </si>
  <si>
    <t>Year Weight</t>
  </si>
  <si>
    <t>Year</t>
  </si>
  <si>
    <t>earning per share (eps)</t>
  </si>
  <si>
    <t>EBITDA Growth</t>
  </si>
  <si>
    <t>EPS Growth</t>
  </si>
  <si>
    <t>Equity Capital</t>
  </si>
  <si>
    <t>Long term Borrowings</t>
  </si>
  <si>
    <t>Short term Borrowings</t>
  </si>
  <si>
    <t>Lease Liabilities</t>
  </si>
  <si>
    <t>Other Borrowings</t>
  </si>
  <si>
    <t>Non controlling int</t>
  </si>
  <si>
    <t>Trade Payables</t>
  </si>
  <si>
    <t>Other liability items</t>
  </si>
  <si>
    <t>Land</t>
  </si>
  <si>
    <t>Building</t>
  </si>
  <si>
    <t>Plant Machinery</t>
  </si>
  <si>
    <t>Ships Vessels</t>
  </si>
  <si>
    <t>Equipments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</si>
  <si>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</si>
  <si>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</si>
  <si>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</si>
  <si>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</si>
  <si>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</si>
  <si>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</si>
  <si>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</si>
  <si>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Inventories</t>
  </si>
  <si>
    <t>Trade receivables</t>
  </si>
  <si>
    <t>Cash Equivalents</t>
  </si>
  <si>
    <t>Loans n Advances</t>
  </si>
  <si>
    <t>Other asset items</t>
  </si>
  <si>
    <t>Total Assets</t>
  </si>
  <si>
    <t>Borrowings -</t>
  </si>
  <si>
    <t>Other Liabilities -</t>
  </si>
  <si>
    <t>Fixed Assets -</t>
  </si>
  <si>
    <t>Other Assets -</t>
  </si>
  <si>
    <t>Particulars</t>
  </si>
  <si>
    <t>Calculation of ROIC</t>
  </si>
  <si>
    <t>Current Assets</t>
  </si>
  <si>
    <t>Total Current Assets</t>
  </si>
  <si>
    <t>Current Liabilities</t>
  </si>
  <si>
    <t>Total Current Liabilities</t>
  </si>
  <si>
    <t>Net Working Capital</t>
  </si>
  <si>
    <t>Non Current Assets</t>
  </si>
  <si>
    <t>Net Non Current Assets</t>
  </si>
  <si>
    <t>Invested Capital</t>
  </si>
  <si>
    <t>EBIT</t>
  </si>
  <si>
    <t>ROIC</t>
  </si>
  <si>
    <t>Calculation of Reinvestment Rate</t>
  </si>
  <si>
    <t>Net Capex</t>
  </si>
  <si>
    <t>Change in Working Capital</t>
  </si>
  <si>
    <t>Reinvestment</t>
  </si>
  <si>
    <t>EBIT(1-TAX)</t>
  </si>
  <si>
    <t>TAX</t>
  </si>
  <si>
    <t>Revestment Rate</t>
  </si>
  <si>
    <t>Reinvestment Rate</t>
  </si>
  <si>
    <t>Intrisic Growth</t>
  </si>
  <si>
    <t>Calculation of Intrisic Growth</t>
  </si>
  <si>
    <t>Calculation of PV of FCFF</t>
  </si>
  <si>
    <t>Tax Rate</t>
  </si>
  <si>
    <t>EBIT(1-T)</t>
  </si>
  <si>
    <t>Less:- Reinvestment Rate</t>
  </si>
  <si>
    <t>Free Case Fllow to Firm (FCFF)</t>
  </si>
  <si>
    <t>4 Years Median</t>
  </si>
  <si>
    <t>Mid Year Convention</t>
  </si>
  <si>
    <t>Discounted Factor</t>
  </si>
  <si>
    <t>PV of FCFF</t>
  </si>
  <si>
    <t>Expected Growth</t>
  </si>
  <si>
    <t>Terminal Growth</t>
  </si>
  <si>
    <t>WACC</t>
  </si>
  <si>
    <t>Debt Weight</t>
  </si>
  <si>
    <t>Cost of Debt</t>
  </si>
  <si>
    <t>Equity Weight</t>
  </si>
  <si>
    <t>Cost of Equity</t>
  </si>
  <si>
    <t xml:space="preserve">4.Levered Beta = Unlevered Beta*(1+(1-Tax Rate)*Debt/Equity) </t>
  </si>
  <si>
    <t xml:space="preserve">3.Unlevered Beta = Levered Beta/(1+(1-Tax Rate)*Debt/Equity) </t>
  </si>
  <si>
    <t>2. Levered Beta is based on 5 years monthly data</t>
  </si>
  <si>
    <t xml:space="preserve">Weighted Average Cost of Capital </t>
  </si>
  <si>
    <t>1. Tax Rate considered as Marginal Tax Rate for the Country</t>
  </si>
  <si>
    <t>Equity</t>
  </si>
  <si>
    <t>Notes:-</t>
  </si>
  <si>
    <t>Debt</t>
  </si>
  <si>
    <t>Total Weight</t>
  </si>
  <si>
    <t>Total Cost</t>
  </si>
  <si>
    <t>Debt/Equity</t>
  </si>
  <si>
    <t>Levered Beta</t>
  </si>
  <si>
    <t xml:space="preserve">Total Capital </t>
  </si>
  <si>
    <t>Target Debt/Equity</t>
  </si>
  <si>
    <t>Total Debt</t>
  </si>
  <si>
    <t>Comps Median Unlevered Beta</t>
  </si>
  <si>
    <t>Target</t>
  </si>
  <si>
    <t>Current</t>
  </si>
  <si>
    <t>Leavered Beta</t>
  </si>
  <si>
    <t xml:space="preserve">Capital Structure </t>
  </si>
  <si>
    <t xml:space="preserve">Cost of equity </t>
  </si>
  <si>
    <r>
      <t xml:space="preserve">Levered Beta </t>
    </r>
    <r>
      <rPr>
        <vertAlign val="superscript"/>
        <sz val="11"/>
        <color theme="1"/>
        <rFont val="Calibri"/>
        <family val="2"/>
        <scheme val="minor"/>
      </rPr>
      <t>4</t>
    </r>
  </si>
  <si>
    <t>Post Tax Cost of Debt</t>
  </si>
  <si>
    <t>Equity Risk Premium</t>
  </si>
  <si>
    <t>Risk Free Rate</t>
  </si>
  <si>
    <t>Pre-Tax Cost of Debt</t>
  </si>
  <si>
    <t>Cost Of Equity</t>
  </si>
  <si>
    <t xml:space="preserve">Average </t>
  </si>
  <si>
    <t>India</t>
  </si>
  <si>
    <t>M R P L</t>
  </si>
  <si>
    <t>H P C L</t>
  </si>
  <si>
    <t>B P C L</t>
  </si>
  <si>
    <t>I O C L</t>
  </si>
  <si>
    <t>Reliance Industr</t>
  </si>
  <si>
    <r>
      <t xml:space="preserve">Beta 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</si>
  <si>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Beta </t>
    </r>
    <r>
      <rPr>
        <vertAlign val="superscript"/>
        <sz val="11"/>
        <color theme="1"/>
        <rFont val="Calibri"/>
        <family val="2"/>
        <scheme val="minor"/>
      </rPr>
      <t>2</t>
    </r>
  </si>
  <si>
    <t xml:space="preserve">Capital </t>
  </si>
  <si>
    <r>
      <t xml:space="preserve">Tax Rate </t>
    </r>
    <r>
      <rPr>
        <vertAlign val="superscript"/>
        <sz val="11"/>
        <color theme="1"/>
        <rFont val="Calibri"/>
        <family val="2"/>
        <scheme val="minor"/>
      </rPr>
      <t>1</t>
    </r>
  </si>
  <si>
    <t>Total equity</t>
  </si>
  <si>
    <t xml:space="preserve">Total debt </t>
  </si>
  <si>
    <t>Country</t>
  </si>
  <si>
    <t>Name of the comp</t>
  </si>
  <si>
    <t>Unlevered</t>
  </si>
  <si>
    <t xml:space="preserve">Levered </t>
  </si>
  <si>
    <t>Debt/</t>
  </si>
  <si>
    <t>Peer comps</t>
  </si>
  <si>
    <t xml:space="preserve">All Figures are in INR unless otherwise stated </t>
  </si>
  <si>
    <t>X Variable 1</t>
  </si>
  <si>
    <t>Intercept</t>
  </si>
  <si>
    <t>Upper 95.0%</t>
  </si>
  <si>
    <t>Lower 95.0%</t>
  </si>
  <si>
    <t>Upper 95%</t>
  </si>
  <si>
    <t>Lower 95%</t>
  </si>
  <si>
    <t>P-value</t>
  </si>
  <si>
    <t>t Stat</t>
  </si>
  <si>
    <t>Standard Error</t>
  </si>
  <si>
    <t>Coefficients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</si>
  <si>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</si>
  <si>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</si>
  <si>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</si>
  <si>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</si>
  <si>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</si>
  <si>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</si>
  <si>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</si>
  <si>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</si>
  <si>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</si>
  <si>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Adjusted R Square</t>
  </si>
  <si>
    <t>R Square</t>
  </si>
  <si>
    <t>Multiple R</t>
  </si>
  <si>
    <t>Regression Statistics</t>
  </si>
  <si>
    <t>SUMMARY OUTPUT</t>
  </si>
  <si>
    <t>Adjusted Beta</t>
  </si>
  <si>
    <t>Beta 3</t>
  </si>
  <si>
    <t>Market Beta Weight</t>
  </si>
  <si>
    <t>Beta 2</t>
  </si>
  <si>
    <t>Market Beta</t>
  </si>
  <si>
    <t>Beta 1</t>
  </si>
  <si>
    <t>Beta Weight</t>
  </si>
  <si>
    <t>Levered Raw Beta</t>
  </si>
  <si>
    <t>Weekly Return</t>
  </si>
  <si>
    <t xml:space="preserve">Closing Price </t>
  </si>
  <si>
    <t>Date</t>
  </si>
  <si>
    <t>Beta Drifting</t>
  </si>
  <si>
    <t>Nifty Return</t>
  </si>
  <si>
    <t>Reliance Weekly Return</t>
  </si>
  <si>
    <t>REGRESSION BETA</t>
  </si>
  <si>
    <t>Debt / Eq</t>
  </si>
  <si>
    <t>Debt Rs.Cr.</t>
  </si>
  <si>
    <t xml:space="preserve">Mar Cap Rs.Cr. </t>
  </si>
  <si>
    <t>CMP Rs.</t>
  </si>
  <si>
    <t>Name</t>
  </si>
  <si>
    <t>S.No.</t>
  </si>
  <si>
    <t>Total Market Returns</t>
  </si>
  <si>
    <t>Dividend Yield</t>
  </si>
  <si>
    <t>Average Returns</t>
  </si>
  <si>
    <t>Annual</t>
  </si>
  <si>
    <t>Returns on Market</t>
  </si>
  <si>
    <t>Calculation of Terminal Value</t>
  </si>
  <si>
    <t>FCFF(n+1)</t>
  </si>
  <si>
    <t>Terminal Growth Rate</t>
  </si>
  <si>
    <t>Terminal Value</t>
  </si>
  <si>
    <t>PV of Terminal Value</t>
  </si>
  <si>
    <t>Value of Operating Assets</t>
  </si>
  <si>
    <t>Add: CASH</t>
  </si>
  <si>
    <t>Less: DEBT</t>
  </si>
  <si>
    <t>Calculation of Equity Value Per Share</t>
  </si>
  <si>
    <t>Value of Equity</t>
  </si>
  <si>
    <t>No. of Shares</t>
  </si>
  <si>
    <t>Value of Equity per Share</t>
  </si>
  <si>
    <t>Share Price</t>
  </si>
  <si>
    <t>Discount/Premium</t>
  </si>
  <si>
    <t>IOCL Weekly Return</t>
  </si>
  <si>
    <t>BPCL Weekly Return</t>
  </si>
  <si>
    <t>HPCL Weekly Return</t>
  </si>
  <si>
    <t>MRPL Weekly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</si>
</sst>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7" formatCode="&quot;₹&quot;\ #,##0.00;&quot;₹&quot;\ \-#,##0.00"/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.00"/>
    <numFmt numFmtId="167" formatCode="&quot;₹&quot;\ #,##0.00;&quot;₹&quot;\ \(#,##0.00\)"/>
    <numFmt numFmtId="168" formatCode="#,##0.00\x;\-#,##0.00\x"/>
    <numFmt numFmtId="169" formatCode="0&quot;Days&quot;"/>
    <numFmt numFmtId="170" formatCode="0&quot;days&quot;"/>
    <numFmt numFmtId="171" formatCode="0&quot;A&quot;"/>
    <numFmt numFmtId="172" formatCode="0&quot;E&quot;"/>
    <numFmt numFmtId="173" formatCode="\(#,##0.0\);\(#,##0.0\);\-"/>
    <numFmt numFmtId="174" formatCode="#,##0.000000000"/>
    <numFmt numFmtId="175" formatCode="#,##0.0;\(#,##0.0\);\-"/>
    <numFmt numFmtId="176" formatCode="mmm/yy&quot;A&quot;"/>
    <numFmt numFmtId="177" formatCode="mmm/yy&quot;F&quot;"/>
    <numFmt numFmtId="179" formatCode="#,##0.0"/>
    <numFmt numFmtId="180" formatCode="0.0"/>
    <numFmt numFmtId="186" formatCode="0.000"/>
    <numFmt numFmtId="194" formatCode="0.00&quot;x&quot;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theme="7" tint="-0.499984740745262"/>
      </top>
      <bottom style="medium">
        <color theme="7" tint="-0.499984740745262"/>
      </bottom>
      <diagonal/>
    </border>
    <border>
      <left/>
      <right/>
      <top style="hair">
        <color theme="7" tint="-0.499984740745262"/>
      </top>
      <bottom/>
      <diagonal/>
    </border>
    <border>
      <left/>
      <right/>
      <top/>
      <bottom style="hair">
        <color theme="7" tint="-0.499984740745262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hair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rgb="FF002060"/>
      </bottom>
      <diagonal/>
    </border>
  </borders>
  <cellStyleXfs count="11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  <xf numFmtId="166" fontId="1" fillId="0" borderId="0"/>
    <xf numFmtId="166" fontId="1" fillId="0" borderId="0"/>
    <xf numFmtId="0" fontId="8" fillId="0" borderId="0"/>
    <xf numFmtId="10" fontId="8" fillId="0" borderId="0"/>
  </cellStyleXfs>
  <cellXfs count="159">
    <xf numFmtId="0" fontId="0" fillId="0" borderId="0" xfId="0"/>
    <xf numFmtId="43" fontId="1" fillId="0" borderId="0" xfId="1" applyFont="1" applyBorder="1"/>
    <xf numFmtId="0" fontId="1" fillId="0" borderId="0" xfId="0" applyFont="1"/>
    <xf numFmtId="0" fontId="6" fillId="0" borderId="0" xfId="0" applyFont="1"/>
    <xf numFmtId="43" fontId="0" fillId="0" borderId="0" xfId="1" applyFont="1" applyBorder="1"/>
    <xf numFmtId="10" fontId="0" fillId="0" borderId="0" xfId="0" applyNumberFormat="1"/>
    <xf numFmtId="43" fontId="3" fillId="0" borderId="0" xfId="1" applyFont="1" applyBorder="1"/>
    <xf numFmtId="9" fontId="3" fillId="0" borderId="0" xfId="1" applyNumberFormat="1" applyFont="1" applyBorder="1"/>
    <xf numFmtId="43" fontId="2" fillId="2" borderId="0" xfId="3" applyNumberFormat="1" applyFont="1" applyBorder="1"/>
    <xf numFmtId="43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/>
    <xf numFmtId="165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43" fontId="0" fillId="0" borderId="0" xfId="1" applyFont="1" applyBorder="1" applyAlignment="1">
      <alignment horizontal="center"/>
    </xf>
    <xf numFmtId="43" fontId="1" fillId="0" borderId="0" xfId="1" applyFont="1" applyBorder="1" applyAlignment="1">
      <alignment horizontal="center"/>
    </xf>
    <xf numFmtId="10" fontId="1" fillId="0" borderId="0" xfId="0" applyNumberFormat="1" applyFont="1"/>
    <xf numFmtId="165" fontId="2" fillId="5" borderId="0" xfId="1" applyNumberFormat="1" applyFont="1" applyFill="1" applyBorder="1"/>
    <xf numFmtId="165" fontId="7" fillId="0" borderId="0" xfId="1" applyNumberFormat="1" applyFont="1" applyFill="1" applyBorder="1"/>
    <xf numFmtId="0" fontId="0" fillId="0" borderId="0" xfId="0" applyAlignment="1">
      <alignment horizontal="left"/>
    </xf>
    <xf numFmtId="0" fontId="7" fillId="0" borderId="0" xfId="0" applyFont="1"/>
    <xf numFmtId="164" fontId="0" fillId="0" borderId="0" xfId="1" applyNumberFormat="1" applyFont="1" applyBorder="1"/>
    <xf numFmtId="0" fontId="2" fillId="6" borderId="0" xfId="0" applyFont="1" applyFill="1"/>
    <xf numFmtId="17" fontId="2" fillId="6" borderId="0" xfId="0" applyNumberFormat="1" applyFont="1" applyFill="1"/>
    <xf numFmtId="17" fontId="2" fillId="6" borderId="0" xfId="0" applyNumberFormat="1" applyFont="1" applyFill="1" applyAlignment="1">
      <alignment horizontal="right"/>
    </xf>
    <xf numFmtId="0" fontId="8" fillId="0" borderId="0" xfId="0" applyFont="1"/>
    <xf numFmtId="10" fontId="8" fillId="0" borderId="0" xfId="0" applyNumberFormat="1" applyFont="1"/>
    <xf numFmtId="166" fontId="1" fillId="0" borderId="0" xfId="0" applyNumberFormat="1" applyFont="1"/>
    <xf numFmtId="167" fontId="0" fillId="7" borderId="0" xfId="0" applyNumberFormat="1" applyFill="1"/>
    <xf numFmtId="0" fontId="8" fillId="0" borderId="0" xfId="9"/>
    <xf numFmtId="10" fontId="8" fillId="0" borderId="0" xfId="10"/>
    <xf numFmtId="0" fontId="1" fillId="8" borderId="0" xfId="0" applyFont="1" applyFill="1"/>
    <xf numFmtId="0" fontId="0" fillId="8" borderId="0" xfId="0" applyFill="1"/>
    <xf numFmtId="0" fontId="1" fillId="7" borderId="0" xfId="0" applyFont="1" applyFill="1"/>
    <xf numFmtId="0" fontId="0" fillId="7" borderId="0" xfId="0" applyFill="1"/>
    <xf numFmtId="166" fontId="0" fillId="0" borderId="0" xfId="0" applyNumberFormat="1"/>
    <xf numFmtId="0" fontId="1" fillId="9" borderId="0" xfId="0" applyFont="1" applyFill="1"/>
    <xf numFmtId="0" fontId="0" fillId="9" borderId="0" xfId="0" applyFill="1"/>
    <xf numFmtId="17" fontId="0" fillId="0" borderId="0" xfId="0" applyNumberFormat="1"/>
    <xf numFmtId="3" fontId="0" fillId="0" borderId="0" xfId="0" applyNumberFormat="1"/>
    <xf numFmtId="167" fontId="0" fillId="0" borderId="0" xfId="0" applyNumberFormat="1"/>
    <xf numFmtId="166" fontId="3" fillId="0" borderId="0" xfId="8" applyFont="1"/>
    <xf numFmtId="166" fontId="3" fillId="0" borderId="0" xfId="7" applyFont="1"/>
    <xf numFmtId="0" fontId="1" fillId="0" borderId="1" xfId="0" applyFont="1" applyBorder="1"/>
    <xf numFmtId="166" fontId="1" fillId="0" borderId="1" xfId="0" applyNumberFormat="1" applyFont="1" applyBorder="1"/>
    <xf numFmtId="166" fontId="1" fillId="0" borderId="1" xfId="8" applyBorder="1"/>
    <xf numFmtId="166" fontId="1" fillId="0" borderId="1" xfId="7" applyBorder="1"/>
    <xf numFmtId="2" fontId="3" fillId="0" borderId="0" xfId="7" applyNumberFormat="1" applyFont="1"/>
    <xf numFmtId="10" fontId="3" fillId="0" borderId="0" xfId="10" applyFont="1"/>
    <xf numFmtId="7" fontId="0" fillId="0" borderId="0" xfId="0" applyNumberFormat="1"/>
    <xf numFmtId="7" fontId="1" fillId="0" borderId="1" xfId="0" applyNumberFormat="1" applyFont="1" applyBorder="1"/>
    <xf numFmtId="7" fontId="1" fillId="0" borderId="0" xfId="0" applyNumberFormat="1" applyFont="1"/>
    <xf numFmtId="168" fontId="0" fillId="0" borderId="0" xfId="0" applyNumberFormat="1"/>
    <xf numFmtId="0" fontId="2" fillId="7" borderId="0" xfId="0" applyFont="1" applyFill="1"/>
    <xf numFmtId="17" fontId="2" fillId="7" borderId="0" xfId="0" applyNumberFormat="1" applyFont="1" applyFill="1"/>
    <xf numFmtId="0" fontId="0" fillId="0" borderId="2" xfId="0" applyBorder="1"/>
    <xf numFmtId="10" fontId="0" fillId="0" borderId="2" xfId="0" applyNumberFormat="1" applyBorder="1" applyAlignment="1">
      <alignment horizontal="right"/>
    </xf>
    <xf numFmtId="10" fontId="0" fillId="0" borderId="2" xfId="0" applyNumberFormat="1" applyBorder="1"/>
    <xf numFmtId="10" fontId="0" fillId="0" borderId="0" xfId="0" applyNumberFormat="1" applyAlignment="1">
      <alignment horizontal="right"/>
    </xf>
    <xf numFmtId="0" fontId="0" fillId="0" borderId="3" xfId="0" applyBorder="1"/>
    <xf numFmtId="10" fontId="0" fillId="0" borderId="3" xfId="0" applyNumberFormat="1" applyBorder="1" applyAlignment="1">
      <alignment horizontal="right"/>
    </xf>
    <xf numFmtId="10" fontId="0" fillId="0" borderId="3" xfId="0" applyNumberFormat="1" applyBorder="1"/>
    <xf numFmtId="168" fontId="0" fillId="0" borderId="3" xfId="0" applyNumberFormat="1" applyBorder="1"/>
    <xf numFmtId="0" fontId="0" fillId="0" borderId="4" xfId="0" applyBorder="1"/>
    <xf numFmtId="168" fontId="0" fillId="0" borderId="4" xfId="0" applyNumberFormat="1" applyBorder="1"/>
    <xf numFmtId="0" fontId="0" fillId="0" borderId="5" xfId="0" applyBorder="1"/>
    <xf numFmtId="168" fontId="0" fillId="0" borderId="5" xfId="0" applyNumberFormat="1" applyBorder="1"/>
    <xf numFmtId="169" fontId="0" fillId="0" borderId="2" xfId="0" applyNumberFormat="1" applyBorder="1"/>
    <xf numFmtId="169" fontId="0" fillId="0" borderId="0" xfId="0" applyNumberFormat="1"/>
    <xf numFmtId="169" fontId="0" fillId="0" borderId="3" xfId="0" applyNumberFormat="1" applyBorder="1"/>
    <xf numFmtId="0" fontId="0" fillId="10" borderId="0" xfId="0" applyFill="1"/>
    <xf numFmtId="0" fontId="2" fillId="6" borderId="0" xfId="0" applyFont="1" applyFill="1" applyAlignment="1">
      <alignment horizontal="center"/>
    </xf>
    <xf numFmtId="168" fontId="0" fillId="0" borderId="2" xfId="0" applyNumberFormat="1" applyBorder="1"/>
    <xf numFmtId="170" fontId="0" fillId="0" borderId="2" xfId="0" applyNumberFormat="1" applyBorder="1"/>
    <xf numFmtId="170" fontId="0" fillId="0" borderId="0" xfId="0" applyNumberFormat="1"/>
    <xf numFmtId="170" fontId="0" fillId="0" borderId="3" xfId="0" applyNumberFormat="1" applyBorder="1"/>
    <xf numFmtId="0" fontId="5" fillId="6" borderId="0" xfId="0" applyFont="1" applyFill="1" applyAlignment="1">
      <alignment horizontal="center"/>
    </xf>
    <xf numFmtId="171" fontId="0" fillId="0" borderId="0" xfId="0" applyNumberFormat="1"/>
    <xf numFmtId="0" fontId="0" fillId="11" borderId="0" xfId="0" applyFill="1"/>
    <xf numFmtId="172" fontId="0" fillId="11" borderId="0" xfId="0" applyNumberFormat="1" applyFill="1"/>
    <xf numFmtId="10" fontId="0" fillId="11" borderId="0" xfId="0" applyNumberFormat="1" applyFill="1"/>
    <xf numFmtId="39" fontId="0" fillId="0" borderId="0" xfId="0" applyNumberFormat="1"/>
    <xf numFmtId="39" fontId="0" fillId="11" borderId="0" xfId="0" applyNumberFormat="1" applyFill="1"/>
    <xf numFmtId="0" fontId="5" fillId="12" borderId="0" xfId="0" applyFont="1" applyFill="1"/>
    <xf numFmtId="17" fontId="5" fillId="12" borderId="0" xfId="0" applyNumberFormat="1" applyFont="1" applyFill="1"/>
    <xf numFmtId="0" fontId="5" fillId="7" borderId="0" xfId="0" applyFont="1" applyFill="1"/>
    <xf numFmtId="17" fontId="5" fillId="7" borderId="0" xfId="0" applyNumberFormat="1" applyFont="1" applyFill="1"/>
    <xf numFmtId="17" fontId="0" fillId="7" borderId="0" xfId="0" applyNumberFormat="1" applyFill="1"/>
    <xf numFmtId="3" fontId="1" fillId="0" borderId="0" xfId="0" applyNumberFormat="1" applyFont="1"/>
    <xf numFmtId="0" fontId="1" fillId="0" borderId="6" xfId="0" applyFont="1" applyBorder="1"/>
    <xf numFmtId="3" fontId="1" fillId="0" borderId="6" xfId="0" applyNumberFormat="1" applyFont="1" applyBorder="1"/>
    <xf numFmtId="173" fontId="0" fillId="0" borderId="7" xfId="0" applyNumberFormat="1" applyBorder="1"/>
    <xf numFmtId="173" fontId="0" fillId="0" borderId="8" xfId="0" applyNumberFormat="1" applyBorder="1"/>
    <xf numFmtId="0" fontId="1" fillId="0" borderId="9" xfId="0" applyFont="1" applyBorder="1"/>
    <xf numFmtId="173" fontId="0" fillId="0" borderId="9" xfId="0" applyNumberFormat="1" applyBorder="1"/>
    <xf numFmtId="173" fontId="0" fillId="0" borderId="0" xfId="0" applyNumberFormat="1"/>
    <xf numFmtId="0" fontId="0" fillId="0" borderId="9" xfId="0" applyBorder="1"/>
    <xf numFmtId="0" fontId="0" fillId="0" borderId="7" xfId="0" applyBorder="1"/>
    <xf numFmtId="0" fontId="1" fillId="0" borderId="10" xfId="0" applyFont="1" applyBorder="1"/>
    <xf numFmtId="0" fontId="0" fillId="0" borderId="10" xfId="0" applyBorder="1"/>
    <xf numFmtId="10" fontId="1" fillId="0" borderId="10" xfId="0" applyNumberFormat="1" applyFont="1" applyBorder="1"/>
    <xf numFmtId="4" fontId="0" fillId="0" borderId="0" xfId="0" applyNumberFormat="1"/>
    <xf numFmtId="174" fontId="1" fillId="0" borderId="10" xfId="0" applyNumberFormat="1" applyFont="1" applyBorder="1"/>
    <xf numFmtId="174" fontId="0" fillId="0" borderId="0" xfId="0" applyNumberFormat="1"/>
    <xf numFmtId="175" fontId="0" fillId="0" borderId="7" xfId="0" applyNumberFormat="1" applyBorder="1"/>
    <xf numFmtId="175" fontId="0" fillId="0" borderId="0" xfId="0" applyNumberFormat="1"/>
    <xf numFmtId="175" fontId="1" fillId="0" borderId="9" xfId="0" applyNumberFormat="1" applyFont="1" applyBorder="1"/>
    <xf numFmtId="175" fontId="1" fillId="0" borderId="10" xfId="0" applyNumberFormat="1" applyFont="1" applyBorder="1"/>
    <xf numFmtId="175" fontId="1" fillId="0" borderId="0" xfId="0" applyNumberFormat="1" applyFont="1"/>
    <xf numFmtId="43" fontId="4" fillId="0" borderId="0" xfId="2" applyNumberFormat="1" applyBorder="1" applyAlignment="1" applyProtection="1">
      <alignment horizontal="center"/>
    </xf>
    <xf numFmtId="43" fontId="2" fillId="4" borderId="0" xfId="5" applyNumberFormat="1" applyFont="1" applyBorder="1" applyAlignment="1">
      <alignment horizontal="center"/>
    </xf>
    <xf numFmtId="0" fontId="0" fillId="0" borderId="0" xfId="0" applyFont="1"/>
    <xf numFmtId="176" fontId="5" fillId="12" borderId="0" xfId="0" applyNumberFormat="1" applyFont="1" applyFill="1"/>
    <xf numFmtId="177" fontId="5" fillId="12" borderId="0" xfId="0" applyNumberFormat="1" applyFont="1" applyFill="1"/>
    <xf numFmtId="9" fontId="0" fillId="0" borderId="0" xfId="0" applyNumberFormat="1"/>
    <xf numFmtId="0" fontId="9" fillId="0" borderId="0" xfId="0" applyFont="1" applyAlignment="1">
      <alignment vertical="top"/>
    </xf>
    <xf numFmtId="10" fontId="0" fillId="0" borderId="4" xfId="0" applyNumberFormat="1" applyBorder="1"/>
    <xf numFmtId="0" fontId="9" fillId="0" borderId="0" xfId="0" applyFont="1"/>
    <xf numFmtId="0" fontId="0" fillId="0" borderId="11" xfId="0" applyBorder="1"/>
    <xf numFmtId="0" fontId="1" fillId="0" borderId="11" xfId="0" applyFont="1" applyBorder="1"/>
    <xf numFmtId="2" fontId="0" fillId="0" borderId="4" xfId="0" applyNumberFormat="1" applyBorder="1"/>
    <xf numFmtId="9" fontId="0" fillId="0" borderId="4" xfId="0" applyNumberFormat="1" applyBorder="1"/>
    <xf numFmtId="179" fontId="10" fillId="0" borderId="0" xfId="0" applyNumberFormat="1" applyFont="1"/>
    <xf numFmtId="10" fontId="10" fillId="0" borderId="0" xfId="0" applyNumberFormat="1" applyFont="1"/>
    <xf numFmtId="2" fontId="0" fillId="0" borderId="0" xfId="0" applyNumberFormat="1"/>
    <xf numFmtId="10" fontId="0" fillId="11" borderId="4" xfId="0" applyNumberFormat="1" applyFill="1" applyBorder="1"/>
    <xf numFmtId="10" fontId="0" fillId="7" borderId="4" xfId="0" applyNumberFormat="1" applyFill="1" applyBorder="1"/>
    <xf numFmtId="9" fontId="10" fillId="0" borderId="0" xfId="0" applyNumberFormat="1" applyFont="1"/>
    <xf numFmtId="2" fontId="0" fillId="0" borderId="11" xfId="0" applyNumberFormat="1" applyBorder="1"/>
    <xf numFmtId="10" fontId="0" fillId="0" borderId="11" xfId="0" applyNumberFormat="1" applyBorder="1"/>
    <xf numFmtId="2" fontId="0" fillId="0" borderId="12" xfId="0" applyNumberFormat="1" applyBorder="1"/>
    <xf numFmtId="10" fontId="0" fillId="0" borderId="12" xfId="0" applyNumberFormat="1" applyBorder="1"/>
    <xf numFmtId="0" fontId="1" fillId="0" borderId="12" xfId="0" applyFont="1" applyBorder="1"/>
    <xf numFmtId="2" fontId="0" fillId="11" borderId="0" xfId="0" applyNumberFormat="1" applyFill="1"/>
    <xf numFmtId="2" fontId="10" fillId="0" borderId="0" xfId="0" applyNumberFormat="1" applyFont="1"/>
    <xf numFmtId="0" fontId="10" fillId="0" borderId="0" xfId="0" applyFont="1"/>
    <xf numFmtId="0" fontId="0" fillId="0" borderId="0" xfId="0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/>
    <xf numFmtId="0" fontId="12" fillId="0" borderId="0" xfId="0" applyFont="1"/>
    <xf numFmtId="0" fontId="1" fillId="13" borderId="0" xfId="0" applyFont="1" applyFill="1"/>
    <xf numFmtId="180" fontId="0" fillId="0" borderId="0" xfId="0" applyNumberFormat="1"/>
    <xf numFmtId="14" fontId="0" fillId="0" borderId="0" xfId="0" applyNumberFormat="1" applyAlignment="1">
      <alignment horizontal="left"/>
    </xf>
    <xf numFmtId="0" fontId="0" fillId="0" borderId="13" xfId="0" applyBorder="1"/>
    <xf numFmtId="0" fontId="12" fillId="0" borderId="14" xfId="0" applyFont="1" applyBorder="1" applyAlignment="1">
      <alignment horizontal="center"/>
    </xf>
    <xf numFmtId="0" fontId="12" fillId="0" borderId="14" xfId="0" applyFont="1" applyBorder="1" applyAlignment="1">
      <alignment horizontal="centerContinuous"/>
    </xf>
    <xf numFmtId="0" fontId="1" fillId="0" borderId="15" xfId="0" applyFont="1" applyBorder="1" applyAlignment="1">
      <alignment horizontal="right"/>
    </xf>
    <xf numFmtId="0" fontId="1" fillId="0" borderId="15" xfId="0" applyFont="1" applyBorder="1"/>
    <xf numFmtId="0" fontId="2" fillId="12" borderId="0" xfId="0" applyFont="1" applyFill="1" applyAlignment="1">
      <alignment horizontal="center"/>
    </xf>
    <xf numFmtId="10" fontId="0" fillId="0" borderId="0" xfId="6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86" fontId="0" fillId="0" borderId="0" xfId="0" applyNumberFormat="1"/>
    <xf numFmtId="179" fontId="1" fillId="0" borderId="10" xfId="0" applyNumberFormat="1" applyFont="1" applyBorder="1"/>
    <xf numFmtId="43" fontId="0" fillId="0" borderId="0" xfId="0" applyNumberFormat="1"/>
    <xf numFmtId="43" fontId="1" fillId="0" borderId="10" xfId="0" applyNumberFormat="1" applyFont="1" applyBorder="1"/>
    <xf numFmtId="194" fontId="0" fillId="0" borderId="0" xfId="0" applyNumberFormat="1"/>
    <xf numFmtId="17" fontId="0" fillId="0" borderId="0" xfId="0" applyNumberFormat="1" applyFont="1"/>
    <xf numFmtId="3" fontId="0" fillId="0" borderId="0" xfId="0" applyNumberFormat="1" applyFont="1"/>
  </cellXfs>
  <cellStyles count="11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  <cellStyle name="Style 1" xfId="7" xr:uid="{D518131A-55E6-42A0-97E1-7B8AF627DBD8}"/>
    <cellStyle name="Style 2" xfId="8" xr:uid="{D8F06601-9BBB-4007-8CA3-B56DE1DB425D}"/>
    <cellStyle name="Style 3" xfId="9" xr:uid="{D5BCD44D-20DA-44AF-BC7C-B4CE4FA1BE5B}"/>
    <cellStyle name="Style 4" xfId="10" xr:uid="{FD22D46A-AF39-427F-9C53-11C416918D04}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reener.in/excel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creener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8BBB-D6E1-4305-99D5-13AD252392A0}">
  <dimension ref="B2:M48"/>
  <sheetViews>
    <sheetView showGridLines="0" tabSelected="1" zoomScaleNormal="100" workbookViewId="0">
      <selection activeCell="L13" sqref="L13"/>
    </sheetView>
  </sheetViews>
  <sheetFormatPr defaultRowHeight="14.4" x14ac:dyDescent="0.3"/>
  <cols>
    <col min="1" max="1" width="4.44140625" customWidth="1"/>
    <col min="2" max="2" width="19.5546875" customWidth="1"/>
    <col min="3" max="3" width="11.6640625" customWidth="1"/>
    <col min="4" max="4" width="16.109375" customWidth="1"/>
    <col min="5" max="5" width="11.88671875" customWidth="1"/>
    <col min="7" max="7" width="9.5546875" bestFit="1" customWidth="1"/>
    <col min="10" max="10" width="10.33203125" customWidth="1"/>
    <col min="11" max="11" width="10.6640625" customWidth="1"/>
    <col min="12" max="12" width="23.88671875" bestFit="1" customWidth="1"/>
  </cols>
  <sheetData>
    <row r="2" spans="2:13" ht="17.25" customHeight="1" x14ac:dyDescent="0.3">
      <c r="B2" s="140" t="s">
        <v>265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</row>
    <row r="4" spans="2:13" x14ac:dyDescent="0.3">
      <c r="B4" s="139" t="s">
        <v>308</v>
      </c>
      <c r="C4" s="139"/>
      <c r="D4" s="139"/>
      <c r="E4" s="139"/>
      <c r="F4" s="139"/>
      <c r="G4" s="139"/>
    </row>
    <row r="6" spans="2:13" x14ac:dyDescent="0.3">
      <c r="B6" t="s">
        <v>307</v>
      </c>
    </row>
    <row r="7" spans="2:13" x14ac:dyDescent="0.3">
      <c r="B7" s="138"/>
      <c r="C7" s="138"/>
      <c r="D7" s="138"/>
      <c r="E7" s="138"/>
      <c r="F7" s="138"/>
      <c r="G7" s="138" t="s">
        <v>306</v>
      </c>
      <c r="H7" s="138" t="s">
        <v>306</v>
      </c>
      <c r="I7" s="138" t="s">
        <v>305</v>
      </c>
      <c r="J7" s="138" t="s">
        <v>304</v>
      </c>
    </row>
    <row r="8" spans="2:13" ht="18.75" customHeight="1" x14ac:dyDescent="0.3">
      <c r="B8" s="118" t="s">
        <v>303</v>
      </c>
      <c r="C8" s="118" t="s">
        <v>302</v>
      </c>
      <c r="D8" s="118" t="s">
        <v>301</v>
      </c>
      <c r="E8" s="118" t="s">
        <v>300</v>
      </c>
      <c r="F8" s="118" t="s">
        <v>299</v>
      </c>
      <c r="G8" s="137" t="s">
        <v>267</v>
      </c>
      <c r="H8" s="137" t="s">
        <v>298</v>
      </c>
      <c r="I8" s="137" t="s">
        <v>297</v>
      </c>
      <c r="J8" s="137" t="s">
        <v>296</v>
      </c>
    </row>
    <row r="9" spans="2:13" ht="18.75" customHeight="1" x14ac:dyDescent="0.3">
      <c r="G9" s="136"/>
      <c r="H9" s="136"/>
      <c r="I9" s="136"/>
      <c r="J9" s="136"/>
    </row>
    <row r="10" spans="2:13" x14ac:dyDescent="0.3">
      <c r="B10" t="s">
        <v>295</v>
      </c>
      <c r="C10" s="135" t="s">
        <v>290</v>
      </c>
      <c r="D10" s="122">
        <f>'Beta Comps'!F4</f>
        <v>357525</v>
      </c>
      <c r="E10" s="122">
        <f>'Beta Comps'!E4</f>
        <v>1661977.92</v>
      </c>
      <c r="F10" s="127">
        <v>0.3</v>
      </c>
      <c r="G10" s="80">
        <f>D10/E10</f>
        <v>0.21512018643424577</v>
      </c>
      <c r="H10" s="80">
        <f>D10/(D10+E10)</f>
        <v>0.17703613917032615</v>
      </c>
      <c r="I10" s="134">
        <f>'BETA Reliance'!P11</f>
        <v>1.1533655170829655</v>
      </c>
      <c r="J10" s="133">
        <f>I10/(1+(1-F10)*G10)</f>
        <v>1.0024173691477694</v>
      </c>
    </row>
    <row r="11" spans="2:13" x14ac:dyDescent="0.3">
      <c r="B11" t="s">
        <v>294</v>
      </c>
      <c r="C11" s="135" t="s">
        <v>290</v>
      </c>
      <c r="D11" s="122">
        <f>'Beta Comps'!F5</f>
        <v>163400.87</v>
      </c>
      <c r="E11" s="122">
        <f>'Beta Comps'!E5</f>
        <v>171332.99</v>
      </c>
      <c r="F11" s="127">
        <v>0.3</v>
      </c>
      <c r="G11" s="80">
        <f>D11/E11</f>
        <v>0.95370348699336893</v>
      </c>
      <c r="H11" s="80">
        <f>D11/(D11+E11)</f>
        <v>0.48815160199210206</v>
      </c>
      <c r="I11" s="134">
        <f>'BETA IOCL'!P11</f>
        <v>1.4219589928548999</v>
      </c>
      <c r="J11" s="133">
        <f>I11/(1+(1-F11)*G11)</f>
        <v>0.85270175012992167</v>
      </c>
    </row>
    <row r="12" spans="2:13" x14ac:dyDescent="0.3">
      <c r="B12" t="s">
        <v>293</v>
      </c>
      <c r="C12" s="135" t="s">
        <v>290</v>
      </c>
      <c r="D12" s="122">
        <f>'Beta Comps'!F6</f>
        <v>58880.36</v>
      </c>
      <c r="E12" s="122">
        <f>'Beta Comps'!E6</f>
        <v>109026.64</v>
      </c>
      <c r="F12" s="127">
        <v>0.3</v>
      </c>
      <c r="G12" s="80">
        <f>D12/E12</f>
        <v>0.54005479761643582</v>
      </c>
      <c r="H12" s="80">
        <f>D12/(D12+E12)</f>
        <v>0.35067245558553245</v>
      </c>
      <c r="I12" s="134">
        <f>'BETA BPCL'!P11</f>
        <v>1.1449836945341856</v>
      </c>
      <c r="J12" s="133">
        <f>I12/(1+(1-F12)*G12)</f>
        <v>0.8308794073921888</v>
      </c>
    </row>
    <row r="13" spans="2:13" x14ac:dyDescent="0.3">
      <c r="B13" t="s">
        <v>292</v>
      </c>
      <c r="C13" s="135" t="s">
        <v>290</v>
      </c>
      <c r="D13" s="122">
        <f>'Beta Comps'!F7</f>
        <v>72548.22</v>
      </c>
      <c r="E13" s="122">
        <f>'Beta Comps'!E7</f>
        <v>68728.67</v>
      </c>
      <c r="F13" s="127">
        <v>0.3</v>
      </c>
      <c r="G13" s="80">
        <f>D13/E13</f>
        <v>1.0555743330985454</v>
      </c>
      <c r="H13" s="80">
        <f>D13/(D13+E13)</f>
        <v>0.51351795753714558</v>
      </c>
      <c r="I13" s="134">
        <f>'BETA HPCL'!P11</f>
        <v>1.3879632468130354</v>
      </c>
      <c r="J13" s="133">
        <f>I13/(1+(1-F13)*G13)</f>
        <v>0.79818369312249626</v>
      </c>
    </row>
    <row r="14" spans="2:13" x14ac:dyDescent="0.3">
      <c r="B14" t="s">
        <v>291</v>
      </c>
      <c r="C14" s="135" t="s">
        <v>290</v>
      </c>
      <c r="D14" s="122">
        <f>'Beta Comps'!F8</f>
        <v>13533.13</v>
      </c>
      <c r="E14" s="122">
        <f>'Beta Comps'!E8</f>
        <v>20265.3</v>
      </c>
      <c r="F14" s="127">
        <v>0.3</v>
      </c>
      <c r="G14" s="80">
        <f>D14/E14</f>
        <v>0.66779815744153803</v>
      </c>
      <c r="H14" s="80">
        <f>D14/(D14+E14)</f>
        <v>0.40040706032795009</v>
      </c>
      <c r="I14" s="134">
        <f>'BETA MRPL'!P11</f>
        <v>1.5171175200300446</v>
      </c>
      <c r="J14" s="133">
        <f>I14/(1+(1-F14)*G14)</f>
        <v>1.0338400048161442</v>
      </c>
    </row>
    <row r="16" spans="2:13" x14ac:dyDescent="0.3">
      <c r="E16" s="132" t="s">
        <v>289</v>
      </c>
      <c r="F16" s="131">
        <f>AVERAGE(F10:F14)</f>
        <v>0.3</v>
      </c>
      <c r="G16" s="131">
        <f>AVERAGE(G10:G14)</f>
        <v>0.6864501923168268</v>
      </c>
      <c r="H16" s="131">
        <f>AVERAGE(H10:H14)</f>
        <v>0.38595704292261124</v>
      </c>
      <c r="I16" s="130">
        <f>AVERAGE(I10:I14)</f>
        <v>1.3250777942630261</v>
      </c>
      <c r="J16" s="130">
        <f>AVERAGE(J10:J14)</f>
        <v>0.90360444492170411</v>
      </c>
    </row>
    <row r="17" spans="2:12" x14ac:dyDescent="0.3">
      <c r="E17" s="119" t="s">
        <v>187</v>
      </c>
      <c r="F17" s="129">
        <f>MEDIAN(F10:F14)</f>
        <v>0.3</v>
      </c>
      <c r="G17" s="129">
        <f>MEDIAN(G10:G14)</f>
        <v>0.66779815744153803</v>
      </c>
      <c r="H17" s="129">
        <f>MEDIAN(H10:H14)</f>
        <v>0.40040706032795009</v>
      </c>
      <c r="I17" s="128">
        <f>MEDIAN(I10:I14)</f>
        <v>1.3879632468130354</v>
      </c>
      <c r="J17" s="128">
        <f>MEDIAN(J10:J14)</f>
        <v>0.85270175012992167</v>
      </c>
    </row>
    <row r="20" spans="2:12" x14ac:dyDescent="0.3">
      <c r="B20" s="119" t="s">
        <v>259</v>
      </c>
      <c r="C20" s="118"/>
      <c r="D20" s="118"/>
      <c r="E20" s="118"/>
      <c r="H20" s="119" t="s">
        <v>288</v>
      </c>
      <c r="I20" s="119"/>
      <c r="J20" s="118"/>
      <c r="K20" s="118"/>
      <c r="L20" s="118"/>
    </row>
    <row r="22" spans="2:12" x14ac:dyDescent="0.3">
      <c r="B22" t="s">
        <v>287</v>
      </c>
      <c r="D22" s="123"/>
      <c r="E22" s="123">
        <f>69/710</f>
        <v>9.7183098591549291E-2</v>
      </c>
      <c r="H22" t="s">
        <v>286</v>
      </c>
      <c r="L22" s="123">
        <v>6.7000000000000004E-2</v>
      </c>
    </row>
    <row r="23" spans="2:12" x14ac:dyDescent="0.3">
      <c r="B23" t="s">
        <v>247</v>
      </c>
      <c r="D23" s="127"/>
      <c r="E23" s="127">
        <f>F14</f>
        <v>0.3</v>
      </c>
      <c r="H23" t="s">
        <v>285</v>
      </c>
      <c r="L23" s="123">
        <f>RM!G7-WACC!L22</f>
        <v>9.9047999999999969E-2</v>
      </c>
    </row>
    <row r="24" spans="2:12" ht="16.2" x14ac:dyDescent="0.3">
      <c r="B24" s="63" t="s">
        <v>284</v>
      </c>
      <c r="C24" s="63"/>
      <c r="D24" s="126"/>
      <c r="E24" s="125">
        <f>E22*(1-E23)</f>
        <v>6.8028169014084497E-2</v>
      </c>
      <c r="H24" t="s">
        <v>283</v>
      </c>
      <c r="L24" s="124">
        <f>L33</f>
        <v>1.2278780623525229</v>
      </c>
    </row>
    <row r="25" spans="2:12" x14ac:dyDescent="0.3">
      <c r="H25" s="63" t="s">
        <v>282</v>
      </c>
      <c r="I25" s="63"/>
      <c r="J25" s="63"/>
      <c r="K25" s="63"/>
      <c r="L25" s="116">
        <f>L22+L23*L24</f>
        <v>0.18861886631989266</v>
      </c>
    </row>
    <row r="28" spans="2:12" x14ac:dyDescent="0.3">
      <c r="B28" s="119" t="s">
        <v>281</v>
      </c>
      <c r="C28" s="118"/>
      <c r="D28" s="118"/>
      <c r="E28" s="118"/>
      <c r="H28" s="119" t="s">
        <v>280</v>
      </c>
      <c r="I28" s="119"/>
      <c r="J28" s="118"/>
      <c r="K28" s="118"/>
      <c r="L28" s="118"/>
    </row>
    <row r="30" spans="2:12" x14ac:dyDescent="0.3">
      <c r="D30" s="119" t="s">
        <v>279</v>
      </c>
      <c r="E30" s="119" t="s">
        <v>278</v>
      </c>
      <c r="H30" t="s">
        <v>277</v>
      </c>
      <c r="L30" s="124">
        <f>J17</f>
        <v>0.85270175012992167</v>
      </c>
    </row>
    <row r="31" spans="2:12" x14ac:dyDescent="0.3">
      <c r="B31" t="s">
        <v>276</v>
      </c>
      <c r="C31" s="122">
        <f>D10</f>
        <v>357525</v>
      </c>
      <c r="D31" s="5">
        <f>C31/$C$33</f>
        <v>0.17703613917032615</v>
      </c>
      <c r="E31" s="123">
        <f>H16</f>
        <v>0.38595704292261124</v>
      </c>
      <c r="H31" t="s">
        <v>275</v>
      </c>
      <c r="L31" s="5">
        <f>E35</f>
        <v>0.62855055737406407</v>
      </c>
    </row>
    <row r="32" spans="2:12" x14ac:dyDescent="0.3">
      <c r="B32" t="s">
        <v>70</v>
      </c>
      <c r="C32" s="122">
        <f>E10</f>
        <v>1661977.92</v>
      </c>
      <c r="D32" s="5">
        <f>C32/$C$33</f>
        <v>0.82296386082967388</v>
      </c>
      <c r="E32" s="5">
        <f>E33-E31</f>
        <v>0.61404295707738876</v>
      </c>
      <c r="H32" t="s">
        <v>247</v>
      </c>
      <c r="L32" s="114">
        <f>E23</f>
        <v>0.3</v>
      </c>
    </row>
    <row r="33" spans="2:12" x14ac:dyDescent="0.3">
      <c r="B33" s="63" t="s">
        <v>274</v>
      </c>
      <c r="C33" s="63">
        <f>C31+C32</f>
        <v>2019502.92</v>
      </c>
      <c r="D33" s="116">
        <f>D31+D32</f>
        <v>1</v>
      </c>
      <c r="E33" s="121">
        <v>1</v>
      </c>
      <c r="H33" s="63" t="s">
        <v>273</v>
      </c>
      <c r="I33" s="63"/>
      <c r="J33" s="63"/>
      <c r="K33" s="63"/>
      <c r="L33" s="120">
        <f>L30*(1+(1-L32)*L31)</f>
        <v>1.2278780623525229</v>
      </c>
    </row>
    <row r="35" spans="2:12" x14ac:dyDescent="0.3">
      <c r="B35" t="s">
        <v>272</v>
      </c>
      <c r="D35" s="80">
        <f>D31/D32</f>
        <v>0.2151201864342458</v>
      </c>
      <c r="E35" s="80">
        <f>E31/E32</f>
        <v>0.62855055737406407</v>
      </c>
      <c r="H35" s="119" t="s">
        <v>265</v>
      </c>
      <c r="I35" s="119"/>
      <c r="J35" s="119"/>
      <c r="K35" s="119"/>
      <c r="L35" s="118"/>
    </row>
    <row r="37" spans="2:12" x14ac:dyDescent="0.3">
      <c r="K37" t="s">
        <v>271</v>
      </c>
      <c r="L37" t="s">
        <v>270</v>
      </c>
    </row>
    <row r="38" spans="2:12" x14ac:dyDescent="0.3">
      <c r="H38" t="s">
        <v>269</v>
      </c>
      <c r="K38" s="5">
        <f>E24</f>
        <v>6.8028169014084497E-2</v>
      </c>
      <c r="L38" s="5">
        <f>E31</f>
        <v>0.38595704292261124</v>
      </c>
    </row>
    <row r="39" spans="2:12" x14ac:dyDescent="0.3">
      <c r="B39" s="117" t="s">
        <v>268</v>
      </c>
      <c r="H39" t="s">
        <v>267</v>
      </c>
      <c r="K39" s="5">
        <f>L25</f>
        <v>0.18861886631989266</v>
      </c>
      <c r="L39" s="5">
        <f>E32</f>
        <v>0.61404295707738876</v>
      </c>
    </row>
    <row r="40" spans="2:12" x14ac:dyDescent="0.3">
      <c r="B40" s="115" t="s">
        <v>266</v>
      </c>
      <c r="C40" s="115"/>
      <c r="D40" s="115"/>
      <c r="H40" s="63" t="s">
        <v>265</v>
      </c>
      <c r="I40" s="63"/>
      <c r="J40" s="63"/>
      <c r="K40" s="63"/>
      <c r="L40" s="116">
        <f>SUMPRODUCT(K38:K39,L38:L39)</f>
        <v>0.14207603738376726</v>
      </c>
    </row>
    <row r="41" spans="2:12" x14ac:dyDescent="0.3">
      <c r="B41" s="115" t="s">
        <v>264</v>
      </c>
      <c r="C41" s="115"/>
      <c r="D41" s="115"/>
    </row>
    <row r="42" spans="2:12" x14ac:dyDescent="0.3">
      <c r="B42" s="115" t="s">
        <v>263</v>
      </c>
      <c r="C42" s="115"/>
      <c r="D42" s="115"/>
    </row>
    <row r="43" spans="2:12" x14ac:dyDescent="0.3">
      <c r="B43" s="115" t="s">
        <v>262</v>
      </c>
      <c r="C43" s="115"/>
      <c r="D43" s="115"/>
      <c r="H43" t="s">
        <v>261</v>
      </c>
      <c r="K43" s="5">
        <f>L25</f>
        <v>0.18861886631989266</v>
      </c>
    </row>
    <row r="44" spans="2:12" x14ac:dyDescent="0.3">
      <c r="H44" t="s">
        <v>260</v>
      </c>
      <c r="K44" s="5">
        <f>E32</f>
        <v>0.61404295707738876</v>
      </c>
    </row>
    <row r="46" spans="2:12" x14ac:dyDescent="0.3">
      <c r="H46" t="s">
        <v>259</v>
      </c>
      <c r="K46" s="5">
        <f>E24</f>
        <v>6.8028169014084497E-2</v>
      </c>
    </row>
    <row r="47" spans="2:12" x14ac:dyDescent="0.3">
      <c r="H47" t="s">
        <v>258</v>
      </c>
      <c r="K47" s="5">
        <f>E31</f>
        <v>0.38595704292261124</v>
      </c>
    </row>
    <row r="48" spans="2:12" x14ac:dyDescent="0.3">
      <c r="H48" s="2" t="s">
        <v>257</v>
      </c>
      <c r="K48" s="16">
        <f>(K43*K44)+(K46*K47)</f>
        <v>0.14207603738376726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3D0C1-0F5D-4A0D-9AAC-5E1C44164FCE}">
  <sheetPr>
    <tabColor rgb="FF002060"/>
  </sheetPr>
  <dimension ref="B2:W111"/>
  <sheetViews>
    <sheetView showGridLines="0" workbookViewId="0">
      <selection activeCell="G7" sqref="G7"/>
    </sheetView>
  </sheetViews>
  <sheetFormatPr defaultRowHeight="14.4" x14ac:dyDescent="0.3"/>
  <cols>
    <col min="1" max="1" width="2.33203125" customWidth="1"/>
    <col min="2" max="2" width="13" customWidth="1"/>
    <col min="3" max="3" width="15.33203125" customWidth="1"/>
    <col min="4" max="4" width="14.33203125" customWidth="1"/>
    <col min="7" max="7" width="12.109375" customWidth="1"/>
    <col min="8" max="8" width="15.109375" customWidth="1"/>
    <col min="15" max="15" width="12" customWidth="1"/>
    <col min="16" max="16" width="12.5546875" customWidth="1"/>
    <col min="17" max="17" width="13.88671875" customWidth="1"/>
    <col min="18" max="18" width="14.6640625" customWidth="1"/>
    <col min="19" max="19" width="11.88671875" customWidth="1"/>
    <col min="20" max="20" width="13.21875" customWidth="1"/>
    <col min="21" max="21" width="12.44140625" customWidth="1"/>
    <col min="22" max="22" width="12.33203125" customWidth="1"/>
    <col min="23" max="23" width="12.88671875" customWidth="1"/>
  </cols>
  <sheetData>
    <row r="2" spans="2:16" x14ac:dyDescent="0.3">
      <c r="B2" s="2" t="s">
        <v>347</v>
      </c>
    </row>
    <row r="4" spans="2:16" x14ac:dyDescent="0.3">
      <c r="B4" s="148" t="s">
        <v>346</v>
      </c>
      <c r="C4" s="148"/>
      <c r="D4" s="148"/>
      <c r="G4" s="148" t="s">
        <v>345</v>
      </c>
      <c r="H4" s="148"/>
      <c r="I4" s="148"/>
      <c r="K4" s="148" t="s">
        <v>344</v>
      </c>
      <c r="L4" s="148"/>
      <c r="M4" s="148"/>
    </row>
    <row r="6" spans="2:16" x14ac:dyDescent="0.3">
      <c r="B6" s="147" t="s">
        <v>343</v>
      </c>
      <c r="C6" s="146" t="s">
        <v>49</v>
      </c>
      <c r="D6" s="146" t="s">
        <v>341</v>
      </c>
      <c r="G6" s="146" t="s">
        <v>342</v>
      </c>
      <c r="H6" s="146" t="s">
        <v>341</v>
      </c>
      <c r="K6" t="s">
        <v>340</v>
      </c>
      <c r="M6" s="124">
        <f>P11</f>
        <v>1.1533655170829655</v>
      </c>
    </row>
    <row r="7" spans="2:16" x14ac:dyDescent="0.3">
      <c r="B7" s="142">
        <v>44983</v>
      </c>
      <c r="C7" s="141">
        <v>1082.8</v>
      </c>
      <c r="D7" s="5"/>
      <c r="G7" s="141">
        <v>17594.349999999999</v>
      </c>
      <c r="K7" t="s">
        <v>339</v>
      </c>
      <c r="M7" s="114">
        <v>0.75</v>
      </c>
    </row>
    <row r="8" spans="2:16" x14ac:dyDescent="0.3">
      <c r="B8" s="142">
        <v>44990</v>
      </c>
      <c r="C8" s="141">
        <v>1054.3399999999999</v>
      </c>
      <c r="D8" s="5">
        <f>C8/C7 -1</f>
        <v>-2.6283708902844483E-2</v>
      </c>
      <c r="G8" s="141">
        <v>17412.900000000001</v>
      </c>
      <c r="H8" s="5">
        <f>G8/G7 -1</f>
        <v>-1.0312969788596749E-2</v>
      </c>
      <c r="O8" t="s">
        <v>338</v>
      </c>
      <c r="P8" s="124">
        <f>SLOPE(D8:D110,H8:H110)</f>
        <v>1.1533655170829649</v>
      </c>
    </row>
    <row r="9" spans="2:16" x14ac:dyDescent="0.3">
      <c r="B9" s="142">
        <v>44997</v>
      </c>
      <c r="C9" s="141">
        <v>1009.13</v>
      </c>
      <c r="D9" s="5">
        <f>C9/C8 -1</f>
        <v>-4.2879905912703631E-2</v>
      </c>
      <c r="G9" s="141">
        <v>17100.05</v>
      </c>
      <c r="H9" s="5">
        <f>G9/G8 -1</f>
        <v>-1.796656501788918E-2</v>
      </c>
      <c r="K9" t="s">
        <v>337</v>
      </c>
      <c r="M9">
        <v>1</v>
      </c>
      <c r="O9" t="s">
        <v>336</v>
      </c>
      <c r="P9" s="124">
        <f>_xlfn.COVARIANCE.S(D7:D110,H7:H110)/_xlfn.VAR.S(H7:H110)</f>
        <v>1.1533655170829649</v>
      </c>
    </row>
    <row r="10" spans="2:16" x14ac:dyDescent="0.3">
      <c r="B10" s="142">
        <v>45004</v>
      </c>
      <c r="C10" s="141">
        <v>1000.14</v>
      </c>
      <c r="D10" s="5">
        <f>C10/C9 -1</f>
        <v>-8.9086638986057842E-3</v>
      </c>
      <c r="G10" s="141">
        <v>16945.05</v>
      </c>
      <c r="H10" s="5">
        <f>G10/G9 -1</f>
        <v>-9.0643009815760678E-3</v>
      </c>
      <c r="K10" t="s">
        <v>335</v>
      </c>
      <c r="M10" s="114">
        <v>0.25</v>
      </c>
    </row>
    <row r="11" spans="2:16" x14ac:dyDescent="0.3">
      <c r="B11" s="142">
        <v>45011</v>
      </c>
      <c r="C11" s="141">
        <v>1058.1300000000001</v>
      </c>
      <c r="D11" s="5">
        <f>C11/C10 -1</f>
        <v>5.7981882536445095E-2</v>
      </c>
      <c r="G11" s="141">
        <v>17359.75</v>
      </c>
      <c r="H11" s="5">
        <f>G11/G10 -1</f>
        <v>2.4473223743807226E-2</v>
      </c>
      <c r="O11" t="s">
        <v>334</v>
      </c>
      <c r="P11" s="124">
        <f>P30</f>
        <v>1.1533655170829655</v>
      </c>
    </row>
    <row r="12" spans="2:16" x14ac:dyDescent="0.3">
      <c r="B12" s="142">
        <v>45018</v>
      </c>
      <c r="C12" s="141">
        <v>1062.8499999999999</v>
      </c>
      <c r="D12" s="5">
        <f>C12/C11 -1</f>
        <v>4.4606995359737223E-3</v>
      </c>
      <c r="G12" s="141">
        <v>17599.150000000001</v>
      </c>
      <c r="H12" s="5">
        <f>G12/G11 -1</f>
        <v>1.3790521176860304E-2</v>
      </c>
      <c r="K12" s="78" t="s">
        <v>333</v>
      </c>
      <c r="L12" s="78"/>
      <c r="M12" s="78">
        <f>(M6*M7)+(M9*M10)</f>
        <v>1.1150241378122241</v>
      </c>
    </row>
    <row r="13" spans="2:16" x14ac:dyDescent="0.3">
      <c r="B13" s="142">
        <v>45025</v>
      </c>
      <c r="C13" s="141">
        <v>1069.23</v>
      </c>
      <c r="D13" s="5">
        <f>C13/C12 -1</f>
        <v>6.0027285129604646E-3</v>
      </c>
      <c r="G13" s="141">
        <v>17828</v>
      </c>
      <c r="H13" s="5">
        <f>G13/G12 -1</f>
        <v>1.3003468917532901E-2</v>
      </c>
      <c r="O13" t="s">
        <v>332</v>
      </c>
    </row>
    <row r="14" spans="2:16" ht="15" thickBot="1" x14ac:dyDescent="0.35">
      <c r="B14" s="142">
        <v>45032</v>
      </c>
      <c r="C14" s="141">
        <v>1066.28</v>
      </c>
      <c r="D14" s="5">
        <f>C14/C13 -1</f>
        <v>-2.7589947906437873E-3</v>
      </c>
      <c r="G14" s="141">
        <v>17624.05</v>
      </c>
      <c r="H14" s="5">
        <f>G14/G13 -1</f>
        <v>-1.143986986762402E-2</v>
      </c>
    </row>
    <row r="15" spans="2:16" x14ac:dyDescent="0.3">
      <c r="B15" s="142">
        <v>45039</v>
      </c>
      <c r="C15" s="141">
        <v>1098.74</v>
      </c>
      <c r="D15" s="5">
        <f>C15/C14 -1</f>
        <v>3.0442285328431629E-2</v>
      </c>
      <c r="G15" s="141">
        <v>18065</v>
      </c>
      <c r="H15" s="5">
        <f>G15/G14 -1</f>
        <v>2.5019788300645995E-2</v>
      </c>
      <c r="O15" s="145" t="s">
        <v>331</v>
      </c>
      <c r="P15" s="145"/>
    </row>
    <row r="16" spans="2:16" x14ac:dyDescent="0.3">
      <c r="B16" s="142">
        <v>45046</v>
      </c>
      <c r="C16" s="141">
        <v>1108.3800000000001</v>
      </c>
      <c r="D16" s="5">
        <f>C16/C15 -1</f>
        <v>8.7736862224003787E-3</v>
      </c>
      <c r="G16" s="141">
        <v>18069</v>
      </c>
      <c r="H16" s="5">
        <f>G16/G15 -1</f>
        <v>2.2142264046509652E-4</v>
      </c>
      <c r="O16" t="s">
        <v>330</v>
      </c>
      <c r="P16">
        <v>0.68584391741765172</v>
      </c>
    </row>
    <row r="17" spans="2:23" x14ac:dyDescent="0.3">
      <c r="B17" s="142">
        <v>45053</v>
      </c>
      <c r="C17" s="141">
        <v>1127.72</v>
      </c>
      <c r="D17" s="5">
        <f>C17/C16 -1</f>
        <v>1.7448889370071496E-2</v>
      </c>
      <c r="G17" s="141">
        <v>18314.8</v>
      </c>
      <c r="H17" s="5">
        <f>G17/G16 -1</f>
        <v>1.3603409153799317E-2</v>
      </c>
      <c r="O17" t="s">
        <v>329</v>
      </c>
      <c r="P17">
        <v>0.4703818790587907</v>
      </c>
    </row>
    <row r="18" spans="2:23" x14ac:dyDescent="0.3">
      <c r="B18" s="142">
        <v>45060</v>
      </c>
      <c r="C18" s="141">
        <v>1108.47</v>
      </c>
      <c r="D18" s="5">
        <f>C18/C17 -1</f>
        <v>-1.7069840031213368E-2</v>
      </c>
      <c r="G18" s="141">
        <v>18203.400000000001</v>
      </c>
      <c r="H18" s="5">
        <f>G18/G17 -1</f>
        <v>-6.0825125035489647E-3</v>
      </c>
      <c r="O18" t="s">
        <v>328</v>
      </c>
      <c r="P18">
        <v>0.46513813528709558</v>
      </c>
    </row>
    <row r="19" spans="2:23" x14ac:dyDescent="0.3">
      <c r="B19" s="142">
        <v>45067</v>
      </c>
      <c r="C19" s="141">
        <v>1137.77</v>
      </c>
      <c r="D19" s="5">
        <f>C19/C18 -1</f>
        <v>2.6432830838904131E-2</v>
      </c>
      <c r="G19" s="141">
        <v>18499.349999999999</v>
      </c>
      <c r="H19" s="5">
        <f>G19/G18 -1</f>
        <v>1.6257951811200044E-2</v>
      </c>
      <c r="O19" t="s">
        <v>317</v>
      </c>
      <c r="P19">
        <v>1.9277528755936399E-2</v>
      </c>
    </row>
    <row r="20" spans="2:23" ht="15" thickBot="1" x14ac:dyDescent="0.35">
      <c r="B20" s="142">
        <v>45074</v>
      </c>
      <c r="C20" s="141">
        <v>1114.49</v>
      </c>
      <c r="D20" s="5">
        <f>C20/C19 -1</f>
        <v>-2.0461077370646064E-2</v>
      </c>
      <c r="G20" s="141">
        <v>18534.099999999999</v>
      </c>
      <c r="H20" s="5">
        <f>G20/G19 -1</f>
        <v>1.8784443777755122E-3</v>
      </c>
      <c r="O20" s="143" t="s">
        <v>327</v>
      </c>
      <c r="P20" s="143">
        <v>103</v>
      </c>
    </row>
    <row r="21" spans="2:23" x14ac:dyDescent="0.3">
      <c r="B21" s="142">
        <v>45081</v>
      </c>
      <c r="C21" s="141">
        <v>1126.6300000000001</v>
      </c>
      <c r="D21" s="5">
        <f>C21/C20 -1</f>
        <v>1.0892874767831184E-2</v>
      </c>
      <c r="G21" s="141">
        <v>18563.400000000001</v>
      </c>
      <c r="H21" s="5">
        <f>G21/G20 -1</f>
        <v>1.5808698561032841E-3</v>
      </c>
    </row>
    <row r="22" spans="2:23" ht="15" thickBot="1" x14ac:dyDescent="0.35">
      <c r="B22" s="142">
        <v>45088</v>
      </c>
      <c r="C22" s="141">
        <v>1169.96</v>
      </c>
      <c r="D22" s="5">
        <f>C22/C21 -1</f>
        <v>3.8459831532978717E-2</v>
      </c>
      <c r="G22" s="141">
        <v>18826</v>
      </c>
      <c r="H22" s="5">
        <f>G22/G21 -1</f>
        <v>1.4146115474535925E-2</v>
      </c>
      <c r="O22" t="s">
        <v>326</v>
      </c>
    </row>
    <row r="23" spans="2:23" x14ac:dyDescent="0.3">
      <c r="B23" s="142">
        <v>45095</v>
      </c>
      <c r="C23" s="141">
        <v>1141.52</v>
      </c>
      <c r="D23" s="5">
        <f>C23/C22 -1</f>
        <v>-2.4308523368320345E-2</v>
      </c>
      <c r="G23" s="141">
        <v>18665.5</v>
      </c>
      <c r="H23" s="5">
        <f>G23/G22 -1</f>
        <v>-8.5254435355359703E-3</v>
      </c>
      <c r="O23" s="144"/>
      <c r="P23" s="144" t="s">
        <v>325</v>
      </c>
      <c r="Q23" s="144" t="s">
        <v>324</v>
      </c>
      <c r="R23" s="144" t="s">
        <v>323</v>
      </c>
      <c r="S23" s="144" t="s">
        <v>322</v>
      </c>
      <c r="T23" s="144" t="s">
        <v>321</v>
      </c>
    </row>
    <row r="24" spans="2:23" x14ac:dyDescent="0.3">
      <c r="B24" s="142">
        <v>45102</v>
      </c>
      <c r="C24" s="141">
        <v>1157.6300000000001</v>
      </c>
      <c r="D24" s="5">
        <f>C24/C23 -1</f>
        <v>1.4112761931459827E-2</v>
      </c>
      <c r="G24" s="141">
        <v>19189.05</v>
      </c>
      <c r="H24" s="5">
        <f>G24/G23 -1</f>
        <v>2.8049074495727355E-2</v>
      </c>
      <c r="O24" t="s">
        <v>320</v>
      </c>
      <c r="P24">
        <v>1</v>
      </c>
      <c r="Q24">
        <v>3.3335873512512673E-2</v>
      </c>
      <c r="R24">
        <v>3.3335873512512673E-2</v>
      </c>
      <c r="S24">
        <v>89.703444626305739</v>
      </c>
      <c r="T24">
        <v>1.3121260630423456E-15</v>
      </c>
    </row>
    <row r="25" spans="2:23" x14ac:dyDescent="0.3">
      <c r="B25" s="142">
        <v>45109</v>
      </c>
      <c r="C25" s="141">
        <v>1195.47</v>
      </c>
      <c r="D25" s="5">
        <f>C25/C24 -1</f>
        <v>3.268747354508772E-2</v>
      </c>
      <c r="G25" s="141">
        <v>19331.8</v>
      </c>
      <c r="H25" s="5">
        <f>G25/G24 -1</f>
        <v>7.4391384669902916E-3</v>
      </c>
      <c r="O25" t="s">
        <v>319</v>
      </c>
      <c r="P25">
        <v>101</v>
      </c>
      <c r="Q25">
        <v>3.7533934608531438E-2</v>
      </c>
      <c r="R25">
        <v>3.7162311493595481E-4</v>
      </c>
    </row>
    <row r="26" spans="2:23" ht="15" thickBot="1" x14ac:dyDescent="0.35">
      <c r="B26" s="142">
        <v>45116</v>
      </c>
      <c r="C26" s="141">
        <v>1244.08</v>
      </c>
      <c r="D26" s="5">
        <f>C26/C25 -1</f>
        <v>4.0661831748182609E-2</v>
      </c>
      <c r="G26" s="141">
        <v>19564.5</v>
      </c>
      <c r="H26" s="5">
        <f>G26/G25 -1</f>
        <v>1.2037161567986399E-2</v>
      </c>
      <c r="O26" s="143" t="s">
        <v>26</v>
      </c>
      <c r="P26" s="143">
        <v>102</v>
      </c>
      <c r="Q26" s="143">
        <v>7.0869808121044112E-2</v>
      </c>
      <c r="R26" s="143"/>
      <c r="S26" s="143"/>
      <c r="T26" s="143"/>
    </row>
    <row r="27" spans="2:23" ht="15" thickBot="1" x14ac:dyDescent="0.35">
      <c r="B27" s="142">
        <v>45123</v>
      </c>
      <c r="C27" s="141">
        <v>1269.3800000000001</v>
      </c>
      <c r="D27" s="5">
        <f>C27/C26 -1</f>
        <v>2.0336312777313514E-2</v>
      </c>
      <c r="G27" s="141">
        <v>19745</v>
      </c>
      <c r="H27" s="5">
        <f>G27/G26 -1</f>
        <v>9.225893838329613E-3</v>
      </c>
    </row>
    <row r="28" spans="2:23" x14ac:dyDescent="0.3">
      <c r="B28" s="142">
        <v>45130</v>
      </c>
      <c r="C28" s="141">
        <v>1263.93</v>
      </c>
      <c r="D28" s="5">
        <f>C28/C27 -1</f>
        <v>-4.2934345901148863E-3</v>
      </c>
      <c r="G28" s="141">
        <v>19646.05</v>
      </c>
      <c r="H28" s="5">
        <f>G28/G27 -1</f>
        <v>-5.0113952899468739E-3</v>
      </c>
      <c r="O28" s="144"/>
      <c r="P28" s="144" t="s">
        <v>318</v>
      </c>
      <c r="Q28" s="144" t="s">
        <v>317</v>
      </c>
      <c r="R28" s="144" t="s">
        <v>316</v>
      </c>
      <c r="S28" s="144" t="s">
        <v>315</v>
      </c>
      <c r="T28" s="144" t="s">
        <v>314</v>
      </c>
      <c r="U28" s="144" t="s">
        <v>313</v>
      </c>
      <c r="V28" s="144" t="s">
        <v>312</v>
      </c>
      <c r="W28" s="144" t="s">
        <v>311</v>
      </c>
    </row>
    <row r="29" spans="2:23" x14ac:dyDescent="0.3">
      <c r="B29" s="142">
        <v>45137</v>
      </c>
      <c r="C29" s="141">
        <v>1254.78</v>
      </c>
      <c r="D29" s="5">
        <f>C29/C28 -1</f>
        <v>-7.2393249626167E-3</v>
      </c>
      <c r="G29" s="141">
        <v>19517</v>
      </c>
      <c r="H29" s="5">
        <f>G29/G28 -1</f>
        <v>-6.568750461288575E-3</v>
      </c>
      <c r="O29" t="s">
        <v>310</v>
      </c>
      <c r="P29">
        <v>-1.476710141918446E-3</v>
      </c>
      <c r="Q29">
        <v>1.9264841222109083E-3</v>
      </c>
      <c r="R29">
        <v>-0.76653117712889107</v>
      </c>
      <c r="S29">
        <v>0.4451482506627974</v>
      </c>
      <c r="T29">
        <v>-5.2983364218499385E-3</v>
      </c>
      <c r="U29">
        <v>2.344916138013047E-3</v>
      </c>
      <c r="V29">
        <v>-5.2983364218499385E-3</v>
      </c>
      <c r="W29">
        <v>2.344916138013047E-3</v>
      </c>
    </row>
    <row r="30" spans="2:23" ht="15" thickBot="1" x14ac:dyDescent="0.35">
      <c r="B30" s="142">
        <v>45144</v>
      </c>
      <c r="C30" s="141">
        <v>1273.57</v>
      </c>
      <c r="D30" s="5">
        <f>C30/C29 -1</f>
        <v>1.4974736607213934E-2</v>
      </c>
      <c r="G30" s="141">
        <v>19428.3</v>
      </c>
      <c r="H30" s="5">
        <f>G30/G29 -1</f>
        <v>-4.5447558538710409E-3</v>
      </c>
      <c r="O30" s="143" t="s">
        <v>309</v>
      </c>
      <c r="P30" s="143">
        <v>1.1533655170829655</v>
      </c>
      <c r="Q30" s="143">
        <v>0.12177619575206654</v>
      </c>
      <c r="R30" s="143">
        <v>9.4711902433804926</v>
      </c>
      <c r="S30" s="143">
        <v>1.3121260630422987E-15</v>
      </c>
      <c r="T30" s="143">
        <v>0.91179430214760049</v>
      </c>
      <c r="U30" s="143">
        <v>1.3949367320183306</v>
      </c>
      <c r="V30" s="143">
        <v>0.91179430214760049</v>
      </c>
      <c r="W30" s="143">
        <v>1.3949367320183306</v>
      </c>
    </row>
    <row r="31" spans="2:23" x14ac:dyDescent="0.3">
      <c r="B31" s="142">
        <v>45151</v>
      </c>
      <c r="C31" s="141">
        <v>1278.4000000000001</v>
      </c>
      <c r="D31" s="5">
        <f>C31/C30 -1</f>
        <v>3.79248883061023E-3</v>
      </c>
      <c r="G31" s="141">
        <v>19310.150000000001</v>
      </c>
      <c r="H31" s="5">
        <f>G31/G30 -1</f>
        <v>-6.0813349598265454E-3</v>
      </c>
    </row>
    <row r="32" spans="2:23" x14ac:dyDescent="0.3">
      <c r="B32" s="142">
        <v>45158</v>
      </c>
      <c r="C32" s="141">
        <v>1234.18</v>
      </c>
      <c r="D32" s="5">
        <f>C32/C31 -1</f>
        <v>-3.459011264080103E-2</v>
      </c>
      <c r="G32" s="141">
        <v>19265.8</v>
      </c>
      <c r="H32" s="5">
        <f>G32/G31 -1</f>
        <v>-2.2967196008317758E-3</v>
      </c>
    </row>
    <row r="33" spans="2:8" x14ac:dyDescent="0.3">
      <c r="B33" s="142">
        <v>45165</v>
      </c>
      <c r="C33" s="141">
        <v>1206.32</v>
      </c>
      <c r="D33" s="5">
        <f>C33/C32 -1</f>
        <v>-2.2573692654232036E-2</v>
      </c>
      <c r="G33" s="141">
        <v>19435.3</v>
      </c>
      <c r="H33" s="5">
        <f>G33/G32 -1</f>
        <v>8.7979736112697715E-3</v>
      </c>
    </row>
    <row r="34" spans="2:8" x14ac:dyDescent="0.3">
      <c r="B34" s="142">
        <v>45172</v>
      </c>
      <c r="C34" s="141">
        <v>1224.0999999999999</v>
      </c>
      <c r="D34" s="5">
        <f>C34/C33 -1</f>
        <v>1.4739041050467527E-2</v>
      </c>
      <c r="G34" s="141">
        <v>19819.95</v>
      </c>
      <c r="H34" s="5">
        <f>G34/G33 -1</f>
        <v>1.9791307569216876E-2</v>
      </c>
    </row>
    <row r="35" spans="2:8" x14ac:dyDescent="0.3">
      <c r="B35" s="142">
        <v>45179</v>
      </c>
      <c r="C35" s="141">
        <v>1228.93</v>
      </c>
      <c r="D35" s="5">
        <f>C35/C34 -1</f>
        <v>3.9457560656810386E-3</v>
      </c>
      <c r="G35" s="141">
        <v>20192.349999999999</v>
      </c>
      <c r="H35" s="5">
        <f>G35/G34 -1</f>
        <v>1.8789149316723597E-2</v>
      </c>
    </row>
    <row r="36" spans="2:8" x14ac:dyDescent="0.3">
      <c r="B36" s="142">
        <v>45186</v>
      </c>
      <c r="C36" s="141">
        <v>1177.47</v>
      </c>
      <c r="D36" s="5">
        <f>C36/C35 -1</f>
        <v>-4.1873825197529579E-2</v>
      </c>
      <c r="G36" s="141">
        <v>19674.25</v>
      </c>
      <c r="H36" s="5">
        <f>G36/G35 -1</f>
        <v>-2.5658231954180599E-2</v>
      </c>
    </row>
    <row r="37" spans="2:8" x14ac:dyDescent="0.3">
      <c r="B37" s="142">
        <v>45193</v>
      </c>
      <c r="C37" s="141">
        <v>1172.5</v>
      </c>
      <c r="D37" s="5">
        <f>C37/C36 -1</f>
        <v>-4.220914333273873E-3</v>
      </c>
      <c r="G37" s="141">
        <v>19638.3</v>
      </c>
      <c r="H37" s="5">
        <f>G37/G36 -1</f>
        <v>-1.8272615220402688E-3</v>
      </c>
    </row>
    <row r="38" spans="2:8" x14ac:dyDescent="0.3">
      <c r="B38" s="142">
        <v>45200</v>
      </c>
      <c r="C38" s="141">
        <v>1159</v>
      </c>
      <c r="D38" s="5">
        <f>C38/C37 -1</f>
        <v>-1.1513859275053329E-2</v>
      </c>
      <c r="G38" s="141">
        <v>19653.5</v>
      </c>
      <c r="H38" s="5">
        <f>G38/G37 -1</f>
        <v>7.7399774929598486E-4</v>
      </c>
    </row>
    <row r="39" spans="2:8" x14ac:dyDescent="0.3">
      <c r="B39" s="142">
        <v>45207</v>
      </c>
      <c r="C39" s="141">
        <v>1174.6500000000001</v>
      </c>
      <c r="D39" s="5">
        <f>C39/C38 -1</f>
        <v>1.3503019844693709E-2</v>
      </c>
      <c r="G39" s="141">
        <v>19751.05</v>
      </c>
      <c r="H39" s="5">
        <f>G39/G38 -1</f>
        <v>4.9634925076957881E-3</v>
      </c>
    </row>
    <row r="40" spans="2:8" x14ac:dyDescent="0.3">
      <c r="B40" s="142">
        <v>45214</v>
      </c>
      <c r="C40" s="141">
        <v>1149.55</v>
      </c>
      <c r="D40" s="5">
        <f>C40/C39 -1</f>
        <v>-2.1368067083812337E-2</v>
      </c>
      <c r="G40" s="141">
        <v>19542.650000000001</v>
      </c>
      <c r="H40" s="5">
        <f>G40/G39 -1</f>
        <v>-1.0551337776978809E-2</v>
      </c>
    </row>
    <row r="41" spans="2:8" x14ac:dyDescent="0.3">
      <c r="B41" s="142">
        <v>45221</v>
      </c>
      <c r="C41" s="141">
        <v>1132.9000000000001</v>
      </c>
      <c r="D41" s="5">
        <f>C41/C40 -1</f>
        <v>-1.4483928493758347E-2</v>
      </c>
      <c r="G41" s="141">
        <v>19047.25</v>
      </c>
      <c r="H41" s="5">
        <f>G41/G40 -1</f>
        <v>-2.5349683896503383E-2</v>
      </c>
    </row>
    <row r="42" spans="2:8" x14ac:dyDescent="0.3">
      <c r="B42" s="142">
        <v>45228</v>
      </c>
      <c r="C42" s="141">
        <v>1159.8499999999999</v>
      </c>
      <c r="D42" s="5">
        <f>C42/C41 -1</f>
        <v>2.3788507370465117E-2</v>
      </c>
      <c r="G42" s="141">
        <v>19230.599999999999</v>
      </c>
      <c r="H42" s="5">
        <f>G42/G41 -1</f>
        <v>9.6260615049414966E-3</v>
      </c>
    </row>
    <row r="43" spans="2:8" x14ac:dyDescent="0.3">
      <c r="B43" s="142">
        <v>45235</v>
      </c>
      <c r="C43" s="141">
        <v>1157.45</v>
      </c>
      <c r="D43" s="5">
        <f>C43/C42 -1</f>
        <v>-2.0692330904856782E-3</v>
      </c>
      <c r="G43" s="141">
        <v>19425.349999999999</v>
      </c>
      <c r="H43" s="5">
        <f>G43/G42 -1</f>
        <v>1.0127089118384225E-2</v>
      </c>
    </row>
    <row r="44" spans="2:8" x14ac:dyDescent="0.3">
      <c r="B44" s="142">
        <v>45242</v>
      </c>
      <c r="C44" s="141">
        <v>1177.78</v>
      </c>
      <c r="D44" s="5">
        <f>C44/C43 -1</f>
        <v>1.7564473627370347E-2</v>
      </c>
      <c r="G44" s="141">
        <v>19731.8</v>
      </c>
      <c r="H44" s="5">
        <f>G44/G43 -1</f>
        <v>1.5775777527818002E-2</v>
      </c>
    </row>
    <row r="45" spans="2:8" x14ac:dyDescent="0.3">
      <c r="B45" s="142">
        <v>45249</v>
      </c>
      <c r="C45" s="141">
        <v>1196.95</v>
      </c>
      <c r="D45" s="5">
        <f>C45/C44 -1</f>
        <v>1.6276384384180442E-2</v>
      </c>
      <c r="G45" s="141">
        <v>19794.7</v>
      </c>
      <c r="H45" s="5">
        <f>G45/G44 -1</f>
        <v>3.1877476966115648E-3</v>
      </c>
    </row>
    <row r="46" spans="2:8" x14ac:dyDescent="0.3">
      <c r="B46" s="142">
        <v>45256</v>
      </c>
      <c r="C46" s="141">
        <v>1197.1500000000001</v>
      </c>
      <c r="D46" s="5">
        <f>C46/C45 -1</f>
        <v>1.6709135719961132E-4</v>
      </c>
      <c r="G46" s="141">
        <v>20267.900000000001</v>
      </c>
      <c r="H46" s="5">
        <f>G46/G45 -1</f>
        <v>2.3905388816198414E-2</v>
      </c>
    </row>
    <row r="47" spans="2:8" x14ac:dyDescent="0.3">
      <c r="B47" s="142">
        <v>45263</v>
      </c>
      <c r="C47" s="141">
        <v>1227.8800000000001</v>
      </c>
      <c r="D47" s="5">
        <f>C47/C46 -1</f>
        <v>2.566929791588346E-2</v>
      </c>
      <c r="G47" s="141">
        <v>20969.400000000001</v>
      </c>
      <c r="H47" s="5">
        <f>G47/G46 -1</f>
        <v>3.4611380557433069E-2</v>
      </c>
    </row>
    <row r="48" spans="2:8" x14ac:dyDescent="0.3">
      <c r="B48" s="142">
        <v>45270</v>
      </c>
      <c r="C48" s="141">
        <v>1247.8</v>
      </c>
      <c r="D48" s="5">
        <f>C48/C47 -1</f>
        <v>1.6223083688959639E-2</v>
      </c>
      <c r="G48" s="141">
        <v>21456.65</v>
      </c>
      <c r="H48" s="5">
        <f>G48/G47 -1</f>
        <v>2.3236239472755438E-2</v>
      </c>
    </row>
    <row r="49" spans="2:8" x14ac:dyDescent="0.3">
      <c r="B49" s="142">
        <v>45277</v>
      </c>
      <c r="C49" s="141">
        <v>1282.53</v>
      </c>
      <c r="D49" s="5">
        <f>C49/C48 -1</f>
        <v>2.7832986055457587E-2</v>
      </c>
      <c r="G49" s="141">
        <v>21349.4</v>
      </c>
      <c r="H49" s="5">
        <f>G49/G48 -1</f>
        <v>-4.9984503638732525E-3</v>
      </c>
    </row>
    <row r="50" spans="2:8" x14ac:dyDescent="0.3">
      <c r="B50" s="142">
        <v>45284</v>
      </c>
      <c r="C50" s="141">
        <v>1292.47</v>
      </c>
      <c r="D50" s="5">
        <f>C50/C49 -1</f>
        <v>7.7503060357262399E-3</v>
      </c>
      <c r="G50" s="141">
        <v>21731.4</v>
      </c>
      <c r="H50" s="5">
        <f>G50/G49 -1</f>
        <v>1.7892774504201459E-2</v>
      </c>
    </row>
    <row r="51" spans="2:8" x14ac:dyDescent="0.3">
      <c r="B51" s="142">
        <v>45291</v>
      </c>
      <c r="C51" s="141">
        <v>1303.8499999999999</v>
      </c>
      <c r="D51" s="5">
        <f>C51/C50 -1</f>
        <v>8.8048465341554749E-3</v>
      </c>
      <c r="G51" s="141">
        <v>21710.799999999999</v>
      </c>
      <c r="H51" s="5">
        <f>G51/G50 -1</f>
        <v>-9.479370864280412E-4</v>
      </c>
    </row>
    <row r="52" spans="2:8" x14ac:dyDescent="0.3">
      <c r="B52" s="142">
        <v>45298</v>
      </c>
      <c r="C52" s="141">
        <v>1370.72</v>
      </c>
      <c r="D52" s="5">
        <f>C52/C51 -1</f>
        <v>5.1286574375886795E-2</v>
      </c>
      <c r="G52" s="141">
        <v>21894.55</v>
      </c>
      <c r="H52" s="5">
        <f>G52/G51 -1</f>
        <v>8.4635296718684749E-3</v>
      </c>
    </row>
    <row r="53" spans="2:8" x14ac:dyDescent="0.3">
      <c r="B53" s="142">
        <v>45305</v>
      </c>
      <c r="C53" s="141">
        <v>1367.45</v>
      </c>
      <c r="D53" s="5">
        <f>C53/C52 -1</f>
        <v>-2.3856075639080432E-3</v>
      </c>
      <c r="G53" s="141">
        <v>21622.400000000001</v>
      </c>
      <c r="H53" s="5">
        <f>G53/G52 -1</f>
        <v>-1.2430033958222397E-2</v>
      </c>
    </row>
    <row r="54" spans="2:8" x14ac:dyDescent="0.3">
      <c r="B54" s="142">
        <v>45312</v>
      </c>
      <c r="C54" s="141">
        <v>1353.07</v>
      </c>
      <c r="D54" s="5">
        <f>C54/C53 -1</f>
        <v>-1.0515923799773397E-2</v>
      </c>
      <c r="G54" s="141">
        <v>21352.6</v>
      </c>
      <c r="H54" s="5">
        <f>G54/G53 -1</f>
        <v>-1.2477800799171379E-2</v>
      </c>
    </row>
    <row r="55" spans="2:8" x14ac:dyDescent="0.3">
      <c r="B55" s="142">
        <v>45319</v>
      </c>
      <c r="C55" s="141">
        <v>1457.7</v>
      </c>
      <c r="D55" s="5">
        <f>C55/C54 -1</f>
        <v>7.7327854434730003E-2</v>
      </c>
      <c r="G55" s="141">
        <v>21853.8</v>
      </c>
      <c r="H55" s="5">
        <f>G55/G54 -1</f>
        <v>2.3472551352060167E-2</v>
      </c>
    </row>
    <row r="56" spans="2:8" x14ac:dyDescent="0.3">
      <c r="B56" s="142">
        <v>45326</v>
      </c>
      <c r="C56" s="141">
        <v>1460.75</v>
      </c>
      <c r="D56" s="5">
        <f>C56/C55 -1</f>
        <v>2.0923372436028043E-3</v>
      </c>
      <c r="G56" s="141">
        <v>21782.5</v>
      </c>
      <c r="H56" s="5">
        <f>G56/G55 -1</f>
        <v>-3.2625904876955047E-3</v>
      </c>
    </row>
    <row r="57" spans="2:8" x14ac:dyDescent="0.3">
      <c r="B57" s="142">
        <v>45333</v>
      </c>
      <c r="C57" s="141">
        <v>1460.57</v>
      </c>
      <c r="D57" s="5">
        <f>C57/C56 -1</f>
        <v>-1.2322437104228534E-4</v>
      </c>
      <c r="G57" s="141">
        <v>22040.7</v>
      </c>
      <c r="H57" s="5">
        <f>G57/G56 -1</f>
        <v>1.1853552163433978E-2</v>
      </c>
    </row>
    <row r="58" spans="2:8" x14ac:dyDescent="0.3">
      <c r="B58" s="142">
        <v>45340</v>
      </c>
      <c r="C58" s="141">
        <v>1493.63</v>
      </c>
      <c r="D58" s="5">
        <f>C58/C57 -1</f>
        <v>2.2634998664904815E-2</v>
      </c>
      <c r="G58" s="141">
        <v>22212.7</v>
      </c>
      <c r="H58" s="5">
        <f>G58/G57 -1</f>
        <v>7.8037448901351336E-3</v>
      </c>
    </row>
    <row r="59" spans="2:8" x14ac:dyDescent="0.3">
      <c r="B59" s="142">
        <v>45347</v>
      </c>
      <c r="C59" s="141">
        <v>1492.13</v>
      </c>
      <c r="D59" s="5">
        <f>C59/C58 -1</f>
        <v>-1.0042647777561697E-3</v>
      </c>
      <c r="G59" s="141">
        <v>22338.75</v>
      </c>
      <c r="H59" s="5">
        <f>G59/G58 -1</f>
        <v>5.6746816010659895E-3</v>
      </c>
    </row>
    <row r="60" spans="2:8" x14ac:dyDescent="0.3">
      <c r="B60" s="142">
        <v>45354</v>
      </c>
      <c r="C60" s="141">
        <v>1478.93</v>
      </c>
      <c r="D60" s="5">
        <f>C60/C59 -1</f>
        <v>-8.846414186431506E-3</v>
      </c>
      <c r="G60" s="141">
        <v>22493.55</v>
      </c>
      <c r="H60" s="5">
        <f>G60/G59 -1</f>
        <v>6.929662581836471E-3</v>
      </c>
    </row>
    <row r="61" spans="2:8" x14ac:dyDescent="0.3">
      <c r="B61" s="142">
        <v>45361</v>
      </c>
      <c r="C61" s="141">
        <v>1418.22</v>
      </c>
      <c r="D61" s="5">
        <f>C61/C60 -1</f>
        <v>-4.1049948273413905E-2</v>
      </c>
      <c r="G61" s="141">
        <v>22023.35</v>
      </c>
      <c r="H61" s="5">
        <f>G61/G60 -1</f>
        <v>-2.0903770191899484E-2</v>
      </c>
    </row>
    <row r="62" spans="2:8" x14ac:dyDescent="0.3">
      <c r="B62" s="142">
        <v>45368</v>
      </c>
      <c r="C62" s="141">
        <v>1455.03</v>
      </c>
      <c r="D62" s="5">
        <f>C62/C61 -1</f>
        <v>2.5955070440411232E-2</v>
      </c>
      <c r="G62" s="141">
        <v>22096.75</v>
      </c>
      <c r="H62" s="5">
        <f>G62/G61 -1</f>
        <v>3.3328262957270649E-3</v>
      </c>
    </row>
    <row r="63" spans="2:8" x14ac:dyDescent="0.3">
      <c r="B63" s="142">
        <v>45375</v>
      </c>
      <c r="C63" s="141">
        <v>1485.85</v>
      </c>
      <c r="D63" s="5">
        <f>C63/C62 -1</f>
        <v>2.118169384823676E-2</v>
      </c>
      <c r="G63" s="141">
        <v>22326.9</v>
      </c>
      <c r="H63" s="5">
        <f>G63/G62 -1</f>
        <v>1.0415558849152129E-2</v>
      </c>
    </row>
    <row r="64" spans="2:8" x14ac:dyDescent="0.3">
      <c r="B64" s="142">
        <v>45382</v>
      </c>
      <c r="C64" s="141">
        <v>1460.1</v>
      </c>
      <c r="D64" s="5">
        <f>C64/C63 -1</f>
        <v>-1.7330147726890344E-2</v>
      </c>
      <c r="G64" s="141">
        <v>22513.7</v>
      </c>
      <c r="H64" s="5">
        <f>G64/G63 -1</f>
        <v>8.3665891816597782E-3</v>
      </c>
    </row>
    <row r="65" spans="2:8" x14ac:dyDescent="0.3">
      <c r="B65" s="142">
        <v>45389</v>
      </c>
      <c r="C65" s="141">
        <v>1467.15</v>
      </c>
      <c r="D65" s="5">
        <f>C65/C64 -1</f>
        <v>4.8284364084651976E-3</v>
      </c>
      <c r="G65" s="141">
        <v>22519.4</v>
      </c>
      <c r="H65" s="5">
        <f>G65/G64 -1</f>
        <v>2.5317917534661838E-4</v>
      </c>
    </row>
    <row r="66" spans="2:8" x14ac:dyDescent="0.3">
      <c r="B66" s="142">
        <v>45396</v>
      </c>
      <c r="C66" s="141">
        <v>1470.13</v>
      </c>
      <c r="D66" s="5">
        <f>C66/C65 -1</f>
        <v>2.0311488259550092E-3</v>
      </c>
      <c r="G66" s="141">
        <v>22147</v>
      </c>
      <c r="H66" s="5">
        <f>G66/G65 -1</f>
        <v>-1.6536852669254087E-2</v>
      </c>
    </row>
    <row r="67" spans="2:8" x14ac:dyDescent="0.3">
      <c r="B67" s="142">
        <v>45403</v>
      </c>
      <c r="C67" s="141">
        <v>1452.55</v>
      </c>
      <c r="D67" s="5">
        <f>C67/C66 -1</f>
        <v>-1.1958126152109116E-2</v>
      </c>
      <c r="G67" s="141">
        <v>22419.95</v>
      </c>
      <c r="H67" s="5">
        <f>G67/G66 -1</f>
        <v>1.2324468325281002E-2</v>
      </c>
    </row>
    <row r="68" spans="2:8" x14ac:dyDescent="0.3">
      <c r="B68" s="142">
        <v>45410</v>
      </c>
      <c r="C68" s="141">
        <v>1434</v>
      </c>
      <c r="D68" s="5">
        <f>C68/C67 -1</f>
        <v>-1.2770644728236524E-2</v>
      </c>
      <c r="G68" s="141">
        <v>22475.85</v>
      </c>
      <c r="H68" s="5">
        <f>G68/G67 -1</f>
        <v>2.4933151055197555E-3</v>
      </c>
    </row>
    <row r="69" spans="2:8" x14ac:dyDescent="0.3">
      <c r="B69" s="142">
        <v>45417</v>
      </c>
      <c r="C69" s="141">
        <v>1407.43</v>
      </c>
      <c r="D69" s="5">
        <f>C69/C68 -1</f>
        <v>-1.8528591352859114E-2</v>
      </c>
      <c r="G69" s="141">
        <v>22055.200000000001</v>
      </c>
      <c r="H69" s="5">
        <f>G69/G68 -1</f>
        <v>-1.8715643679771743E-2</v>
      </c>
    </row>
    <row r="70" spans="2:8" x14ac:dyDescent="0.3">
      <c r="B70" s="142">
        <v>45424</v>
      </c>
      <c r="C70" s="141">
        <v>1435.7</v>
      </c>
      <c r="D70" s="5">
        <f>C70/C69 -1</f>
        <v>2.008625651009277E-2</v>
      </c>
      <c r="G70" s="141">
        <v>22466.1</v>
      </c>
      <c r="H70" s="5">
        <f>G70/G69 -1</f>
        <v>1.8630527041241907E-2</v>
      </c>
    </row>
    <row r="71" spans="2:8" x14ac:dyDescent="0.3">
      <c r="B71" s="142">
        <v>45431</v>
      </c>
      <c r="C71" s="141">
        <v>1480.25</v>
      </c>
      <c r="D71" s="5">
        <f>C71/C70 -1</f>
        <v>3.1030159504074728E-2</v>
      </c>
      <c r="G71" s="141">
        <v>22957.1</v>
      </c>
      <c r="H71" s="5">
        <f>G71/G70 -1</f>
        <v>2.1855150649200406E-2</v>
      </c>
    </row>
    <row r="72" spans="2:8" x14ac:dyDescent="0.3">
      <c r="B72" s="142">
        <v>45438</v>
      </c>
      <c r="C72" s="141">
        <v>1430.4</v>
      </c>
      <c r="D72" s="5">
        <f>C72/C71 -1</f>
        <v>-3.3676743793278119E-2</v>
      </c>
      <c r="G72" s="141">
        <v>22530.7</v>
      </c>
      <c r="H72" s="5">
        <f>G72/G71 -1</f>
        <v>-1.8573774562117951E-2</v>
      </c>
    </row>
    <row r="73" spans="2:8" x14ac:dyDescent="0.3">
      <c r="B73" s="142">
        <v>45445</v>
      </c>
      <c r="C73" s="141">
        <v>1469.95</v>
      </c>
      <c r="D73" s="5">
        <f>C73/C72 -1</f>
        <v>2.7649608501118639E-2</v>
      </c>
      <c r="G73" s="141">
        <v>23290.15</v>
      </c>
      <c r="H73" s="5">
        <f>G73/G72 -1</f>
        <v>3.3707341538434354E-2</v>
      </c>
    </row>
    <row r="74" spans="2:8" x14ac:dyDescent="0.3">
      <c r="B74" s="142">
        <v>45452</v>
      </c>
      <c r="C74" s="141">
        <v>1477.55</v>
      </c>
      <c r="D74" s="5">
        <f>C74/C73 -1</f>
        <v>5.170243885846304E-3</v>
      </c>
      <c r="G74" s="141">
        <v>23465.599999999999</v>
      </c>
      <c r="H74" s="5">
        <f>G74/G73 -1</f>
        <v>7.5332275661599279E-3</v>
      </c>
    </row>
    <row r="75" spans="2:8" x14ac:dyDescent="0.3">
      <c r="B75" s="142">
        <v>45459</v>
      </c>
      <c r="C75" s="141">
        <v>1454.2</v>
      </c>
      <c r="D75" s="5">
        <f>C75/C74 -1</f>
        <v>-1.5803187709383715E-2</v>
      </c>
      <c r="G75" s="141">
        <v>23501.1</v>
      </c>
      <c r="H75" s="5">
        <f>G75/G74 -1</f>
        <v>1.5128528569481325E-3</v>
      </c>
    </row>
    <row r="76" spans="2:8" x14ac:dyDescent="0.3">
      <c r="B76" s="142">
        <v>45466</v>
      </c>
      <c r="C76" s="141">
        <v>1565.4</v>
      </c>
      <c r="D76" s="5">
        <f>C76/C75 -1</f>
        <v>7.6468161188282258E-2</v>
      </c>
      <c r="G76" s="141">
        <v>24010.6</v>
      </c>
      <c r="H76" s="5">
        <f>G76/G75 -1</f>
        <v>2.1679836262983532E-2</v>
      </c>
    </row>
    <row r="77" spans="2:8" x14ac:dyDescent="0.3">
      <c r="B77" s="142">
        <v>45473</v>
      </c>
      <c r="C77" s="141">
        <v>1588.63</v>
      </c>
      <c r="D77" s="5">
        <f>C77/C76 -1</f>
        <v>1.4839657595502764E-2</v>
      </c>
      <c r="G77" s="141">
        <v>24323.85</v>
      </c>
      <c r="H77" s="5">
        <f>G77/G76 -1</f>
        <v>1.3046321208133094E-2</v>
      </c>
    </row>
    <row r="78" spans="2:8" x14ac:dyDescent="0.3">
      <c r="B78" s="142">
        <v>45480</v>
      </c>
      <c r="C78" s="141">
        <v>1596.72</v>
      </c>
      <c r="D78" s="5">
        <f>C78/C77 -1</f>
        <v>5.0924381385217821E-3</v>
      </c>
      <c r="G78" s="141">
        <v>24502.15</v>
      </c>
      <c r="H78" s="5">
        <f>G78/G77 -1</f>
        <v>7.3302540510651326E-3</v>
      </c>
    </row>
    <row r="79" spans="2:8" x14ac:dyDescent="0.3">
      <c r="B79" s="142">
        <v>45487</v>
      </c>
      <c r="C79" s="141">
        <v>1555.15</v>
      </c>
      <c r="D79" s="5">
        <f>C79/C78 -1</f>
        <v>-2.6034620972994582E-2</v>
      </c>
      <c r="G79" s="141">
        <v>24530.9</v>
      </c>
      <c r="H79" s="5">
        <f>G79/G78 -1</f>
        <v>1.1733664188653403E-3</v>
      </c>
    </row>
    <row r="80" spans="2:8" x14ac:dyDescent="0.3">
      <c r="B80" s="142">
        <v>45494</v>
      </c>
      <c r="C80" s="141">
        <v>1509.03</v>
      </c>
      <c r="D80" s="5">
        <f>C80/C79 -1</f>
        <v>-2.9656303250490401E-2</v>
      </c>
      <c r="G80" s="141">
        <v>24834.85</v>
      </c>
      <c r="H80" s="5">
        <f>G80/G79 -1</f>
        <v>1.2390495252925682E-2</v>
      </c>
    </row>
    <row r="81" spans="2:8" x14ac:dyDescent="0.3">
      <c r="B81" s="142">
        <v>45501</v>
      </c>
      <c r="C81" s="141">
        <v>1499.32</v>
      </c>
      <c r="D81" s="5">
        <f>C81/C80 -1</f>
        <v>-6.4345970590379276E-3</v>
      </c>
      <c r="G81" s="141">
        <v>24717.7</v>
      </c>
      <c r="H81" s="5">
        <f>G81/G80 -1</f>
        <v>-4.7171615693268887E-3</v>
      </c>
    </row>
    <row r="82" spans="2:8" x14ac:dyDescent="0.3">
      <c r="B82" s="142">
        <v>45508</v>
      </c>
      <c r="C82" s="141">
        <v>1474.3</v>
      </c>
      <c r="D82" s="5">
        <f>C82/C81 -1</f>
        <v>-1.6687565029479989E-2</v>
      </c>
      <c r="G82" s="141">
        <v>24367.5</v>
      </c>
      <c r="H82" s="5">
        <f>G82/G81 -1</f>
        <v>-1.4167984885325113E-2</v>
      </c>
    </row>
    <row r="83" spans="2:8" x14ac:dyDescent="0.3">
      <c r="B83" s="142">
        <v>45515</v>
      </c>
      <c r="C83" s="141">
        <v>1478.2</v>
      </c>
      <c r="D83" s="5">
        <f>C83/C82 -1</f>
        <v>2.645323204232497E-3</v>
      </c>
      <c r="G83" s="141">
        <v>24541.15</v>
      </c>
      <c r="H83" s="5">
        <f>G83/G82 -1</f>
        <v>7.1262952703396998E-3</v>
      </c>
    </row>
    <row r="84" spans="2:8" x14ac:dyDescent="0.3">
      <c r="B84" s="142">
        <v>45522</v>
      </c>
      <c r="C84" s="141">
        <v>1499.97</v>
      </c>
      <c r="D84" s="5">
        <f>C84/C83 -1</f>
        <v>1.4727371127046363E-2</v>
      </c>
      <c r="G84" s="141">
        <v>24823.15</v>
      </c>
      <c r="H84" s="5">
        <f>G84/G83 -1</f>
        <v>1.1490904052988471E-2</v>
      </c>
    </row>
    <row r="85" spans="2:8" x14ac:dyDescent="0.3">
      <c r="B85" s="142">
        <v>45529</v>
      </c>
      <c r="C85" s="141">
        <v>1509.63</v>
      </c>
      <c r="D85" s="5">
        <f>C85/C84 -1</f>
        <v>6.4401288025761616E-3</v>
      </c>
      <c r="G85" s="141">
        <v>25235.9</v>
      </c>
      <c r="H85" s="5">
        <f>G85/G84 -1</f>
        <v>1.6627623810837822E-2</v>
      </c>
    </row>
    <row r="86" spans="2:8" x14ac:dyDescent="0.3">
      <c r="B86" s="142">
        <v>45536</v>
      </c>
      <c r="C86" s="141">
        <v>1464.82</v>
      </c>
      <c r="D86" s="5">
        <f>C86/C85 -1</f>
        <v>-2.9682769950252874E-2</v>
      </c>
      <c r="G86" s="141">
        <v>24852.15</v>
      </c>
      <c r="H86" s="5">
        <f>G86/G85 -1</f>
        <v>-1.5206511358818231E-2</v>
      </c>
    </row>
    <row r="87" spans="2:8" x14ac:dyDescent="0.3">
      <c r="B87" s="142">
        <v>45543</v>
      </c>
      <c r="C87" s="141">
        <v>1472.63</v>
      </c>
      <c r="D87" s="5">
        <f>C87/C86 -1</f>
        <v>5.3317131115087069E-3</v>
      </c>
      <c r="G87" s="141">
        <v>25356.5</v>
      </c>
      <c r="H87" s="5">
        <f>G87/G86 -1</f>
        <v>2.0294018827344829E-2</v>
      </c>
    </row>
    <row r="88" spans="2:8" x14ac:dyDescent="0.3">
      <c r="B88" s="142">
        <v>45550</v>
      </c>
      <c r="C88" s="141">
        <v>1485.93</v>
      </c>
      <c r="D88" s="5">
        <f>C88/C87 -1</f>
        <v>9.031460719936435E-3</v>
      </c>
      <c r="G88" s="141">
        <v>25790.95</v>
      </c>
      <c r="H88" s="5">
        <f>G88/G87 -1</f>
        <v>1.7133673811448702E-2</v>
      </c>
    </row>
    <row r="89" spans="2:8" x14ac:dyDescent="0.3">
      <c r="B89" s="142">
        <v>45557</v>
      </c>
      <c r="C89" s="141">
        <v>1526.18</v>
      </c>
      <c r="D89" s="5">
        <f>C89/C88 -1</f>
        <v>2.7087413269804017E-2</v>
      </c>
      <c r="G89" s="141">
        <v>26178.95</v>
      </c>
      <c r="H89" s="5">
        <f>G89/G88 -1</f>
        <v>1.5044036764834123E-2</v>
      </c>
    </row>
    <row r="90" spans="2:8" x14ac:dyDescent="0.3">
      <c r="B90" s="142">
        <v>45564</v>
      </c>
      <c r="C90" s="141">
        <v>1386.53</v>
      </c>
      <c r="D90" s="5">
        <f>C90/C89 -1</f>
        <v>-9.1502968195101508E-2</v>
      </c>
      <c r="G90" s="141">
        <v>25014.6</v>
      </c>
      <c r="H90" s="5">
        <f>G90/G89 -1</f>
        <v>-4.4476573735768743E-2</v>
      </c>
    </row>
    <row r="91" spans="2:8" x14ac:dyDescent="0.3">
      <c r="B91" s="142">
        <v>45571</v>
      </c>
      <c r="C91" s="141">
        <v>1372.1</v>
      </c>
      <c r="D91" s="5">
        <f>C91/C90 -1</f>
        <v>-1.0407275717077891E-2</v>
      </c>
      <c r="G91" s="141">
        <v>24964.25</v>
      </c>
      <c r="H91" s="5">
        <f>G91/G90 -1</f>
        <v>-2.0128245104857889E-3</v>
      </c>
    </row>
    <row r="92" spans="2:8" x14ac:dyDescent="0.3">
      <c r="B92" s="142">
        <v>45578</v>
      </c>
      <c r="C92" s="141">
        <v>1359.3</v>
      </c>
      <c r="D92" s="5">
        <f>C92/C91 -1</f>
        <v>-9.3287661249179532E-3</v>
      </c>
      <c r="G92" s="141">
        <v>24854.05</v>
      </c>
      <c r="H92" s="5">
        <f>G92/G91 -1</f>
        <v>-4.4143124668275524E-3</v>
      </c>
    </row>
    <row r="93" spans="2:8" x14ac:dyDescent="0.3">
      <c r="B93" s="142">
        <v>45585</v>
      </c>
      <c r="C93" s="141">
        <v>1327.85</v>
      </c>
      <c r="D93" s="5">
        <f>C93/C92 -1</f>
        <v>-2.3136908703008885E-2</v>
      </c>
      <c r="G93" s="141">
        <v>24180.799999999999</v>
      </c>
      <c r="H93" s="5">
        <f>G93/G92 -1</f>
        <v>-2.7088140564616281E-2</v>
      </c>
    </row>
    <row r="94" spans="2:8" x14ac:dyDescent="0.3">
      <c r="B94" s="142">
        <v>45592</v>
      </c>
      <c r="C94" s="141">
        <v>1338.65</v>
      </c>
      <c r="D94" s="5">
        <f>C94/C93 -1</f>
        <v>8.1334488082238643E-3</v>
      </c>
      <c r="G94" s="141">
        <v>24304.35</v>
      </c>
      <c r="H94" s="5">
        <f>G94/G93 -1</f>
        <v>5.1094256600276999E-3</v>
      </c>
    </row>
    <row r="95" spans="2:8" x14ac:dyDescent="0.3">
      <c r="B95" s="142">
        <v>45599</v>
      </c>
      <c r="C95" s="141">
        <v>1283.75</v>
      </c>
      <c r="D95" s="5">
        <f>C95/C94 -1</f>
        <v>-4.1011466776229799E-2</v>
      </c>
      <c r="G95" s="141">
        <v>24148.2</v>
      </c>
      <c r="H95" s="5">
        <f>G95/G94 -1</f>
        <v>-6.4247758117372822E-3</v>
      </c>
    </row>
    <row r="96" spans="2:8" x14ac:dyDescent="0.3">
      <c r="B96" s="142">
        <v>45606</v>
      </c>
      <c r="C96" s="141">
        <v>1267.5999999999999</v>
      </c>
      <c r="D96" s="5">
        <f>C96/C95 -1</f>
        <v>-1.2580331061343819E-2</v>
      </c>
      <c r="G96" s="141">
        <v>23532.7</v>
      </c>
      <c r="H96" s="5">
        <f>G96/G95 -1</f>
        <v>-2.5488442202731498E-2</v>
      </c>
    </row>
    <row r="97" spans="2:8" x14ac:dyDescent="0.3">
      <c r="B97" s="142">
        <v>45613</v>
      </c>
      <c r="C97" s="141">
        <v>1265.4000000000001</v>
      </c>
      <c r="D97" s="5">
        <f>C97/C96 -1</f>
        <v>-1.7355632691699041E-3</v>
      </c>
      <c r="G97" s="141">
        <v>23907.25</v>
      </c>
      <c r="H97" s="5">
        <f>G97/G96 -1</f>
        <v>1.5916150717937061E-2</v>
      </c>
    </row>
    <row r="98" spans="2:8" x14ac:dyDescent="0.3">
      <c r="B98" s="142">
        <v>45620</v>
      </c>
      <c r="C98" s="141">
        <v>1292.2</v>
      </c>
      <c r="D98" s="5">
        <f>C98/C97 -1</f>
        <v>2.117907381065276E-2</v>
      </c>
      <c r="G98" s="141">
        <v>24131.1</v>
      </c>
      <c r="H98" s="5">
        <f>G98/G97 -1</f>
        <v>9.3632684645870157E-3</v>
      </c>
    </row>
    <row r="99" spans="2:8" x14ac:dyDescent="0.3">
      <c r="B99" s="142">
        <v>45627</v>
      </c>
      <c r="C99" s="141">
        <v>1311.55</v>
      </c>
      <c r="D99" s="5">
        <f>C99/C98 -1</f>
        <v>1.4974462157560708E-2</v>
      </c>
      <c r="G99" s="141">
        <v>24677.8</v>
      </c>
      <c r="H99" s="5">
        <f>G99/G98 -1</f>
        <v>2.2655411481449228E-2</v>
      </c>
    </row>
    <row r="100" spans="2:8" x14ac:dyDescent="0.3">
      <c r="B100" s="142">
        <v>45634</v>
      </c>
      <c r="C100" s="141">
        <v>1272.8499999999999</v>
      </c>
      <c r="D100" s="5">
        <f>C100/C99 -1</f>
        <v>-2.9507071785292216E-2</v>
      </c>
      <c r="G100" s="141">
        <v>24768.3</v>
      </c>
      <c r="H100" s="5">
        <f>G100/G99 -1</f>
        <v>3.6672636944945491E-3</v>
      </c>
    </row>
    <row r="101" spans="2:8" x14ac:dyDescent="0.3">
      <c r="B101" s="142">
        <v>45641</v>
      </c>
      <c r="C101" s="141">
        <v>1205.3</v>
      </c>
      <c r="D101" s="5">
        <f>C101/C100 -1</f>
        <v>-5.3069882547040037E-2</v>
      </c>
      <c r="G101" s="141">
        <v>23587.5</v>
      </c>
      <c r="H101" s="5">
        <f>G101/G100 -1</f>
        <v>-4.7673841159869612E-2</v>
      </c>
    </row>
    <row r="102" spans="2:8" x14ac:dyDescent="0.3">
      <c r="B102" s="142">
        <v>45648</v>
      </c>
      <c r="C102" s="141">
        <v>1221.05</v>
      </c>
      <c r="D102" s="5">
        <f>C102/C101 -1</f>
        <v>1.3067286152824931E-2</v>
      </c>
      <c r="G102" s="141">
        <v>23813.4</v>
      </c>
      <c r="H102" s="5">
        <f>G102/G101 -1</f>
        <v>9.5771065182830295E-3</v>
      </c>
    </row>
    <row r="103" spans="2:8" x14ac:dyDescent="0.3">
      <c r="B103" s="142">
        <v>45655</v>
      </c>
      <c r="C103" s="141">
        <v>1251.1500000000001</v>
      </c>
      <c r="D103" s="5">
        <f>C103/C102 -1</f>
        <v>2.4650915195937984E-2</v>
      </c>
      <c r="G103" s="141">
        <v>24004.75</v>
      </c>
      <c r="H103" s="5">
        <f>G103/G102 -1</f>
        <v>8.035391838208783E-3</v>
      </c>
    </row>
    <row r="104" spans="2:8" x14ac:dyDescent="0.3">
      <c r="B104" s="142">
        <v>45662</v>
      </c>
      <c r="C104" s="141">
        <v>1241.9000000000001</v>
      </c>
      <c r="D104" s="5">
        <f>C104/C103 -1</f>
        <v>-7.3931982576029842E-3</v>
      </c>
      <c r="G104" s="141">
        <v>23431.5</v>
      </c>
      <c r="H104" s="5">
        <f>G104/G103 -1</f>
        <v>-2.3880690280048689E-2</v>
      </c>
    </row>
    <row r="105" spans="2:8" x14ac:dyDescent="0.3">
      <c r="B105" s="142">
        <v>45669</v>
      </c>
      <c r="C105" s="141">
        <v>1302.3499999999999</v>
      </c>
      <c r="D105" s="5">
        <f>C105/C104 -1</f>
        <v>4.8675416700217244E-2</v>
      </c>
      <c r="G105" s="141">
        <v>23203.200000000001</v>
      </c>
      <c r="H105" s="5">
        <f>G105/G104 -1</f>
        <v>-9.7432942833365344E-3</v>
      </c>
    </row>
    <row r="106" spans="2:8" x14ac:dyDescent="0.3">
      <c r="B106" s="142">
        <v>45676</v>
      </c>
      <c r="C106" s="141">
        <v>1246.3</v>
      </c>
      <c r="D106" s="5">
        <f>C106/C105 -1</f>
        <v>-4.3037585902407138E-2</v>
      </c>
      <c r="G106" s="141">
        <v>23092.2</v>
      </c>
      <c r="H106" s="5">
        <f>G106/G105 -1</f>
        <v>-4.7838229209764549E-3</v>
      </c>
    </row>
    <row r="107" spans="2:8" x14ac:dyDescent="0.3">
      <c r="B107" s="142">
        <v>45683</v>
      </c>
      <c r="C107" s="141">
        <v>1265.0999999999999</v>
      </c>
      <c r="D107" s="5">
        <f>C107/C106 -1</f>
        <v>1.5084650565674318E-2</v>
      </c>
      <c r="G107" s="141">
        <v>23508.400000000001</v>
      </c>
      <c r="H107" s="5">
        <f>G107/G106 -1</f>
        <v>1.8023401841314346E-2</v>
      </c>
    </row>
    <row r="108" spans="2:8" x14ac:dyDescent="0.3">
      <c r="B108" s="142">
        <v>45690</v>
      </c>
      <c r="C108" s="141">
        <v>1266.7</v>
      </c>
      <c r="D108" s="5">
        <f>C108/C107 -1</f>
        <v>1.2647221563513167E-3</v>
      </c>
      <c r="G108" s="141">
        <v>23559.95</v>
      </c>
      <c r="H108" s="5">
        <f>G108/G107 -1</f>
        <v>2.1928332000475947E-3</v>
      </c>
    </row>
    <row r="109" spans="2:8" x14ac:dyDescent="0.3">
      <c r="B109" s="142">
        <v>45697</v>
      </c>
      <c r="C109" s="141">
        <v>1217.25</v>
      </c>
      <c r="D109" s="5">
        <f>C109/C108 -1</f>
        <v>-3.9038446356674861E-2</v>
      </c>
      <c r="G109" s="141">
        <v>22929.25</v>
      </c>
      <c r="H109" s="5">
        <f>G109/G108 -1</f>
        <v>-2.6770005878620329E-2</v>
      </c>
    </row>
    <row r="110" spans="2:8" x14ac:dyDescent="0.3">
      <c r="B110" s="142">
        <v>45704</v>
      </c>
      <c r="C110" s="141">
        <v>1228.1500000000001</v>
      </c>
      <c r="D110" s="5">
        <f>C110/C109 -1</f>
        <v>8.9546108030396088E-3</v>
      </c>
      <c r="G110" s="141">
        <v>22795.9</v>
      </c>
      <c r="H110" s="5">
        <f>G110/G109 -1</f>
        <v>-5.8157157342695331E-3</v>
      </c>
    </row>
    <row r="111" spans="2:8" x14ac:dyDescent="0.3">
      <c r="B111" s="142"/>
      <c r="C111" s="141"/>
      <c r="D111" s="5"/>
      <c r="G111" s="141"/>
      <c r="H111" s="5"/>
    </row>
  </sheetData>
  <autoFilter ref="B6:D6" xr:uid="{2ED4A7BA-1FE1-48F8-8E55-E404D381F3EF}">
    <sortState xmlns:xlrd2="http://schemas.microsoft.com/office/spreadsheetml/2017/richdata2" ref="B7:D111">
      <sortCondition ref="B6"/>
    </sortState>
  </autoFilter>
  <mergeCells count="3">
    <mergeCell ref="B4:D4"/>
    <mergeCell ref="G4:I4"/>
    <mergeCell ref="K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33D81-92C7-473B-8961-EA516337B01D}">
  <sheetPr>
    <tabColor rgb="FF002060"/>
  </sheetPr>
  <dimension ref="B2:W111"/>
  <sheetViews>
    <sheetView showGridLines="0" topLeftCell="B1" workbookViewId="0">
      <selection activeCell="B4" sqref="B4:D4"/>
    </sheetView>
  </sheetViews>
  <sheetFormatPr defaultRowHeight="14.4" x14ac:dyDescent="0.3"/>
  <cols>
    <col min="1" max="1" width="2.33203125" customWidth="1"/>
    <col min="2" max="2" width="13" customWidth="1"/>
    <col min="3" max="3" width="15.33203125" customWidth="1"/>
    <col min="4" max="4" width="14.33203125" customWidth="1"/>
    <col min="7" max="7" width="12.109375" customWidth="1"/>
    <col min="8" max="8" width="15.109375" customWidth="1"/>
    <col min="15" max="15" width="12" customWidth="1"/>
    <col min="16" max="16" width="12.5546875" customWidth="1"/>
    <col min="17" max="17" width="13.88671875" customWidth="1"/>
    <col min="18" max="18" width="14.6640625" customWidth="1"/>
    <col min="19" max="19" width="11.88671875" customWidth="1"/>
    <col min="20" max="20" width="13.21875" customWidth="1"/>
    <col min="21" max="21" width="12.44140625" customWidth="1"/>
    <col min="22" max="22" width="12.33203125" customWidth="1"/>
    <col min="23" max="23" width="12.88671875" customWidth="1"/>
  </cols>
  <sheetData>
    <row r="2" spans="2:16" x14ac:dyDescent="0.3">
      <c r="B2" s="2" t="s">
        <v>347</v>
      </c>
    </row>
    <row r="4" spans="2:16" x14ac:dyDescent="0.3">
      <c r="B4" s="148" t="s">
        <v>373</v>
      </c>
      <c r="C4" s="148"/>
      <c r="D4" s="148"/>
      <c r="G4" s="148" t="s">
        <v>345</v>
      </c>
      <c r="H4" s="148"/>
      <c r="I4" s="148"/>
      <c r="K4" s="148" t="s">
        <v>344</v>
      </c>
      <c r="L4" s="148"/>
      <c r="M4" s="148"/>
    </row>
    <row r="6" spans="2:16" x14ac:dyDescent="0.3">
      <c r="B6" s="147" t="s">
        <v>343</v>
      </c>
      <c r="C6" s="146" t="s">
        <v>49</v>
      </c>
      <c r="D6" s="146" t="s">
        <v>341</v>
      </c>
      <c r="G6" s="146" t="s">
        <v>342</v>
      </c>
      <c r="H6" s="146" t="s">
        <v>341</v>
      </c>
      <c r="K6" t="s">
        <v>340</v>
      </c>
      <c r="M6" s="124">
        <f>P11</f>
        <v>1.4219589928548999</v>
      </c>
    </row>
    <row r="7" spans="2:16" x14ac:dyDescent="0.3">
      <c r="B7" s="142">
        <v>44983</v>
      </c>
      <c r="C7" s="141">
        <v>78.2</v>
      </c>
      <c r="D7" s="5"/>
      <c r="G7" s="141">
        <v>17594.349999999999</v>
      </c>
      <c r="K7" t="s">
        <v>339</v>
      </c>
      <c r="M7" s="114">
        <v>0.75</v>
      </c>
    </row>
    <row r="8" spans="2:16" x14ac:dyDescent="0.3">
      <c r="B8" s="142">
        <v>44990</v>
      </c>
      <c r="C8" s="141">
        <v>78.900000000000006</v>
      </c>
      <c r="D8" s="5">
        <f>C8/C7 -1</f>
        <v>8.9514066496163558E-3</v>
      </c>
      <c r="G8" s="141">
        <v>17412.900000000001</v>
      </c>
      <c r="H8" s="5">
        <f>G8/G7 -1</f>
        <v>-1.0312969788596749E-2</v>
      </c>
      <c r="O8" t="s">
        <v>338</v>
      </c>
      <c r="P8" s="124">
        <f>SLOPE(D8:D110,H8:H110)</f>
        <v>1.4219589928548997</v>
      </c>
    </row>
    <row r="9" spans="2:16" x14ac:dyDescent="0.3">
      <c r="B9" s="142">
        <v>44997</v>
      </c>
      <c r="C9" s="141">
        <v>79.3</v>
      </c>
      <c r="D9" s="5">
        <f>C9/C8 -1</f>
        <v>5.069708491761693E-3</v>
      </c>
      <c r="G9" s="141">
        <v>17100.05</v>
      </c>
      <c r="H9" s="5">
        <f>G9/G8 -1</f>
        <v>-1.796656501788918E-2</v>
      </c>
      <c r="K9" t="s">
        <v>337</v>
      </c>
      <c r="M9">
        <v>1</v>
      </c>
      <c r="O9" t="s">
        <v>336</v>
      </c>
      <c r="P9" s="124">
        <f>_xlfn.COVARIANCE.S(D7:D110,H7:H110)/_xlfn.VAR.S(H7:H110)</f>
        <v>1.4219589928548997</v>
      </c>
    </row>
    <row r="10" spans="2:16" x14ac:dyDescent="0.3">
      <c r="B10" s="142">
        <v>45004</v>
      </c>
      <c r="C10" s="141">
        <v>78.400000000000006</v>
      </c>
      <c r="D10" s="5">
        <f>C10/C9 -1</f>
        <v>-1.134930643127352E-2</v>
      </c>
      <c r="G10" s="141">
        <v>16945.05</v>
      </c>
      <c r="H10" s="5">
        <f>G10/G9 -1</f>
        <v>-9.0643009815760678E-3</v>
      </c>
      <c r="K10" t="s">
        <v>335</v>
      </c>
      <c r="M10" s="114">
        <v>0.25</v>
      </c>
    </row>
    <row r="11" spans="2:16" x14ac:dyDescent="0.3">
      <c r="B11" s="142">
        <v>45011</v>
      </c>
      <c r="C11" s="141">
        <v>77.900000000000006</v>
      </c>
      <c r="D11" s="5">
        <f>C11/C10 -1</f>
        <v>-6.3775510204081565E-3</v>
      </c>
      <c r="G11" s="141">
        <v>17359.75</v>
      </c>
      <c r="H11" s="5">
        <f>G11/G10 -1</f>
        <v>2.4473223743807226E-2</v>
      </c>
      <c r="O11" t="s">
        <v>334</v>
      </c>
      <c r="P11" s="124">
        <f>P30</f>
        <v>1.4219589928548999</v>
      </c>
    </row>
    <row r="12" spans="2:16" x14ac:dyDescent="0.3">
      <c r="B12" s="142">
        <v>45018</v>
      </c>
      <c r="C12" s="141">
        <v>77.7</v>
      </c>
      <c r="D12" s="5">
        <f>C12/C11 -1</f>
        <v>-2.5673940949936247E-3</v>
      </c>
      <c r="G12" s="141">
        <v>17599.150000000001</v>
      </c>
      <c r="H12" s="5">
        <f>G12/G11 -1</f>
        <v>1.3790521176860304E-2</v>
      </c>
      <c r="K12" s="78" t="s">
        <v>333</v>
      </c>
      <c r="L12" s="78"/>
      <c r="M12" s="78">
        <f>(M6*M7)+(M9*M10)</f>
        <v>1.316469244641175</v>
      </c>
    </row>
    <row r="13" spans="2:16" x14ac:dyDescent="0.3">
      <c r="B13" s="142">
        <v>45025</v>
      </c>
      <c r="C13" s="141">
        <v>77.2</v>
      </c>
      <c r="D13" s="5">
        <f>C13/C12 -1</f>
        <v>-6.4350064350063851E-3</v>
      </c>
      <c r="G13" s="141">
        <v>17828</v>
      </c>
      <c r="H13" s="5">
        <f>G13/G12 -1</f>
        <v>1.3003468917532901E-2</v>
      </c>
      <c r="O13" t="s">
        <v>332</v>
      </c>
    </row>
    <row r="14" spans="2:16" ht="15" thickBot="1" x14ac:dyDescent="0.35">
      <c r="B14" s="142">
        <v>45032</v>
      </c>
      <c r="C14" s="141">
        <v>78.25</v>
      </c>
      <c r="D14" s="5">
        <f>C14/C13 -1</f>
        <v>1.36010362694301E-2</v>
      </c>
      <c r="G14" s="141">
        <v>17624.05</v>
      </c>
      <c r="H14" s="5">
        <f>G14/G13 -1</f>
        <v>-1.143986986762402E-2</v>
      </c>
    </row>
    <row r="15" spans="2:16" x14ac:dyDescent="0.3">
      <c r="B15" s="142">
        <v>45039</v>
      </c>
      <c r="C15" s="141">
        <v>81.400000000000006</v>
      </c>
      <c r="D15" s="5">
        <f>C15/C14 -1</f>
        <v>4.02555910543132E-2</v>
      </c>
      <c r="G15" s="141">
        <v>18065</v>
      </c>
      <c r="H15" s="5">
        <f>G15/G14 -1</f>
        <v>2.5019788300645995E-2</v>
      </c>
      <c r="O15" s="145" t="s">
        <v>331</v>
      </c>
      <c r="P15" s="145"/>
    </row>
    <row r="16" spans="2:16" x14ac:dyDescent="0.3">
      <c r="B16" s="142">
        <v>45046</v>
      </c>
      <c r="C16" s="141">
        <v>82.8</v>
      </c>
      <c r="D16" s="5">
        <f>C16/C15 -1</f>
        <v>1.7199017199017064E-2</v>
      </c>
      <c r="G16" s="141">
        <v>18069</v>
      </c>
      <c r="H16" s="5">
        <f>G16/G15 -1</f>
        <v>2.2142264046509652E-4</v>
      </c>
      <c r="O16" t="s">
        <v>330</v>
      </c>
      <c r="P16">
        <v>0.53758193079934558</v>
      </c>
    </row>
    <row r="17" spans="2:23" x14ac:dyDescent="0.3">
      <c r="B17" s="142">
        <v>45053</v>
      </c>
      <c r="C17" s="141">
        <v>83.55</v>
      </c>
      <c r="D17" s="5">
        <f>C17/C16 -1</f>
        <v>9.0579710144926828E-3</v>
      </c>
      <c r="G17" s="141">
        <v>18314.8</v>
      </c>
      <c r="H17" s="5">
        <f>G17/G16 -1</f>
        <v>1.3603409153799317E-2</v>
      </c>
      <c r="O17" t="s">
        <v>329</v>
      </c>
      <c r="P17">
        <v>0.28899433232195237</v>
      </c>
    </row>
    <row r="18" spans="2:23" x14ac:dyDescent="0.3">
      <c r="B18" s="142">
        <v>45060</v>
      </c>
      <c r="C18" s="141">
        <v>86.05</v>
      </c>
      <c r="D18" s="5">
        <f>C18/C17 -1</f>
        <v>2.9922202274087484E-2</v>
      </c>
      <c r="G18" s="141">
        <v>18203.400000000001</v>
      </c>
      <c r="H18" s="5">
        <f>G18/G17 -1</f>
        <v>-6.0825125035489647E-3</v>
      </c>
      <c r="O18" t="s">
        <v>328</v>
      </c>
      <c r="P18">
        <v>0.28195467224593213</v>
      </c>
    </row>
    <row r="19" spans="2:23" x14ac:dyDescent="0.3">
      <c r="B19" s="142">
        <v>45067</v>
      </c>
      <c r="C19" s="141">
        <v>90.2</v>
      </c>
      <c r="D19" s="5">
        <f>C19/C18 -1</f>
        <v>4.8227774549680413E-2</v>
      </c>
      <c r="G19" s="141">
        <v>18499.349999999999</v>
      </c>
      <c r="H19" s="5">
        <f>G19/G18 -1</f>
        <v>1.6257951811200044E-2</v>
      </c>
      <c r="O19" t="s">
        <v>317</v>
      </c>
      <c r="P19">
        <v>3.5132350813408125E-2</v>
      </c>
    </row>
    <row r="20" spans="2:23" ht="15" thickBot="1" x14ac:dyDescent="0.35">
      <c r="B20" s="142">
        <v>45074</v>
      </c>
      <c r="C20" s="141">
        <v>89.8</v>
      </c>
      <c r="D20" s="5">
        <f>C20/C19 -1</f>
        <v>-4.4345898004435336E-3</v>
      </c>
      <c r="G20" s="141">
        <v>18534.099999999999</v>
      </c>
      <c r="H20" s="5">
        <f>G20/G19 -1</f>
        <v>1.8784443777755122E-3</v>
      </c>
      <c r="O20" s="143" t="s">
        <v>327</v>
      </c>
      <c r="P20" s="143">
        <v>103</v>
      </c>
    </row>
    <row r="21" spans="2:23" x14ac:dyDescent="0.3">
      <c r="B21" s="142">
        <v>45081</v>
      </c>
      <c r="C21" s="141">
        <v>90.3</v>
      </c>
      <c r="D21" s="5">
        <f>C21/C20 -1</f>
        <v>5.5679287305121505E-3</v>
      </c>
      <c r="G21" s="141">
        <v>18563.400000000001</v>
      </c>
      <c r="H21" s="5">
        <f>G21/G20 -1</f>
        <v>1.5808698561032841E-3</v>
      </c>
    </row>
    <row r="22" spans="2:23" ht="15" thickBot="1" x14ac:dyDescent="0.35">
      <c r="B22" s="142">
        <v>45088</v>
      </c>
      <c r="C22" s="141">
        <v>92.15</v>
      </c>
      <c r="D22" s="5">
        <f>C22/C21 -1</f>
        <v>2.048726467331119E-2</v>
      </c>
      <c r="G22" s="141">
        <v>18826</v>
      </c>
      <c r="H22" s="5">
        <f>G22/G21 -1</f>
        <v>1.4146115474535925E-2</v>
      </c>
      <c r="O22" t="s">
        <v>326</v>
      </c>
    </row>
    <row r="23" spans="2:23" x14ac:dyDescent="0.3">
      <c r="B23" s="142">
        <v>45095</v>
      </c>
      <c r="C23" s="141">
        <v>89.3</v>
      </c>
      <c r="D23" s="5">
        <f>C23/C22 -1</f>
        <v>-3.0927835051546504E-2</v>
      </c>
      <c r="G23" s="141">
        <v>18665.5</v>
      </c>
      <c r="H23" s="5">
        <f>G23/G22 -1</f>
        <v>-8.5254435355359703E-3</v>
      </c>
      <c r="O23" s="144"/>
      <c r="P23" s="144" t="s">
        <v>325</v>
      </c>
      <c r="Q23" s="144" t="s">
        <v>324</v>
      </c>
      <c r="R23" s="144" t="s">
        <v>323</v>
      </c>
      <c r="S23" s="144" t="s">
        <v>322</v>
      </c>
      <c r="T23" s="144" t="s">
        <v>321</v>
      </c>
    </row>
    <row r="24" spans="2:23" x14ac:dyDescent="0.3">
      <c r="B24" s="142">
        <v>45102</v>
      </c>
      <c r="C24" s="141">
        <v>91.3</v>
      </c>
      <c r="D24" s="5">
        <f>C24/C23 -1</f>
        <v>2.2396416573348343E-2</v>
      </c>
      <c r="G24" s="141">
        <v>19189.05</v>
      </c>
      <c r="H24" s="5">
        <f>G24/G23 -1</f>
        <v>2.8049074495727355E-2</v>
      </c>
      <c r="O24" t="s">
        <v>320</v>
      </c>
      <c r="P24">
        <v>1</v>
      </c>
      <c r="Q24">
        <v>5.06701346268289E-2</v>
      </c>
      <c r="R24">
        <v>5.06701346268289E-2</v>
      </c>
      <c r="S24">
        <v>41.052313492575529</v>
      </c>
      <c r="T24">
        <v>4.7645499635392993E-9</v>
      </c>
    </row>
    <row r="25" spans="2:23" x14ac:dyDescent="0.3">
      <c r="B25" s="142">
        <v>45109</v>
      </c>
      <c r="C25" s="141">
        <v>99.2</v>
      </c>
      <c r="D25" s="5">
        <f>C25/C24 -1</f>
        <v>8.6527929901423883E-2</v>
      </c>
      <c r="G25" s="141">
        <v>19331.8</v>
      </c>
      <c r="H25" s="5">
        <f>G25/G24 -1</f>
        <v>7.4391384669902916E-3</v>
      </c>
      <c r="O25" t="s">
        <v>319</v>
      </c>
      <c r="P25">
        <v>101</v>
      </c>
      <c r="Q25">
        <v>0.12466248944131422</v>
      </c>
      <c r="R25">
        <v>1.2342820736763785E-3</v>
      </c>
    </row>
    <row r="26" spans="2:23" ht="15" thickBot="1" x14ac:dyDescent="0.35">
      <c r="B26" s="142">
        <v>45116</v>
      </c>
      <c r="C26" s="141">
        <v>96.6</v>
      </c>
      <c r="D26" s="5">
        <f>C26/C25 -1</f>
        <v>-2.6209677419354871E-2</v>
      </c>
      <c r="G26" s="141">
        <v>19564.5</v>
      </c>
      <c r="H26" s="5">
        <f>G26/G25 -1</f>
        <v>1.2037161567986399E-2</v>
      </c>
      <c r="O26" s="143" t="s">
        <v>26</v>
      </c>
      <c r="P26" s="143">
        <v>102</v>
      </c>
      <c r="Q26" s="143">
        <v>0.17533262406814312</v>
      </c>
      <c r="R26" s="143"/>
      <c r="S26" s="143"/>
      <c r="T26" s="143"/>
    </row>
    <row r="27" spans="2:23" ht="15" thickBot="1" x14ac:dyDescent="0.35">
      <c r="B27" s="142">
        <v>45123</v>
      </c>
      <c r="C27" s="141">
        <v>99.35</v>
      </c>
      <c r="D27" s="5">
        <f>C27/C26 -1</f>
        <v>2.8467908902691574E-2</v>
      </c>
      <c r="G27" s="141">
        <v>19745</v>
      </c>
      <c r="H27" s="5">
        <f>G27/G26 -1</f>
        <v>9.225893838329613E-3</v>
      </c>
    </row>
    <row r="28" spans="2:23" x14ac:dyDescent="0.3">
      <c r="B28" s="142">
        <v>45130</v>
      </c>
      <c r="C28" s="141">
        <v>95.25</v>
      </c>
      <c r="D28" s="5">
        <f>C28/C27 -1</f>
        <v>-4.1268243583291286E-2</v>
      </c>
      <c r="G28" s="141">
        <v>19646.05</v>
      </c>
      <c r="H28" s="5">
        <f>G28/G27 -1</f>
        <v>-5.0113952899468739E-3</v>
      </c>
      <c r="O28" s="144"/>
      <c r="P28" s="144" t="s">
        <v>318</v>
      </c>
      <c r="Q28" s="144" t="s">
        <v>317</v>
      </c>
      <c r="R28" s="144" t="s">
        <v>316</v>
      </c>
      <c r="S28" s="144" t="s">
        <v>315</v>
      </c>
      <c r="T28" s="144" t="s">
        <v>314</v>
      </c>
      <c r="U28" s="144" t="s">
        <v>313</v>
      </c>
      <c r="V28" s="144" t="s">
        <v>312</v>
      </c>
      <c r="W28" s="144" t="s">
        <v>311</v>
      </c>
    </row>
    <row r="29" spans="2:23" x14ac:dyDescent="0.3">
      <c r="B29" s="142">
        <v>45137</v>
      </c>
      <c r="C29" s="141">
        <v>92.3</v>
      </c>
      <c r="D29" s="5">
        <f>C29/C28 -1</f>
        <v>-3.0971128608923926E-2</v>
      </c>
      <c r="G29" s="141">
        <v>19517</v>
      </c>
      <c r="H29" s="5">
        <f>G29/G28 -1</f>
        <v>-6.568750461288575E-3</v>
      </c>
      <c r="O29" t="s">
        <v>310</v>
      </c>
      <c r="P29">
        <v>1.360064712023061E-3</v>
      </c>
      <c r="Q29">
        <v>3.5109228405187567E-3</v>
      </c>
      <c r="R29">
        <v>0.38738097469043337</v>
      </c>
      <c r="S29">
        <v>0.69928930255907529</v>
      </c>
      <c r="T29">
        <v>-5.6046617756989516E-3</v>
      </c>
      <c r="U29">
        <v>8.3247911997450744E-3</v>
      </c>
      <c r="V29">
        <v>-5.6046617756989516E-3</v>
      </c>
      <c r="W29">
        <v>8.3247911997450744E-3</v>
      </c>
    </row>
    <row r="30" spans="2:23" ht="15" thickBot="1" x14ac:dyDescent="0.35">
      <c r="B30" s="142">
        <v>45144</v>
      </c>
      <c r="C30" s="141">
        <v>93.5</v>
      </c>
      <c r="D30" s="5">
        <f>C30/C29 -1</f>
        <v>1.300108342361872E-2</v>
      </c>
      <c r="G30" s="141">
        <v>19428.3</v>
      </c>
      <c r="H30" s="5">
        <f>G30/G29 -1</f>
        <v>-4.5447558538710409E-3</v>
      </c>
      <c r="O30" s="143" t="s">
        <v>309</v>
      </c>
      <c r="P30" s="143">
        <v>1.4219589928548999</v>
      </c>
      <c r="Q30" s="143">
        <v>0.22193114501600156</v>
      </c>
      <c r="R30" s="143">
        <v>6.4072079326782845</v>
      </c>
      <c r="S30" s="143">
        <v>4.7645499635392993E-9</v>
      </c>
      <c r="T30" s="143">
        <v>0.98170729996522144</v>
      </c>
      <c r="U30" s="143">
        <v>1.8622106857445784</v>
      </c>
      <c r="V30" s="143">
        <v>0.98170729996522144</v>
      </c>
      <c r="W30" s="143">
        <v>1.8622106857445784</v>
      </c>
    </row>
    <row r="31" spans="2:23" x14ac:dyDescent="0.3">
      <c r="B31" s="142">
        <v>45151</v>
      </c>
      <c r="C31" s="141">
        <v>91.4</v>
      </c>
      <c r="D31" s="5">
        <f>C31/C30 -1</f>
        <v>-2.2459893048128232E-2</v>
      </c>
      <c r="G31" s="141">
        <v>19310.150000000001</v>
      </c>
      <c r="H31" s="5">
        <f>G31/G30 -1</f>
        <v>-6.0813349598265454E-3</v>
      </c>
    </row>
    <row r="32" spans="2:23" x14ac:dyDescent="0.3">
      <c r="B32" s="142">
        <v>45158</v>
      </c>
      <c r="C32" s="141">
        <v>91.8</v>
      </c>
      <c r="D32" s="5">
        <f>C32/C31 -1</f>
        <v>4.3763676148795838E-3</v>
      </c>
      <c r="G32" s="141">
        <v>19265.8</v>
      </c>
      <c r="H32" s="5">
        <f>G32/G31 -1</f>
        <v>-2.2967196008317758E-3</v>
      </c>
    </row>
    <row r="33" spans="2:8" x14ac:dyDescent="0.3">
      <c r="B33" s="142">
        <v>45165</v>
      </c>
      <c r="C33" s="141">
        <v>89.05</v>
      </c>
      <c r="D33" s="5">
        <f>C33/C32 -1</f>
        <v>-2.9956427015250586E-2</v>
      </c>
      <c r="G33" s="141">
        <v>19435.3</v>
      </c>
      <c r="H33" s="5">
        <f>G33/G32 -1</f>
        <v>8.7979736112697715E-3</v>
      </c>
    </row>
    <row r="34" spans="2:8" x14ac:dyDescent="0.3">
      <c r="B34" s="142">
        <v>45172</v>
      </c>
      <c r="C34" s="141">
        <v>94</v>
      </c>
      <c r="D34" s="5">
        <f>C34/C33 -1</f>
        <v>5.5586749017406012E-2</v>
      </c>
      <c r="G34" s="141">
        <v>19819.95</v>
      </c>
      <c r="H34" s="5">
        <f>G34/G33 -1</f>
        <v>1.9791307569216876E-2</v>
      </c>
    </row>
    <row r="35" spans="2:8" x14ac:dyDescent="0.3">
      <c r="B35" s="142">
        <v>45179</v>
      </c>
      <c r="C35" s="141">
        <v>91.95</v>
      </c>
      <c r="D35" s="5">
        <f>C35/C34 -1</f>
        <v>-2.1808510638297807E-2</v>
      </c>
      <c r="G35" s="141">
        <v>20192.349999999999</v>
      </c>
      <c r="H35" s="5">
        <f>G35/G34 -1</f>
        <v>1.8789149316723597E-2</v>
      </c>
    </row>
    <row r="36" spans="2:8" x14ac:dyDescent="0.3">
      <c r="B36" s="142">
        <v>45186</v>
      </c>
      <c r="C36" s="141">
        <v>92.25</v>
      </c>
      <c r="D36" s="5">
        <f>C36/C35 -1</f>
        <v>3.2626427406199365E-3</v>
      </c>
      <c r="G36" s="141">
        <v>19674.25</v>
      </c>
      <c r="H36" s="5">
        <f>G36/G35 -1</f>
        <v>-2.5658231954180599E-2</v>
      </c>
    </row>
    <row r="37" spans="2:8" x14ac:dyDescent="0.3">
      <c r="B37" s="142">
        <v>45193</v>
      </c>
      <c r="C37" s="141">
        <v>90.95</v>
      </c>
      <c r="D37" s="5">
        <f>C37/C36 -1</f>
        <v>-1.4092140921409202E-2</v>
      </c>
      <c r="G37" s="141">
        <v>19638.3</v>
      </c>
      <c r="H37" s="5">
        <f>G37/G36 -1</f>
        <v>-1.8272615220402688E-3</v>
      </c>
    </row>
    <row r="38" spans="2:8" x14ac:dyDescent="0.3">
      <c r="B38" s="142">
        <v>45200</v>
      </c>
      <c r="C38" s="141">
        <v>89.75</v>
      </c>
      <c r="D38" s="5">
        <f>C38/C37 -1</f>
        <v>-1.3194062671797679E-2</v>
      </c>
      <c r="G38" s="141">
        <v>19653.5</v>
      </c>
      <c r="H38" s="5">
        <f>G38/G37 -1</f>
        <v>7.7399774929598486E-4</v>
      </c>
    </row>
    <row r="39" spans="2:8" x14ac:dyDescent="0.3">
      <c r="B39" s="142">
        <v>45207</v>
      </c>
      <c r="C39" s="141">
        <v>90.85</v>
      </c>
      <c r="D39" s="5">
        <f>C39/C38 -1</f>
        <v>1.2256267409470611E-2</v>
      </c>
      <c r="G39" s="141">
        <v>19751.05</v>
      </c>
      <c r="H39" s="5">
        <f>G39/G38 -1</f>
        <v>4.9634925076957881E-3</v>
      </c>
    </row>
    <row r="40" spans="2:8" x14ac:dyDescent="0.3">
      <c r="B40" s="142">
        <v>45214</v>
      </c>
      <c r="C40" s="141">
        <v>90.3</v>
      </c>
      <c r="D40" s="5">
        <f>C40/C39 -1</f>
        <v>-6.0539350577875073E-3</v>
      </c>
      <c r="G40" s="141">
        <v>19542.650000000001</v>
      </c>
      <c r="H40" s="5">
        <f>G40/G39 -1</f>
        <v>-1.0551337776978809E-2</v>
      </c>
    </row>
    <row r="41" spans="2:8" x14ac:dyDescent="0.3">
      <c r="B41" s="142">
        <v>45221</v>
      </c>
      <c r="C41" s="141">
        <v>86.9</v>
      </c>
      <c r="D41" s="5">
        <f>C41/C40 -1</f>
        <v>-3.7652270210409622E-2</v>
      </c>
      <c r="G41" s="141">
        <v>19047.25</v>
      </c>
      <c r="H41" s="5">
        <f>G41/G40 -1</f>
        <v>-2.5349683896503383E-2</v>
      </c>
    </row>
    <row r="42" spans="2:8" x14ac:dyDescent="0.3">
      <c r="B42" s="142">
        <v>45228</v>
      </c>
      <c r="C42" s="141">
        <v>95.9</v>
      </c>
      <c r="D42" s="5">
        <f>C42/C41 -1</f>
        <v>0.10356731875719216</v>
      </c>
      <c r="G42" s="141">
        <v>19230.599999999999</v>
      </c>
      <c r="H42" s="5">
        <f>G42/G41 -1</f>
        <v>9.6260615049414966E-3</v>
      </c>
    </row>
    <row r="43" spans="2:8" x14ac:dyDescent="0.3">
      <c r="B43" s="142">
        <v>45235</v>
      </c>
      <c r="C43" s="141">
        <v>98.05</v>
      </c>
      <c r="D43" s="5">
        <f>C43/C42 -1</f>
        <v>2.2419186652763212E-2</v>
      </c>
      <c r="G43" s="141">
        <v>19425.349999999999</v>
      </c>
      <c r="H43" s="5">
        <f>G43/G42 -1</f>
        <v>1.0127089118384225E-2</v>
      </c>
    </row>
    <row r="44" spans="2:8" x14ac:dyDescent="0.3">
      <c r="B44" s="142">
        <v>45242</v>
      </c>
      <c r="C44" s="141">
        <v>102.7</v>
      </c>
      <c r="D44" s="5">
        <f>C44/C43 -1</f>
        <v>4.7424783273839921E-2</v>
      </c>
      <c r="G44" s="141">
        <v>19731.8</v>
      </c>
      <c r="H44" s="5">
        <f>G44/G43 -1</f>
        <v>1.5775777527818002E-2</v>
      </c>
    </row>
    <row r="45" spans="2:8" x14ac:dyDescent="0.3">
      <c r="B45" s="142">
        <v>45249</v>
      </c>
      <c r="C45" s="141">
        <v>103.45</v>
      </c>
      <c r="D45" s="5">
        <f>C45/C44 -1</f>
        <v>7.3028237585199829E-3</v>
      </c>
      <c r="G45" s="141">
        <v>19794.7</v>
      </c>
      <c r="H45" s="5">
        <f>G45/G44 -1</f>
        <v>3.1877476966115648E-3</v>
      </c>
    </row>
    <row r="46" spans="2:8" x14ac:dyDescent="0.3">
      <c r="B46" s="142">
        <v>45256</v>
      </c>
      <c r="C46" s="141">
        <v>111.25</v>
      </c>
      <c r="D46" s="5">
        <f>C46/C45 -1</f>
        <v>7.539874335427732E-2</v>
      </c>
      <c r="G46" s="141">
        <v>20267.900000000001</v>
      </c>
      <c r="H46" s="5">
        <f>G46/G45 -1</f>
        <v>2.3905388816198414E-2</v>
      </c>
    </row>
    <row r="47" spans="2:8" x14ac:dyDescent="0.3">
      <c r="B47" s="142">
        <v>45263</v>
      </c>
      <c r="C47" s="141">
        <v>118.8</v>
      </c>
      <c r="D47" s="5">
        <f>C47/C46 -1</f>
        <v>6.7865168539325893E-2</v>
      </c>
      <c r="G47" s="141">
        <v>20969.400000000001</v>
      </c>
      <c r="H47" s="5">
        <f>G47/G46 -1</f>
        <v>3.4611380557433069E-2</v>
      </c>
    </row>
    <row r="48" spans="2:8" x14ac:dyDescent="0.3">
      <c r="B48" s="142">
        <v>45270</v>
      </c>
      <c r="C48" s="141">
        <v>123.8</v>
      </c>
      <c r="D48" s="5">
        <f>C48/C47 -1</f>
        <v>4.2087542087542174E-2</v>
      </c>
      <c r="G48" s="141">
        <v>21456.65</v>
      </c>
      <c r="H48" s="5">
        <f>G48/G47 -1</f>
        <v>2.3236239472755438E-2</v>
      </c>
    </row>
    <row r="49" spans="2:8" x14ac:dyDescent="0.3">
      <c r="B49" s="142">
        <v>45277</v>
      </c>
      <c r="C49" s="141">
        <v>123.7</v>
      </c>
      <c r="D49" s="5">
        <f>C49/C48 -1</f>
        <v>-8.0775444264935548E-4</v>
      </c>
      <c r="G49" s="141">
        <v>21349.4</v>
      </c>
      <c r="H49" s="5">
        <f>G49/G48 -1</f>
        <v>-4.9984503638732525E-3</v>
      </c>
    </row>
    <row r="50" spans="2:8" x14ac:dyDescent="0.3">
      <c r="B50" s="142">
        <v>45284</v>
      </c>
      <c r="C50" s="141">
        <v>129.85</v>
      </c>
      <c r="D50" s="5">
        <f>C50/C49 -1</f>
        <v>4.9717057396927888E-2</v>
      </c>
      <c r="G50" s="141">
        <v>21731.4</v>
      </c>
      <c r="H50" s="5">
        <f>G50/G49 -1</f>
        <v>1.7892774504201459E-2</v>
      </c>
    </row>
    <row r="51" spans="2:8" x14ac:dyDescent="0.3">
      <c r="B51" s="142">
        <v>45291</v>
      </c>
      <c r="C51" s="141">
        <v>132.69999999999999</v>
      </c>
      <c r="D51" s="5">
        <f>C51/C50 -1</f>
        <v>2.1948402002310408E-2</v>
      </c>
      <c r="G51" s="141">
        <v>21710.799999999999</v>
      </c>
      <c r="H51" s="5">
        <f>G51/G50 -1</f>
        <v>-9.479370864280412E-4</v>
      </c>
    </row>
    <row r="52" spans="2:8" x14ac:dyDescent="0.3">
      <c r="B52" s="142">
        <v>45298</v>
      </c>
      <c r="C52" s="141">
        <v>135.30000000000001</v>
      </c>
      <c r="D52" s="5">
        <f>C52/C51 -1</f>
        <v>1.9593067068575998E-2</v>
      </c>
      <c r="G52" s="141">
        <v>21894.55</v>
      </c>
      <c r="H52" s="5">
        <f>G52/G51 -1</f>
        <v>8.4635296718684749E-3</v>
      </c>
    </row>
    <row r="53" spans="2:8" x14ac:dyDescent="0.3">
      <c r="B53" s="142">
        <v>45305</v>
      </c>
      <c r="C53" s="141">
        <v>148.65</v>
      </c>
      <c r="D53" s="5">
        <f>C53/C52 -1</f>
        <v>9.8669623059866929E-2</v>
      </c>
      <c r="G53" s="141">
        <v>21622.400000000001</v>
      </c>
      <c r="H53" s="5">
        <f>G53/G52 -1</f>
        <v>-1.2430033958222397E-2</v>
      </c>
    </row>
    <row r="54" spans="2:8" x14ac:dyDescent="0.3">
      <c r="B54" s="142">
        <v>45312</v>
      </c>
      <c r="C54" s="141">
        <v>143.69999999999999</v>
      </c>
      <c r="D54" s="5">
        <f>C54/C53 -1</f>
        <v>-3.3299697275479434E-2</v>
      </c>
      <c r="G54" s="141">
        <v>21352.6</v>
      </c>
      <c r="H54" s="5">
        <f>G54/G53 -1</f>
        <v>-1.2477800799171379E-2</v>
      </c>
    </row>
    <row r="55" spans="2:8" x14ac:dyDescent="0.3">
      <c r="B55" s="142">
        <v>45319</v>
      </c>
      <c r="C55" s="141">
        <v>162.9</v>
      </c>
      <c r="D55" s="5">
        <f>C55/C54 -1</f>
        <v>0.13361169102296455</v>
      </c>
      <c r="G55" s="141">
        <v>21853.8</v>
      </c>
      <c r="H55" s="5">
        <f>G55/G54 -1</f>
        <v>2.3472551352060167E-2</v>
      </c>
    </row>
    <row r="56" spans="2:8" x14ac:dyDescent="0.3">
      <c r="B56" s="142">
        <v>45326</v>
      </c>
      <c r="C56" s="141">
        <v>182.5</v>
      </c>
      <c r="D56" s="5">
        <f>C56/C55 -1</f>
        <v>0.12031921424186609</v>
      </c>
      <c r="G56" s="141">
        <v>21782.5</v>
      </c>
      <c r="H56" s="5">
        <f>G56/G55 -1</f>
        <v>-3.2625904876955047E-3</v>
      </c>
    </row>
    <row r="57" spans="2:8" x14ac:dyDescent="0.3">
      <c r="B57" s="142">
        <v>45333</v>
      </c>
      <c r="C57" s="141">
        <v>187</v>
      </c>
      <c r="D57" s="5">
        <f>C57/C56 -1</f>
        <v>2.4657534246575352E-2</v>
      </c>
      <c r="G57" s="141">
        <v>22040.7</v>
      </c>
      <c r="H57" s="5">
        <f>G57/G56 -1</f>
        <v>1.1853552163433978E-2</v>
      </c>
    </row>
    <row r="58" spans="2:8" x14ac:dyDescent="0.3">
      <c r="B58" s="142">
        <v>45340</v>
      </c>
      <c r="C58" s="141">
        <v>175.85</v>
      </c>
      <c r="D58" s="5">
        <f>C58/C57 -1</f>
        <v>-5.9625668449197922E-2</v>
      </c>
      <c r="G58" s="141">
        <v>22212.7</v>
      </c>
      <c r="H58" s="5">
        <f>G58/G57 -1</f>
        <v>7.8037448901351336E-3</v>
      </c>
    </row>
    <row r="59" spans="2:8" x14ac:dyDescent="0.3">
      <c r="B59" s="142">
        <v>45347</v>
      </c>
      <c r="C59" s="141">
        <v>169.4</v>
      </c>
      <c r="D59" s="5">
        <f>C59/C58 -1</f>
        <v>-3.6678987773670624E-2</v>
      </c>
      <c r="G59" s="141">
        <v>22338.75</v>
      </c>
      <c r="H59" s="5">
        <f>G59/G58 -1</f>
        <v>5.6746816010659895E-3</v>
      </c>
    </row>
    <row r="60" spans="2:8" x14ac:dyDescent="0.3">
      <c r="B60" s="142">
        <v>45354</v>
      </c>
      <c r="C60" s="141">
        <v>174.6</v>
      </c>
      <c r="D60" s="5">
        <f>C60/C59 -1</f>
        <v>3.0696576151121535E-2</v>
      </c>
      <c r="G60" s="141">
        <v>22493.55</v>
      </c>
      <c r="H60" s="5">
        <f>G60/G59 -1</f>
        <v>6.929662581836471E-3</v>
      </c>
    </row>
    <row r="61" spans="2:8" x14ac:dyDescent="0.3">
      <c r="B61" s="142">
        <v>45361</v>
      </c>
      <c r="C61" s="141">
        <v>161</v>
      </c>
      <c r="D61" s="5">
        <f>C61/C60 -1</f>
        <v>-7.7892325315005673E-2</v>
      </c>
      <c r="G61" s="141">
        <v>22023.35</v>
      </c>
      <c r="H61" s="5">
        <f>G61/G60 -1</f>
        <v>-2.0903770191899484E-2</v>
      </c>
    </row>
    <row r="62" spans="2:8" x14ac:dyDescent="0.3">
      <c r="B62" s="142">
        <v>45368</v>
      </c>
      <c r="C62" s="141">
        <v>165.15</v>
      </c>
      <c r="D62" s="5">
        <f>C62/C61 -1</f>
        <v>2.5776397515528071E-2</v>
      </c>
      <c r="G62" s="141">
        <v>22096.75</v>
      </c>
      <c r="H62" s="5">
        <f>G62/G61 -1</f>
        <v>3.3328262957270649E-3</v>
      </c>
    </row>
    <row r="63" spans="2:8" x14ac:dyDescent="0.3">
      <c r="B63" s="142">
        <v>45375</v>
      </c>
      <c r="C63" s="141">
        <v>167.75</v>
      </c>
      <c r="D63" s="5">
        <f>C63/C62 -1</f>
        <v>1.5743263699666832E-2</v>
      </c>
      <c r="G63" s="141">
        <v>22326.9</v>
      </c>
      <c r="H63" s="5">
        <f>G63/G62 -1</f>
        <v>1.0415558849152129E-2</v>
      </c>
    </row>
    <row r="64" spans="2:8" x14ac:dyDescent="0.3">
      <c r="B64" s="142">
        <v>45382</v>
      </c>
      <c r="C64" s="141">
        <v>168</v>
      </c>
      <c r="D64" s="5">
        <f>C64/C63 -1</f>
        <v>1.4903129657228842E-3</v>
      </c>
      <c r="G64" s="141">
        <v>22513.7</v>
      </c>
      <c r="H64" s="5">
        <f>G64/G63 -1</f>
        <v>8.3665891816597782E-3</v>
      </c>
    </row>
    <row r="65" spans="2:8" x14ac:dyDescent="0.3">
      <c r="B65" s="142">
        <v>45389</v>
      </c>
      <c r="C65" s="141">
        <v>170.15</v>
      </c>
      <c r="D65" s="5">
        <f>C65/C64 -1</f>
        <v>1.2797619047619113E-2</v>
      </c>
      <c r="G65" s="141">
        <v>22519.4</v>
      </c>
      <c r="H65" s="5">
        <f>G65/G64 -1</f>
        <v>2.5317917534661838E-4</v>
      </c>
    </row>
    <row r="66" spans="2:8" x14ac:dyDescent="0.3">
      <c r="B66" s="142">
        <v>45396</v>
      </c>
      <c r="C66" s="141">
        <v>166.65</v>
      </c>
      <c r="D66" s="5">
        <f>C66/C65 -1</f>
        <v>-2.057008521892445E-2</v>
      </c>
      <c r="G66" s="141">
        <v>22147</v>
      </c>
      <c r="H66" s="5">
        <f>G66/G65 -1</f>
        <v>-1.6536852669254087E-2</v>
      </c>
    </row>
    <row r="67" spans="2:8" x14ac:dyDescent="0.3">
      <c r="B67" s="142">
        <v>45403</v>
      </c>
      <c r="C67" s="141">
        <v>171.55</v>
      </c>
      <c r="D67" s="5">
        <f>C67/C66 -1</f>
        <v>2.9402940294029456E-2</v>
      </c>
      <c r="G67" s="141">
        <v>22419.95</v>
      </c>
      <c r="H67" s="5">
        <f>G67/G66 -1</f>
        <v>1.2324468325281002E-2</v>
      </c>
    </row>
    <row r="68" spans="2:8" x14ac:dyDescent="0.3">
      <c r="B68" s="142">
        <v>45410</v>
      </c>
      <c r="C68" s="141">
        <v>170.75</v>
      </c>
      <c r="D68" s="5">
        <f>C68/C67 -1</f>
        <v>-4.6633634508890243E-3</v>
      </c>
      <c r="G68" s="141">
        <v>22475.85</v>
      </c>
      <c r="H68" s="5">
        <f>G68/G67 -1</f>
        <v>2.4933151055197555E-3</v>
      </c>
    </row>
    <row r="69" spans="2:8" x14ac:dyDescent="0.3">
      <c r="B69" s="142">
        <v>45417</v>
      </c>
      <c r="C69" s="141">
        <v>158.94999999999999</v>
      </c>
      <c r="D69" s="5">
        <f>C69/C68 -1</f>
        <v>-6.9106881405563758E-2</v>
      </c>
      <c r="G69" s="141">
        <v>22055.200000000001</v>
      </c>
      <c r="H69" s="5">
        <f>G69/G68 -1</f>
        <v>-1.8715643679771743E-2</v>
      </c>
    </row>
    <row r="70" spans="2:8" x14ac:dyDescent="0.3">
      <c r="B70" s="142">
        <v>45424</v>
      </c>
      <c r="C70" s="141">
        <v>164.05</v>
      </c>
      <c r="D70" s="5">
        <f>C70/C69 -1</f>
        <v>3.2085561497326331E-2</v>
      </c>
      <c r="G70" s="141">
        <v>22466.1</v>
      </c>
      <c r="H70" s="5">
        <f>G70/G69 -1</f>
        <v>1.8630527041241907E-2</v>
      </c>
    </row>
    <row r="71" spans="2:8" x14ac:dyDescent="0.3">
      <c r="B71" s="142">
        <v>45431</v>
      </c>
      <c r="C71" s="141">
        <v>168.8</v>
      </c>
      <c r="D71" s="5">
        <f>C71/C70 -1</f>
        <v>2.895458701615361E-2</v>
      </c>
      <c r="G71" s="141">
        <v>22957.1</v>
      </c>
      <c r="H71" s="5">
        <f>G71/G70 -1</f>
        <v>2.1855150649200406E-2</v>
      </c>
    </row>
    <row r="72" spans="2:8" x14ac:dyDescent="0.3">
      <c r="B72" s="142">
        <v>45438</v>
      </c>
      <c r="C72" s="141">
        <v>162.4</v>
      </c>
      <c r="D72" s="5">
        <f>C72/C71 -1</f>
        <v>-3.791469194312802E-2</v>
      </c>
      <c r="G72" s="141">
        <v>22530.7</v>
      </c>
      <c r="H72" s="5">
        <f>G72/G71 -1</f>
        <v>-1.8573774562117951E-2</v>
      </c>
    </row>
    <row r="73" spans="2:8" x14ac:dyDescent="0.3">
      <c r="B73" s="142">
        <v>45445</v>
      </c>
      <c r="C73" s="141">
        <v>164.2</v>
      </c>
      <c r="D73" s="5">
        <f>C73/C72 -1</f>
        <v>1.1083743842364324E-2</v>
      </c>
      <c r="G73" s="141">
        <v>23290.15</v>
      </c>
      <c r="H73" s="5">
        <f>G73/G72 -1</f>
        <v>3.3707341538434354E-2</v>
      </c>
    </row>
    <row r="74" spans="2:8" x14ac:dyDescent="0.3">
      <c r="B74" s="142">
        <v>45452</v>
      </c>
      <c r="C74" s="141">
        <v>170.36</v>
      </c>
      <c r="D74" s="5">
        <f>C74/C73 -1</f>
        <v>3.7515225334957547E-2</v>
      </c>
      <c r="G74" s="141">
        <v>23465.599999999999</v>
      </c>
      <c r="H74" s="5">
        <f>G74/G73 -1</f>
        <v>7.5332275661599279E-3</v>
      </c>
    </row>
    <row r="75" spans="2:8" x14ac:dyDescent="0.3">
      <c r="B75" s="142">
        <v>45459</v>
      </c>
      <c r="C75" s="141">
        <v>166.62</v>
      </c>
      <c r="D75" s="5">
        <f>C75/C74 -1</f>
        <v>-2.1953510213665206E-2</v>
      </c>
      <c r="G75" s="141">
        <v>23501.1</v>
      </c>
      <c r="H75" s="5">
        <f>G75/G74 -1</f>
        <v>1.5128528569481325E-3</v>
      </c>
    </row>
    <row r="76" spans="2:8" x14ac:dyDescent="0.3">
      <c r="B76" s="142">
        <v>45466</v>
      </c>
      <c r="C76" s="141">
        <v>165.63</v>
      </c>
      <c r="D76" s="5">
        <f>C76/C75 -1</f>
        <v>-5.941663665826491E-3</v>
      </c>
      <c r="G76" s="141">
        <v>24010.6</v>
      </c>
      <c r="H76" s="5">
        <f>G76/G75 -1</f>
        <v>2.1679836262983532E-2</v>
      </c>
    </row>
    <row r="77" spans="2:8" x14ac:dyDescent="0.3">
      <c r="B77" s="142">
        <v>45473</v>
      </c>
      <c r="C77" s="141">
        <v>171.28</v>
      </c>
      <c r="D77" s="5">
        <f>C77/C76 -1</f>
        <v>3.411217774557751E-2</v>
      </c>
      <c r="G77" s="141">
        <v>24323.85</v>
      </c>
      <c r="H77" s="5">
        <f>G77/G76 -1</f>
        <v>1.3046321208133094E-2</v>
      </c>
    </row>
    <row r="78" spans="2:8" x14ac:dyDescent="0.3">
      <c r="B78" s="142">
        <v>45480</v>
      </c>
      <c r="C78" s="141">
        <v>167.04</v>
      </c>
      <c r="D78" s="5">
        <f>C78/C77 -1</f>
        <v>-2.475478748248483E-2</v>
      </c>
      <c r="G78" s="141">
        <v>24502.15</v>
      </c>
      <c r="H78" s="5">
        <f>G78/G77 -1</f>
        <v>7.3302540510651326E-3</v>
      </c>
    </row>
    <row r="79" spans="2:8" x14ac:dyDescent="0.3">
      <c r="B79" s="142">
        <v>45487</v>
      </c>
      <c r="C79" s="141">
        <v>165.49</v>
      </c>
      <c r="D79" s="5">
        <f>C79/C78 -1</f>
        <v>-9.2792145593868502E-3</v>
      </c>
      <c r="G79" s="141">
        <v>24530.9</v>
      </c>
      <c r="H79" s="5">
        <f>G79/G78 -1</f>
        <v>1.1733664188653403E-3</v>
      </c>
    </row>
    <row r="80" spans="2:8" x14ac:dyDescent="0.3">
      <c r="B80" s="142">
        <v>45494</v>
      </c>
      <c r="C80" s="141">
        <v>176.55</v>
      </c>
      <c r="D80" s="5">
        <f>C80/C79 -1</f>
        <v>6.6831832739138397E-2</v>
      </c>
      <c r="G80" s="141">
        <v>24834.85</v>
      </c>
      <c r="H80" s="5">
        <f>G80/G79 -1</f>
        <v>1.2390495252925682E-2</v>
      </c>
    </row>
    <row r="81" spans="2:8" x14ac:dyDescent="0.3">
      <c r="B81" s="142">
        <v>45501</v>
      </c>
      <c r="C81" s="141">
        <v>177.29</v>
      </c>
      <c r="D81" s="5">
        <f>C81/C80 -1</f>
        <v>4.1914471821011823E-3</v>
      </c>
      <c r="G81" s="141">
        <v>24717.7</v>
      </c>
      <c r="H81" s="5">
        <f>G81/G80 -1</f>
        <v>-4.7171615693268887E-3</v>
      </c>
    </row>
    <row r="82" spans="2:8" x14ac:dyDescent="0.3">
      <c r="B82" s="142">
        <v>45508</v>
      </c>
      <c r="C82" s="141">
        <v>169.09</v>
      </c>
      <c r="D82" s="5">
        <f>C82/C81 -1</f>
        <v>-4.6251903660668892E-2</v>
      </c>
      <c r="G82" s="141">
        <v>24367.5</v>
      </c>
      <c r="H82" s="5">
        <f>G82/G81 -1</f>
        <v>-1.4167984885325113E-2</v>
      </c>
    </row>
    <row r="83" spans="2:8" x14ac:dyDescent="0.3">
      <c r="B83" s="142">
        <v>45515</v>
      </c>
      <c r="C83" s="141">
        <v>167.17</v>
      </c>
      <c r="D83" s="5">
        <f>C83/C82 -1</f>
        <v>-1.1354899757525683E-2</v>
      </c>
      <c r="G83" s="141">
        <v>24541.15</v>
      </c>
      <c r="H83" s="5">
        <f>G83/G82 -1</f>
        <v>7.1262952703396998E-3</v>
      </c>
    </row>
    <row r="84" spans="2:8" x14ac:dyDescent="0.3">
      <c r="B84" s="142">
        <v>45522</v>
      </c>
      <c r="C84" s="141">
        <v>173.13</v>
      </c>
      <c r="D84" s="5">
        <f>C84/C83 -1</f>
        <v>3.565232996351031E-2</v>
      </c>
      <c r="G84" s="141">
        <v>24823.15</v>
      </c>
      <c r="H84" s="5">
        <f>G84/G83 -1</f>
        <v>1.1490904052988471E-2</v>
      </c>
    </row>
    <row r="85" spans="2:8" x14ac:dyDescent="0.3">
      <c r="B85" s="142">
        <v>45529</v>
      </c>
      <c r="C85" s="141">
        <v>176.97</v>
      </c>
      <c r="D85" s="5">
        <f>C85/C84 -1</f>
        <v>2.2179864841448627E-2</v>
      </c>
      <c r="G85" s="141">
        <v>25235.9</v>
      </c>
      <c r="H85" s="5">
        <f>G85/G84 -1</f>
        <v>1.6627623810837822E-2</v>
      </c>
    </row>
    <row r="86" spans="2:8" x14ac:dyDescent="0.3">
      <c r="B86" s="142">
        <v>45536</v>
      </c>
      <c r="C86" s="141">
        <v>176.64</v>
      </c>
      <c r="D86" s="5">
        <f>C86/C85 -1</f>
        <v>-1.8647228343787736E-3</v>
      </c>
      <c r="G86" s="141">
        <v>24852.15</v>
      </c>
      <c r="H86" s="5">
        <f>G86/G85 -1</f>
        <v>-1.5206511358818231E-2</v>
      </c>
    </row>
    <row r="87" spans="2:8" x14ac:dyDescent="0.3">
      <c r="B87" s="142">
        <v>45543</v>
      </c>
      <c r="C87" s="141">
        <v>173.19</v>
      </c>
      <c r="D87" s="5">
        <f>C87/C86 -1</f>
        <v>-1.9531249999999889E-2</v>
      </c>
      <c r="G87" s="141">
        <v>25356.5</v>
      </c>
      <c r="H87" s="5">
        <f>G87/G86 -1</f>
        <v>2.0294018827344829E-2</v>
      </c>
    </row>
    <row r="88" spans="2:8" x14ac:dyDescent="0.3">
      <c r="B88" s="142">
        <v>45550</v>
      </c>
      <c r="C88" s="141">
        <v>167.05</v>
      </c>
      <c r="D88" s="5">
        <f>C88/C87 -1</f>
        <v>-3.5452393325249631E-2</v>
      </c>
      <c r="G88" s="141">
        <v>25790.95</v>
      </c>
      <c r="H88" s="5">
        <f>G88/G87 -1</f>
        <v>1.7133673811448702E-2</v>
      </c>
    </row>
    <row r="89" spans="2:8" x14ac:dyDescent="0.3">
      <c r="B89" s="142">
        <v>45557</v>
      </c>
      <c r="C89" s="141">
        <v>180.01</v>
      </c>
      <c r="D89" s="5">
        <f>C89/C88 -1</f>
        <v>7.7581562406465077E-2</v>
      </c>
      <c r="G89" s="141">
        <v>26178.95</v>
      </c>
      <c r="H89" s="5">
        <f>G89/G88 -1</f>
        <v>1.5044036764834123E-2</v>
      </c>
    </row>
    <row r="90" spans="2:8" x14ac:dyDescent="0.3">
      <c r="B90" s="142">
        <v>45564</v>
      </c>
      <c r="C90" s="141">
        <v>168.65</v>
      </c>
      <c r="D90" s="5">
        <f>C90/C89 -1</f>
        <v>-6.3107605133048139E-2</v>
      </c>
      <c r="G90" s="141">
        <v>25014.6</v>
      </c>
      <c r="H90" s="5">
        <f>G90/G89 -1</f>
        <v>-4.4476573735768743E-2</v>
      </c>
    </row>
    <row r="91" spans="2:8" x14ac:dyDescent="0.3">
      <c r="B91" s="142">
        <v>45571</v>
      </c>
      <c r="C91" s="141">
        <v>163.15</v>
      </c>
      <c r="D91" s="5">
        <f>C91/C90 -1</f>
        <v>-3.2611918173732546E-2</v>
      </c>
      <c r="G91" s="141">
        <v>24964.25</v>
      </c>
      <c r="H91" s="5">
        <f>G91/G90 -1</f>
        <v>-2.0128245104857889E-3</v>
      </c>
    </row>
    <row r="92" spans="2:8" x14ac:dyDescent="0.3">
      <c r="B92" s="142">
        <v>45578</v>
      </c>
      <c r="C92" s="141">
        <v>165.35</v>
      </c>
      <c r="D92" s="5">
        <f>C92/C91 -1</f>
        <v>1.3484523444682761E-2</v>
      </c>
      <c r="G92" s="141">
        <v>24854.05</v>
      </c>
      <c r="H92" s="5">
        <f>G92/G91 -1</f>
        <v>-4.4143124668275524E-3</v>
      </c>
    </row>
    <row r="93" spans="2:8" x14ac:dyDescent="0.3">
      <c r="B93" s="142">
        <v>45585</v>
      </c>
      <c r="C93" s="141">
        <v>146.31</v>
      </c>
      <c r="D93" s="5">
        <f>C93/C92 -1</f>
        <v>-0.11514968249168422</v>
      </c>
      <c r="G93" s="141">
        <v>24180.799999999999</v>
      </c>
      <c r="H93" s="5">
        <f>G93/G92 -1</f>
        <v>-2.7088140564616281E-2</v>
      </c>
    </row>
    <row r="94" spans="2:8" x14ac:dyDescent="0.3">
      <c r="B94" s="142">
        <v>45592</v>
      </c>
      <c r="C94" s="141">
        <v>144.99</v>
      </c>
      <c r="D94" s="5">
        <f>C94/C93 -1</f>
        <v>-9.0219397170391291E-3</v>
      </c>
      <c r="G94" s="141">
        <v>24304.35</v>
      </c>
      <c r="H94" s="5">
        <f>G94/G93 -1</f>
        <v>5.1094256600276999E-3</v>
      </c>
    </row>
    <row r="95" spans="2:8" x14ac:dyDescent="0.3">
      <c r="B95" s="142">
        <v>45599</v>
      </c>
      <c r="C95" s="141">
        <v>140.34</v>
      </c>
      <c r="D95" s="5">
        <f>C95/C94 -1</f>
        <v>-3.2071177322574029E-2</v>
      </c>
      <c r="G95" s="141">
        <v>24148.2</v>
      </c>
      <c r="H95" s="5">
        <f>G95/G94 -1</f>
        <v>-6.4247758117372822E-3</v>
      </c>
    </row>
    <row r="96" spans="2:8" x14ac:dyDescent="0.3">
      <c r="B96" s="142">
        <v>45606</v>
      </c>
      <c r="C96" s="141">
        <v>134.76</v>
      </c>
      <c r="D96" s="5">
        <f>C96/C95 -1</f>
        <v>-3.9760581445062115E-2</v>
      </c>
      <c r="G96" s="141">
        <v>23532.7</v>
      </c>
      <c r="H96" s="5">
        <f>G96/G95 -1</f>
        <v>-2.5488442202731498E-2</v>
      </c>
    </row>
    <row r="97" spans="2:8" x14ac:dyDescent="0.3">
      <c r="B97" s="142">
        <v>45613</v>
      </c>
      <c r="C97" s="141">
        <v>132.61000000000001</v>
      </c>
      <c r="D97" s="5">
        <f>C97/C96 -1</f>
        <v>-1.5954289106559605E-2</v>
      </c>
      <c r="G97" s="141">
        <v>23907.25</v>
      </c>
      <c r="H97" s="5">
        <f>G97/G96 -1</f>
        <v>1.5916150717937061E-2</v>
      </c>
    </row>
    <row r="98" spans="2:8" x14ac:dyDescent="0.3">
      <c r="B98" s="142">
        <v>45620</v>
      </c>
      <c r="C98" s="141">
        <v>138.63</v>
      </c>
      <c r="D98" s="5">
        <f>C98/C97 -1</f>
        <v>4.539627479073971E-2</v>
      </c>
      <c r="G98" s="141">
        <v>24131.1</v>
      </c>
      <c r="H98" s="5">
        <f>G98/G97 -1</f>
        <v>9.3632684645870157E-3</v>
      </c>
    </row>
    <row r="99" spans="2:8" x14ac:dyDescent="0.3">
      <c r="B99" s="142">
        <v>45627</v>
      </c>
      <c r="C99" s="141">
        <v>141.96</v>
      </c>
      <c r="D99" s="5">
        <f>C99/C98 -1</f>
        <v>2.4020774724085703E-2</v>
      </c>
      <c r="G99" s="141">
        <v>24677.8</v>
      </c>
      <c r="H99" s="5">
        <f>G99/G98 -1</f>
        <v>2.2655411481449228E-2</v>
      </c>
    </row>
    <row r="100" spans="2:8" x14ac:dyDescent="0.3">
      <c r="B100" s="142">
        <v>45634</v>
      </c>
      <c r="C100" s="141">
        <v>144.24</v>
      </c>
      <c r="D100" s="5">
        <f>C100/C99 -1</f>
        <v>1.6060862214708482E-2</v>
      </c>
      <c r="G100" s="141">
        <v>24768.3</v>
      </c>
      <c r="H100" s="5">
        <f>G100/G99 -1</f>
        <v>3.6672636944945491E-3</v>
      </c>
    </row>
    <row r="101" spans="2:8" x14ac:dyDescent="0.3">
      <c r="B101" s="142">
        <v>45641</v>
      </c>
      <c r="C101" s="141">
        <v>137.08000000000001</v>
      </c>
      <c r="D101" s="5">
        <f>C101/C100 -1</f>
        <v>-4.9639489739323306E-2</v>
      </c>
      <c r="G101" s="141">
        <v>23587.5</v>
      </c>
      <c r="H101" s="5">
        <f>G101/G100 -1</f>
        <v>-4.7673841159869612E-2</v>
      </c>
    </row>
    <row r="102" spans="2:8" x14ac:dyDescent="0.3">
      <c r="B102" s="142">
        <v>45648</v>
      </c>
      <c r="C102" s="141">
        <v>136.25</v>
      </c>
      <c r="D102" s="5">
        <f>C102/C101 -1</f>
        <v>-6.0548584768019831E-3</v>
      </c>
      <c r="G102" s="141">
        <v>23813.4</v>
      </c>
      <c r="H102" s="5">
        <f>G102/G101 -1</f>
        <v>9.5771065182830295E-3</v>
      </c>
    </row>
    <row r="103" spans="2:8" x14ac:dyDescent="0.3">
      <c r="B103" s="142">
        <v>45655</v>
      </c>
      <c r="C103" s="141">
        <v>138.13999999999999</v>
      </c>
      <c r="D103" s="5">
        <f>C103/C102 -1</f>
        <v>1.3871559633027442E-2</v>
      </c>
      <c r="G103" s="141">
        <v>24004.75</v>
      </c>
      <c r="H103" s="5">
        <f>G103/G102 -1</f>
        <v>8.035391838208783E-3</v>
      </c>
    </row>
    <row r="104" spans="2:8" x14ac:dyDescent="0.3">
      <c r="B104" s="142">
        <v>45662</v>
      </c>
      <c r="C104" s="141">
        <v>130.28</v>
      </c>
      <c r="D104" s="5">
        <f>C104/C103 -1</f>
        <v>-5.689879832054423E-2</v>
      </c>
      <c r="G104" s="141">
        <v>23431.5</v>
      </c>
      <c r="H104" s="5">
        <f>G104/G103 -1</f>
        <v>-2.3880690280048689E-2</v>
      </c>
    </row>
    <row r="105" spans="2:8" x14ac:dyDescent="0.3">
      <c r="B105" s="142">
        <v>45669</v>
      </c>
      <c r="C105" s="141">
        <v>128.07</v>
      </c>
      <c r="D105" s="5">
        <f>C105/C104 -1</f>
        <v>-1.6963463309794369E-2</v>
      </c>
      <c r="G105" s="141">
        <v>23203.200000000001</v>
      </c>
      <c r="H105" s="5">
        <f>G105/G104 -1</f>
        <v>-9.7432942833365344E-3</v>
      </c>
    </row>
    <row r="106" spans="2:8" x14ac:dyDescent="0.3">
      <c r="B106" s="142">
        <v>45676</v>
      </c>
      <c r="C106" s="141">
        <v>128.26</v>
      </c>
      <c r="D106" s="5">
        <f>C106/C105 -1</f>
        <v>1.4835636761145743E-3</v>
      </c>
      <c r="G106" s="141">
        <v>23092.2</v>
      </c>
      <c r="H106" s="5">
        <f>G106/G105 -1</f>
        <v>-4.7838229209764549E-3</v>
      </c>
    </row>
    <row r="107" spans="2:8" x14ac:dyDescent="0.3">
      <c r="B107" s="142">
        <v>45683</v>
      </c>
      <c r="C107" s="141">
        <v>128.49</v>
      </c>
      <c r="D107" s="5">
        <f>C107/C106 -1</f>
        <v>1.793232496491548E-3</v>
      </c>
      <c r="G107" s="141">
        <v>23508.400000000001</v>
      </c>
      <c r="H107" s="5">
        <f>G107/G106 -1</f>
        <v>1.8023401841314346E-2</v>
      </c>
    </row>
    <row r="108" spans="2:8" x14ac:dyDescent="0.3">
      <c r="B108" s="142">
        <v>45690</v>
      </c>
      <c r="C108" s="141">
        <v>125.11</v>
      </c>
      <c r="D108" s="5">
        <f>C108/C107 -1</f>
        <v>-2.6305549069966627E-2</v>
      </c>
      <c r="G108" s="141">
        <v>23559.95</v>
      </c>
      <c r="H108" s="5">
        <f>G108/G107 -1</f>
        <v>2.1928332000475947E-3</v>
      </c>
    </row>
    <row r="109" spans="2:8" x14ac:dyDescent="0.3">
      <c r="B109" s="142">
        <v>45697</v>
      </c>
      <c r="C109" s="141">
        <v>117.25</v>
      </c>
      <c r="D109" s="5">
        <f>C109/C108 -1</f>
        <v>-6.2824714251458746E-2</v>
      </c>
      <c r="G109" s="141">
        <v>22929.25</v>
      </c>
      <c r="H109" s="5">
        <f>G109/G108 -1</f>
        <v>-2.6770005878620329E-2</v>
      </c>
    </row>
    <row r="110" spans="2:8" x14ac:dyDescent="0.3">
      <c r="B110" s="142">
        <v>45704</v>
      </c>
      <c r="C110" s="141">
        <v>121.33</v>
      </c>
      <c r="D110" s="5">
        <f>C110/C109 -1</f>
        <v>3.4797441364605497E-2</v>
      </c>
      <c r="G110" s="141">
        <v>22795.9</v>
      </c>
      <c r="H110" s="5">
        <f>G110/G109 -1</f>
        <v>-5.8157157342695331E-3</v>
      </c>
    </row>
    <row r="111" spans="2:8" x14ac:dyDescent="0.3">
      <c r="B111" s="142"/>
      <c r="C111" s="141"/>
      <c r="D111" s="5"/>
      <c r="G111" s="141"/>
      <c r="H111" s="5"/>
    </row>
  </sheetData>
  <autoFilter ref="B6:D6" xr:uid="{2ED4A7BA-1FE1-48F8-8E55-E404D381F3EF}">
    <sortState xmlns:xlrd2="http://schemas.microsoft.com/office/spreadsheetml/2017/richdata2" ref="B7:D111">
      <sortCondition ref="B6"/>
    </sortState>
  </autoFilter>
  <mergeCells count="3">
    <mergeCell ref="B4:D4"/>
    <mergeCell ref="G4:I4"/>
    <mergeCell ref="K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3F28-D977-4B4C-9FEC-B14304AF0609}">
  <sheetPr>
    <tabColor rgb="FF002060"/>
  </sheetPr>
  <dimension ref="B2:W111"/>
  <sheetViews>
    <sheetView showGridLines="0" workbookViewId="0">
      <selection activeCell="B5" sqref="B5"/>
    </sheetView>
  </sheetViews>
  <sheetFormatPr defaultRowHeight="14.4" x14ac:dyDescent="0.3"/>
  <cols>
    <col min="1" max="1" width="2.33203125" customWidth="1"/>
    <col min="2" max="2" width="13" customWidth="1"/>
    <col min="3" max="3" width="15.33203125" customWidth="1"/>
    <col min="4" max="4" width="14.33203125" customWidth="1"/>
    <col min="7" max="7" width="12.109375" customWidth="1"/>
    <col min="8" max="8" width="15.109375" customWidth="1"/>
    <col min="15" max="15" width="12" customWidth="1"/>
    <col min="16" max="16" width="12.5546875" customWidth="1"/>
    <col min="17" max="17" width="13.88671875" customWidth="1"/>
    <col min="18" max="18" width="14.6640625" customWidth="1"/>
    <col min="19" max="19" width="11.88671875" customWidth="1"/>
    <col min="20" max="20" width="13.21875" customWidth="1"/>
    <col min="21" max="21" width="12.44140625" customWidth="1"/>
    <col min="22" max="22" width="12.33203125" customWidth="1"/>
    <col min="23" max="23" width="12.88671875" customWidth="1"/>
  </cols>
  <sheetData>
    <row r="2" spans="2:16" x14ac:dyDescent="0.3">
      <c r="B2" s="2" t="s">
        <v>347</v>
      </c>
    </row>
    <row r="4" spans="2:16" x14ac:dyDescent="0.3">
      <c r="B4" s="148" t="s">
        <v>374</v>
      </c>
      <c r="C4" s="148"/>
      <c r="D4" s="148"/>
      <c r="G4" s="148" t="s">
        <v>345</v>
      </c>
      <c r="H4" s="148"/>
      <c r="I4" s="148"/>
      <c r="K4" s="148" t="s">
        <v>344</v>
      </c>
      <c r="L4" s="148"/>
      <c r="M4" s="148"/>
    </row>
    <row r="6" spans="2:16" x14ac:dyDescent="0.3">
      <c r="B6" s="147" t="s">
        <v>343</v>
      </c>
      <c r="C6" s="146" t="s">
        <v>49</v>
      </c>
      <c r="D6" s="146" t="s">
        <v>341</v>
      </c>
      <c r="G6" s="146" t="s">
        <v>342</v>
      </c>
      <c r="H6" s="146" t="s">
        <v>341</v>
      </c>
      <c r="K6" t="s">
        <v>340</v>
      </c>
      <c r="M6" s="124">
        <f>P11</f>
        <v>1.1449836945341856</v>
      </c>
    </row>
    <row r="7" spans="2:16" x14ac:dyDescent="0.3">
      <c r="B7" s="142">
        <v>44983</v>
      </c>
      <c r="C7" s="141">
        <v>160.69999999999999</v>
      </c>
      <c r="D7" s="5"/>
      <c r="G7" s="141">
        <v>17594.349999999999</v>
      </c>
      <c r="K7" t="s">
        <v>339</v>
      </c>
      <c r="M7" s="114">
        <v>0.75</v>
      </c>
    </row>
    <row r="8" spans="2:16" x14ac:dyDescent="0.3">
      <c r="B8" s="142">
        <v>44990</v>
      </c>
      <c r="C8" s="141">
        <v>163.02000000000001</v>
      </c>
      <c r="D8" s="5">
        <f>C8/C7 -1</f>
        <v>1.443683883011837E-2</v>
      </c>
      <c r="G8" s="141">
        <v>17412.900000000001</v>
      </c>
      <c r="H8" s="5">
        <f>G8/G7 -1</f>
        <v>-1.0312969788596749E-2</v>
      </c>
      <c r="O8" t="s">
        <v>338</v>
      </c>
      <c r="P8" s="124">
        <f>SLOPE(D8:D110,H8:H110)</f>
        <v>1.1449836945341851</v>
      </c>
    </row>
    <row r="9" spans="2:16" x14ac:dyDescent="0.3">
      <c r="B9" s="142">
        <v>44997</v>
      </c>
      <c r="C9" s="141">
        <v>175.7</v>
      </c>
      <c r="D9" s="5">
        <f>C9/C8 -1</f>
        <v>7.7781867255551251E-2</v>
      </c>
      <c r="G9" s="141">
        <v>17100.05</v>
      </c>
      <c r="H9" s="5">
        <f>G9/G8 -1</f>
        <v>-1.796656501788918E-2</v>
      </c>
      <c r="K9" t="s">
        <v>337</v>
      </c>
      <c r="M9">
        <v>1</v>
      </c>
      <c r="O9" t="s">
        <v>336</v>
      </c>
      <c r="P9" s="124">
        <f>_xlfn.COVARIANCE.S(D7:D110,H7:H110)/_xlfn.VAR.S(H7:H110)</f>
        <v>1.1449836945341851</v>
      </c>
    </row>
    <row r="10" spans="2:16" x14ac:dyDescent="0.3">
      <c r="B10" s="142">
        <v>45004</v>
      </c>
      <c r="C10" s="141">
        <v>172.7</v>
      </c>
      <c r="D10" s="5">
        <f>C10/C9 -1</f>
        <v>-1.7074558907228199E-2</v>
      </c>
      <c r="G10" s="141">
        <v>16945.05</v>
      </c>
      <c r="H10" s="5">
        <f>G10/G9 -1</f>
        <v>-9.0643009815760678E-3</v>
      </c>
      <c r="K10" t="s">
        <v>335</v>
      </c>
      <c r="M10" s="114">
        <v>0.25</v>
      </c>
    </row>
    <row r="11" spans="2:16" x14ac:dyDescent="0.3">
      <c r="B11" s="142">
        <v>45011</v>
      </c>
      <c r="C11" s="141">
        <v>172.15</v>
      </c>
      <c r="D11" s="5">
        <f>C11/C10 -1</f>
        <v>-3.1847133757960666E-3</v>
      </c>
      <c r="G11" s="141">
        <v>17359.75</v>
      </c>
      <c r="H11" s="5">
        <f>G11/G10 -1</f>
        <v>2.4473223743807226E-2</v>
      </c>
      <c r="O11" t="s">
        <v>334</v>
      </c>
      <c r="P11" s="124">
        <f>P30</f>
        <v>1.1449836945341856</v>
      </c>
    </row>
    <row r="12" spans="2:16" x14ac:dyDescent="0.3">
      <c r="B12" s="142">
        <v>45018</v>
      </c>
      <c r="C12" s="141">
        <v>166</v>
      </c>
      <c r="D12" s="5">
        <f>C12/C11 -1</f>
        <v>-3.5724658727853686E-2</v>
      </c>
      <c r="G12" s="141">
        <v>17599.150000000001</v>
      </c>
      <c r="H12" s="5">
        <f>G12/G11 -1</f>
        <v>1.3790521176860304E-2</v>
      </c>
      <c r="K12" s="78" t="s">
        <v>333</v>
      </c>
      <c r="L12" s="78"/>
      <c r="M12" s="78">
        <f>(M6*M7)+(M9*M10)</f>
        <v>1.1087377709006392</v>
      </c>
    </row>
    <row r="13" spans="2:16" x14ac:dyDescent="0.3">
      <c r="B13" s="142">
        <v>45025</v>
      </c>
      <c r="C13" s="141">
        <v>166.13</v>
      </c>
      <c r="D13" s="5">
        <f>C13/C12 -1</f>
        <v>7.8313253012041173E-4</v>
      </c>
      <c r="G13" s="141">
        <v>17828</v>
      </c>
      <c r="H13" s="5">
        <f>G13/G12 -1</f>
        <v>1.3003468917532901E-2</v>
      </c>
      <c r="O13" t="s">
        <v>332</v>
      </c>
    </row>
    <row r="14" spans="2:16" ht="15" thickBot="1" x14ac:dyDescent="0.35">
      <c r="B14" s="142">
        <v>45032</v>
      </c>
      <c r="C14" s="141">
        <v>173.1</v>
      </c>
      <c r="D14" s="5">
        <f>C14/C13 -1</f>
        <v>4.1955095407211207E-2</v>
      </c>
      <c r="G14" s="141">
        <v>17624.05</v>
      </c>
      <c r="H14" s="5">
        <f>G14/G13 -1</f>
        <v>-1.143986986762402E-2</v>
      </c>
    </row>
    <row r="15" spans="2:16" x14ac:dyDescent="0.3">
      <c r="B15" s="142">
        <v>45039</v>
      </c>
      <c r="C15" s="141">
        <v>178.8</v>
      </c>
      <c r="D15" s="5">
        <f>C15/C14 -1</f>
        <v>3.2928942807625816E-2</v>
      </c>
      <c r="G15" s="141">
        <v>18065</v>
      </c>
      <c r="H15" s="5">
        <f>G15/G14 -1</f>
        <v>2.5019788300645995E-2</v>
      </c>
      <c r="O15" s="145" t="s">
        <v>331</v>
      </c>
      <c r="P15" s="145"/>
    </row>
    <row r="16" spans="2:16" x14ac:dyDescent="0.3">
      <c r="B16" s="142">
        <v>45046</v>
      </c>
      <c r="C16" s="141">
        <v>182.73</v>
      </c>
      <c r="D16" s="5">
        <f>C16/C15 -1</f>
        <v>2.1979865771811991E-2</v>
      </c>
      <c r="G16" s="141">
        <v>18069</v>
      </c>
      <c r="H16" s="5">
        <f>G16/G15 -1</f>
        <v>2.2142264046509652E-4</v>
      </c>
      <c r="O16" t="s">
        <v>330</v>
      </c>
      <c r="P16">
        <v>0.42228807788745398</v>
      </c>
    </row>
    <row r="17" spans="2:23" x14ac:dyDescent="0.3">
      <c r="B17" s="142">
        <v>45053</v>
      </c>
      <c r="C17" s="141">
        <v>180.95</v>
      </c>
      <c r="D17" s="5">
        <f>C17/C16 -1</f>
        <v>-9.7411481420675017E-3</v>
      </c>
      <c r="G17" s="141">
        <v>18314.8</v>
      </c>
      <c r="H17" s="5">
        <f>G17/G16 -1</f>
        <v>1.3603409153799317E-2</v>
      </c>
      <c r="O17" t="s">
        <v>329</v>
      </c>
      <c r="P17">
        <v>0.17832722072588039</v>
      </c>
    </row>
    <row r="18" spans="2:23" x14ac:dyDescent="0.3">
      <c r="B18" s="142">
        <v>45060</v>
      </c>
      <c r="C18" s="141">
        <v>180.15</v>
      </c>
      <c r="D18" s="5">
        <f>C18/C17 -1</f>
        <v>-4.4211108040894675E-3</v>
      </c>
      <c r="G18" s="141">
        <v>18203.400000000001</v>
      </c>
      <c r="H18" s="5">
        <f>G18/G17 -1</f>
        <v>-6.0825125035489647E-3</v>
      </c>
      <c r="O18" t="s">
        <v>328</v>
      </c>
      <c r="P18">
        <v>0.17019184667366138</v>
      </c>
    </row>
    <row r="19" spans="2:23" x14ac:dyDescent="0.3">
      <c r="B19" s="142">
        <v>45067</v>
      </c>
      <c r="C19" s="141">
        <v>182.15</v>
      </c>
      <c r="D19" s="5">
        <f>C19/C18 -1</f>
        <v>1.1101859561476468E-2</v>
      </c>
      <c r="G19" s="141">
        <v>18499.349999999999</v>
      </c>
      <c r="H19" s="5">
        <f>G19/G18 -1</f>
        <v>1.6257951811200044E-2</v>
      </c>
      <c r="O19" t="s">
        <v>317</v>
      </c>
      <c r="P19">
        <v>3.8714013876275259E-2</v>
      </c>
    </row>
    <row r="20" spans="2:23" ht="15" thickBot="1" x14ac:dyDescent="0.35">
      <c r="B20" s="142">
        <v>45074</v>
      </c>
      <c r="C20" s="141">
        <v>180.02</v>
      </c>
      <c r="D20" s="5">
        <f>C20/C19 -1</f>
        <v>-1.1693659072193219E-2</v>
      </c>
      <c r="G20" s="141">
        <v>18534.099999999999</v>
      </c>
      <c r="H20" s="5">
        <f>G20/G19 -1</f>
        <v>1.8784443777755122E-3</v>
      </c>
      <c r="O20" s="143" t="s">
        <v>327</v>
      </c>
      <c r="P20" s="143">
        <v>103</v>
      </c>
    </row>
    <row r="21" spans="2:23" x14ac:dyDescent="0.3">
      <c r="B21" s="142">
        <v>45081</v>
      </c>
      <c r="C21" s="141">
        <v>179.73</v>
      </c>
      <c r="D21" s="5">
        <f>C21/C20 -1</f>
        <v>-1.6109321186535963E-3</v>
      </c>
      <c r="G21" s="141">
        <v>18563.400000000001</v>
      </c>
      <c r="H21" s="5">
        <f>G21/G20 -1</f>
        <v>1.5808698561032841E-3</v>
      </c>
    </row>
    <row r="22" spans="2:23" ht="15" thickBot="1" x14ac:dyDescent="0.35">
      <c r="B22" s="142">
        <v>45088</v>
      </c>
      <c r="C22" s="141">
        <v>188.4</v>
      </c>
      <c r="D22" s="5">
        <f>C22/C21 -1</f>
        <v>4.823902520447354E-2</v>
      </c>
      <c r="G22" s="141">
        <v>18826</v>
      </c>
      <c r="H22" s="5">
        <f>G22/G21 -1</f>
        <v>1.4146115474535925E-2</v>
      </c>
      <c r="O22" t="s">
        <v>326</v>
      </c>
    </row>
    <row r="23" spans="2:23" x14ac:dyDescent="0.3">
      <c r="B23" s="142">
        <v>45095</v>
      </c>
      <c r="C23" s="141">
        <v>179.8</v>
      </c>
      <c r="D23" s="5">
        <f>C23/C22 -1</f>
        <v>-4.5647558386411879E-2</v>
      </c>
      <c r="G23" s="141">
        <v>18665.5</v>
      </c>
      <c r="H23" s="5">
        <f>G23/G22 -1</f>
        <v>-8.5254435355359703E-3</v>
      </c>
      <c r="O23" s="144"/>
      <c r="P23" s="144" t="s">
        <v>325</v>
      </c>
      <c r="Q23" s="144" t="s">
        <v>324</v>
      </c>
      <c r="R23" s="144" t="s">
        <v>323</v>
      </c>
      <c r="S23" s="144" t="s">
        <v>322</v>
      </c>
      <c r="T23" s="144" t="s">
        <v>321</v>
      </c>
    </row>
    <row r="24" spans="2:23" x14ac:dyDescent="0.3">
      <c r="B24" s="142">
        <v>45102</v>
      </c>
      <c r="C24" s="141">
        <v>182.35</v>
      </c>
      <c r="D24" s="5">
        <f>C24/C23 -1</f>
        <v>1.4182424916573844E-2</v>
      </c>
      <c r="G24" s="141">
        <v>19189.05</v>
      </c>
      <c r="H24" s="5">
        <f>G24/G23 -1</f>
        <v>2.8049074495727355E-2</v>
      </c>
      <c r="O24" t="s">
        <v>320</v>
      </c>
      <c r="P24">
        <v>1</v>
      </c>
      <c r="Q24">
        <v>3.2853112274725649E-2</v>
      </c>
      <c r="R24">
        <v>3.2853112274725649E-2</v>
      </c>
      <c r="S24">
        <v>21.919978058936309</v>
      </c>
      <c r="T24">
        <v>8.8661533341048968E-6</v>
      </c>
    </row>
    <row r="25" spans="2:23" x14ac:dyDescent="0.3">
      <c r="B25" s="142">
        <v>45109</v>
      </c>
      <c r="C25" s="141">
        <v>195.82</v>
      </c>
      <c r="D25" s="5">
        <f>C25/C24 -1</f>
        <v>7.3868933369892975E-2</v>
      </c>
      <c r="G25" s="141">
        <v>19331.8</v>
      </c>
      <c r="H25" s="5">
        <f>G25/G24 -1</f>
        <v>7.4391384669902916E-3</v>
      </c>
      <c r="O25" t="s">
        <v>319</v>
      </c>
      <c r="P25">
        <v>101</v>
      </c>
      <c r="Q25">
        <v>0.15137626191165576</v>
      </c>
      <c r="R25">
        <v>1.4987748704124333E-3</v>
      </c>
    </row>
    <row r="26" spans="2:23" ht="15" thickBot="1" x14ac:dyDescent="0.35">
      <c r="B26" s="142">
        <v>45116</v>
      </c>
      <c r="C26" s="141">
        <v>189.77</v>
      </c>
      <c r="D26" s="5">
        <f>C26/C25 -1</f>
        <v>-3.0895720559697581E-2</v>
      </c>
      <c r="G26" s="141">
        <v>19564.5</v>
      </c>
      <c r="H26" s="5">
        <f>G26/G25 -1</f>
        <v>1.2037161567986399E-2</v>
      </c>
      <c r="O26" s="143" t="s">
        <v>26</v>
      </c>
      <c r="P26" s="143">
        <v>102</v>
      </c>
      <c r="Q26" s="143">
        <v>0.18422937418638141</v>
      </c>
      <c r="R26" s="143"/>
      <c r="S26" s="143"/>
      <c r="T26" s="143"/>
    </row>
    <row r="27" spans="2:23" ht="15" thickBot="1" x14ac:dyDescent="0.35">
      <c r="B27" s="142">
        <v>45123</v>
      </c>
      <c r="C27" s="141">
        <v>195.32</v>
      </c>
      <c r="D27" s="5">
        <f>C27/C26 -1</f>
        <v>2.9245929282815997E-2</v>
      </c>
      <c r="G27" s="141">
        <v>19745</v>
      </c>
      <c r="H27" s="5">
        <f>G27/G26 -1</f>
        <v>9.225893838329613E-3</v>
      </c>
    </row>
    <row r="28" spans="2:23" x14ac:dyDescent="0.3">
      <c r="B28" s="142">
        <v>45130</v>
      </c>
      <c r="C28" s="141">
        <v>186.73</v>
      </c>
      <c r="D28" s="5">
        <f>C28/C27 -1</f>
        <v>-4.3979111202129828E-2</v>
      </c>
      <c r="G28" s="141">
        <v>19646.05</v>
      </c>
      <c r="H28" s="5">
        <f>G28/G27 -1</f>
        <v>-5.0113952899468739E-3</v>
      </c>
      <c r="O28" s="144"/>
      <c r="P28" s="144" t="s">
        <v>318</v>
      </c>
      <c r="Q28" s="144" t="s">
        <v>317</v>
      </c>
      <c r="R28" s="144" t="s">
        <v>316</v>
      </c>
      <c r="S28" s="144" t="s">
        <v>315</v>
      </c>
      <c r="T28" s="144" t="s">
        <v>314</v>
      </c>
      <c r="U28" s="144" t="s">
        <v>313</v>
      </c>
      <c r="V28" s="144" t="s">
        <v>312</v>
      </c>
      <c r="W28" s="144" t="s">
        <v>311</v>
      </c>
    </row>
    <row r="29" spans="2:23" x14ac:dyDescent="0.3">
      <c r="B29" s="142">
        <v>45137</v>
      </c>
      <c r="C29" s="141">
        <v>180.2</v>
      </c>
      <c r="D29" s="5">
        <f>C29/C28 -1</f>
        <v>-3.497027794141272E-2</v>
      </c>
      <c r="G29" s="141">
        <v>19517</v>
      </c>
      <c r="H29" s="5">
        <f>G29/G28 -1</f>
        <v>-6.568750461288575E-3</v>
      </c>
      <c r="O29" t="s">
        <v>310</v>
      </c>
      <c r="P29">
        <v>2.2010251107346412E-3</v>
      </c>
      <c r="Q29">
        <v>3.8688534191256233E-3</v>
      </c>
      <c r="R29">
        <v>0.56890889167677017</v>
      </c>
      <c r="S29">
        <v>0.57068090148295347</v>
      </c>
      <c r="T29">
        <v>-5.4737393626756517E-3</v>
      </c>
      <c r="U29">
        <v>9.8757895841449332E-3</v>
      </c>
      <c r="V29">
        <v>-5.4737393626756517E-3</v>
      </c>
      <c r="W29">
        <v>9.8757895841449332E-3</v>
      </c>
    </row>
    <row r="30" spans="2:23" ht="15" thickBot="1" x14ac:dyDescent="0.35">
      <c r="B30" s="142">
        <v>45144</v>
      </c>
      <c r="C30" s="141">
        <v>178.77</v>
      </c>
      <c r="D30" s="5">
        <f>C30/C29 -1</f>
        <v>-7.9356270810209129E-3</v>
      </c>
      <c r="G30" s="141">
        <v>19428.3</v>
      </c>
      <c r="H30" s="5">
        <f>G30/G29 -1</f>
        <v>-4.5447558538710409E-3</v>
      </c>
      <c r="O30" s="143" t="s">
        <v>309</v>
      </c>
      <c r="P30" s="143">
        <v>1.1449836945341856</v>
      </c>
      <c r="Q30" s="143">
        <v>0.24455651924231891</v>
      </c>
      <c r="R30" s="143">
        <v>4.6818776210977964</v>
      </c>
      <c r="S30" s="143">
        <v>8.8661533341046308E-6</v>
      </c>
      <c r="T30" s="143">
        <v>0.65984934533828865</v>
      </c>
      <c r="U30" s="143">
        <v>1.6301180437300826</v>
      </c>
      <c r="V30" s="143">
        <v>0.65984934533828865</v>
      </c>
      <c r="W30" s="143">
        <v>1.6301180437300826</v>
      </c>
    </row>
    <row r="31" spans="2:23" x14ac:dyDescent="0.3">
      <c r="B31" s="142">
        <v>45151</v>
      </c>
      <c r="C31" s="141">
        <v>176.45</v>
      </c>
      <c r="D31" s="5">
        <f>C31/C30 -1</f>
        <v>-1.2977568943335127E-2</v>
      </c>
      <c r="G31" s="141">
        <v>19310.150000000001</v>
      </c>
      <c r="H31" s="5">
        <f>G31/G30 -1</f>
        <v>-6.0813349598265454E-3</v>
      </c>
    </row>
    <row r="32" spans="2:23" x14ac:dyDescent="0.3">
      <c r="B32" s="142">
        <v>45158</v>
      </c>
      <c r="C32" s="141">
        <v>175.13</v>
      </c>
      <c r="D32" s="5">
        <f>C32/C31 -1</f>
        <v>-7.4808727684896326E-3</v>
      </c>
      <c r="G32" s="141">
        <v>19265.8</v>
      </c>
      <c r="H32" s="5">
        <f>G32/G31 -1</f>
        <v>-2.2967196008317758E-3</v>
      </c>
    </row>
    <row r="33" spans="2:8" x14ac:dyDescent="0.3">
      <c r="B33" s="142">
        <v>45165</v>
      </c>
      <c r="C33" s="141">
        <v>172.1</v>
      </c>
      <c r="D33" s="5">
        <f>C33/C32 -1</f>
        <v>-1.7301433221035833E-2</v>
      </c>
      <c r="G33" s="141">
        <v>19435.3</v>
      </c>
      <c r="H33" s="5">
        <f>G33/G32 -1</f>
        <v>8.7979736112697715E-3</v>
      </c>
    </row>
    <row r="34" spans="2:8" x14ac:dyDescent="0.3">
      <c r="B34" s="142">
        <v>45172</v>
      </c>
      <c r="C34" s="141">
        <v>180.98</v>
      </c>
      <c r="D34" s="5">
        <f>C34/C33 -1</f>
        <v>5.1597908192910991E-2</v>
      </c>
      <c r="G34" s="141">
        <v>19819.95</v>
      </c>
      <c r="H34" s="5">
        <f>G34/G33 -1</f>
        <v>1.9791307569216876E-2</v>
      </c>
    </row>
    <row r="35" spans="2:8" x14ac:dyDescent="0.3">
      <c r="B35" s="142">
        <v>45179</v>
      </c>
      <c r="C35" s="141">
        <v>176.13</v>
      </c>
      <c r="D35" s="5">
        <f>C35/C34 -1</f>
        <v>-2.6798541275279031E-2</v>
      </c>
      <c r="G35" s="141">
        <v>20192.349999999999</v>
      </c>
      <c r="H35" s="5">
        <f>G35/G34 -1</f>
        <v>1.8789149316723597E-2</v>
      </c>
    </row>
    <row r="36" spans="2:8" x14ac:dyDescent="0.3">
      <c r="B36" s="142">
        <v>45186</v>
      </c>
      <c r="C36" s="141">
        <v>175.98</v>
      </c>
      <c r="D36" s="5">
        <f>C36/C35 -1</f>
        <v>-8.5164367228751647E-4</v>
      </c>
      <c r="G36" s="141">
        <v>19674.25</v>
      </c>
      <c r="H36" s="5">
        <f>G36/G35 -1</f>
        <v>-2.5658231954180599E-2</v>
      </c>
    </row>
    <row r="37" spans="2:8" x14ac:dyDescent="0.3">
      <c r="B37" s="142">
        <v>45193</v>
      </c>
      <c r="C37" s="141">
        <v>173.3</v>
      </c>
      <c r="D37" s="5">
        <f>C37/C36 -1</f>
        <v>-1.5229003295828991E-2</v>
      </c>
      <c r="G37" s="141">
        <v>19638.3</v>
      </c>
      <c r="H37" s="5">
        <f>G37/G36 -1</f>
        <v>-1.8272615220402688E-3</v>
      </c>
    </row>
    <row r="38" spans="2:8" x14ac:dyDescent="0.3">
      <c r="B38" s="142">
        <v>45200</v>
      </c>
      <c r="C38" s="141">
        <v>173.6</v>
      </c>
      <c r="D38" s="5">
        <f>C38/C37 -1</f>
        <v>1.7311021350259193E-3</v>
      </c>
      <c r="G38" s="141">
        <v>19653.5</v>
      </c>
      <c r="H38" s="5">
        <f>G38/G37 -1</f>
        <v>7.7399774929598486E-4</v>
      </c>
    </row>
    <row r="39" spans="2:8" x14ac:dyDescent="0.3">
      <c r="B39" s="142">
        <v>45207</v>
      </c>
      <c r="C39" s="141">
        <v>173.85</v>
      </c>
      <c r="D39" s="5">
        <f>C39/C38 -1</f>
        <v>1.4400921658985766E-3</v>
      </c>
      <c r="G39" s="141">
        <v>19751.05</v>
      </c>
      <c r="H39" s="5">
        <f>G39/G38 -1</f>
        <v>4.9634925076957881E-3</v>
      </c>
    </row>
    <row r="40" spans="2:8" x14ac:dyDescent="0.3">
      <c r="B40" s="142">
        <v>45214</v>
      </c>
      <c r="C40" s="141">
        <v>173.2</v>
      </c>
      <c r="D40" s="5">
        <f>C40/C39 -1</f>
        <v>-3.7388553350590215E-3</v>
      </c>
      <c r="G40" s="141">
        <v>19542.650000000001</v>
      </c>
      <c r="H40" s="5">
        <f>G40/G39 -1</f>
        <v>-1.0551337776978809E-2</v>
      </c>
    </row>
    <row r="41" spans="2:8" x14ac:dyDescent="0.3">
      <c r="B41" s="142">
        <v>45221</v>
      </c>
      <c r="C41" s="141">
        <v>167.48</v>
      </c>
      <c r="D41" s="5">
        <f>C41/C40 -1</f>
        <v>-3.3025404157043914E-2</v>
      </c>
      <c r="G41" s="141">
        <v>19047.25</v>
      </c>
      <c r="H41" s="5">
        <f>G41/G40 -1</f>
        <v>-2.5349683896503383E-2</v>
      </c>
    </row>
    <row r="42" spans="2:8" x14ac:dyDescent="0.3">
      <c r="B42" s="142">
        <v>45228</v>
      </c>
      <c r="C42" s="141">
        <v>180.75</v>
      </c>
      <c r="D42" s="5">
        <f>C42/C41 -1</f>
        <v>7.9233341294483006E-2</v>
      </c>
      <c r="G42" s="141">
        <v>19230.599999999999</v>
      </c>
      <c r="H42" s="5">
        <f>G42/G41 -1</f>
        <v>9.6260615049414966E-3</v>
      </c>
    </row>
    <row r="43" spans="2:8" x14ac:dyDescent="0.3">
      <c r="B43" s="142">
        <v>45235</v>
      </c>
      <c r="C43" s="141">
        <v>192.02</v>
      </c>
      <c r="D43" s="5">
        <f>C43/C42 -1</f>
        <v>6.2351313969571276E-2</v>
      </c>
      <c r="G43" s="141">
        <v>19425.349999999999</v>
      </c>
      <c r="H43" s="5">
        <f>G43/G42 -1</f>
        <v>1.0127089118384225E-2</v>
      </c>
    </row>
    <row r="44" spans="2:8" x14ac:dyDescent="0.3">
      <c r="B44" s="142">
        <v>45242</v>
      </c>
      <c r="C44" s="141">
        <v>195.13</v>
      </c>
      <c r="D44" s="5">
        <f>C44/C43 -1</f>
        <v>1.6196229559420905E-2</v>
      </c>
      <c r="G44" s="141">
        <v>19731.8</v>
      </c>
      <c r="H44" s="5">
        <f>G44/G43 -1</f>
        <v>1.5775777527818002E-2</v>
      </c>
    </row>
    <row r="45" spans="2:8" x14ac:dyDescent="0.3">
      <c r="B45" s="142">
        <v>45249</v>
      </c>
      <c r="C45" s="141">
        <v>205.3</v>
      </c>
      <c r="D45" s="5">
        <f>C45/C44 -1</f>
        <v>5.2119100087121506E-2</v>
      </c>
      <c r="G45" s="141">
        <v>19794.7</v>
      </c>
      <c r="H45" s="5">
        <f>G45/G44 -1</f>
        <v>3.1877476966115648E-3</v>
      </c>
    </row>
    <row r="46" spans="2:8" x14ac:dyDescent="0.3">
      <c r="B46" s="142">
        <v>45256</v>
      </c>
      <c r="C46" s="141">
        <v>219</v>
      </c>
      <c r="D46" s="5">
        <f>C46/C45 -1</f>
        <v>6.6731612274719909E-2</v>
      </c>
      <c r="G46" s="141">
        <v>20267.900000000001</v>
      </c>
      <c r="H46" s="5">
        <f>G46/G45 -1</f>
        <v>2.3905388816198414E-2</v>
      </c>
    </row>
    <row r="47" spans="2:8" x14ac:dyDescent="0.3">
      <c r="B47" s="142">
        <v>45263</v>
      </c>
      <c r="C47" s="141">
        <v>235.23</v>
      </c>
      <c r="D47" s="5">
        <f>C47/C46 -1</f>
        <v>7.410958904109588E-2</v>
      </c>
      <c r="G47" s="141">
        <v>20969.400000000001</v>
      </c>
      <c r="H47" s="5">
        <f>G47/G46 -1</f>
        <v>3.4611380557433069E-2</v>
      </c>
    </row>
    <row r="48" spans="2:8" x14ac:dyDescent="0.3">
      <c r="B48" s="142">
        <v>45270</v>
      </c>
      <c r="C48" s="141">
        <v>224.5</v>
      </c>
      <c r="D48" s="5">
        <f>C48/C47 -1</f>
        <v>-4.5614930068443638E-2</v>
      </c>
      <c r="G48" s="141">
        <v>21456.65</v>
      </c>
      <c r="H48" s="5">
        <f>G48/G47 -1</f>
        <v>2.3236239472755438E-2</v>
      </c>
    </row>
    <row r="49" spans="2:8" x14ac:dyDescent="0.3">
      <c r="B49" s="142">
        <v>45277</v>
      </c>
      <c r="C49" s="141">
        <v>223.32</v>
      </c>
      <c r="D49" s="5">
        <f>C49/C48 -1</f>
        <v>-5.2561247216036389E-3</v>
      </c>
      <c r="G49" s="141">
        <v>21349.4</v>
      </c>
      <c r="H49" s="5">
        <f>G49/G48 -1</f>
        <v>-4.9984503638732525E-3</v>
      </c>
    </row>
    <row r="50" spans="2:8" x14ac:dyDescent="0.3">
      <c r="B50" s="142">
        <v>45284</v>
      </c>
      <c r="C50" s="141">
        <v>225.32</v>
      </c>
      <c r="D50" s="5">
        <f>C50/C49 -1</f>
        <v>8.9557585527493266E-3</v>
      </c>
      <c r="G50" s="141">
        <v>21731.4</v>
      </c>
      <c r="H50" s="5">
        <f>G50/G49 -1</f>
        <v>1.7892774504201459E-2</v>
      </c>
    </row>
    <row r="51" spans="2:8" x14ac:dyDescent="0.3">
      <c r="B51" s="142">
        <v>45291</v>
      </c>
      <c r="C51" s="141">
        <v>226.55</v>
      </c>
      <c r="D51" s="5">
        <f>C51/C50 -1</f>
        <v>5.4589028936624651E-3</v>
      </c>
      <c r="G51" s="141">
        <v>21710.799999999999</v>
      </c>
      <c r="H51" s="5">
        <f>G51/G50 -1</f>
        <v>-9.479370864280412E-4</v>
      </c>
    </row>
    <row r="52" spans="2:8" x14ac:dyDescent="0.3">
      <c r="B52" s="142">
        <v>45298</v>
      </c>
      <c r="C52" s="141">
        <v>229.13</v>
      </c>
      <c r="D52" s="5">
        <f>C52/C51 -1</f>
        <v>1.1388214522180418E-2</v>
      </c>
      <c r="G52" s="141">
        <v>21894.55</v>
      </c>
      <c r="H52" s="5">
        <f>G52/G51 -1</f>
        <v>8.4635296718684749E-3</v>
      </c>
    </row>
    <row r="53" spans="2:8" x14ac:dyDescent="0.3">
      <c r="B53" s="142">
        <v>45305</v>
      </c>
      <c r="C53" s="141">
        <v>240.48</v>
      </c>
      <c r="D53" s="5">
        <f>C53/C52 -1</f>
        <v>4.9535198359010213E-2</v>
      </c>
      <c r="G53" s="141">
        <v>21622.400000000001</v>
      </c>
      <c r="H53" s="5">
        <f>G53/G52 -1</f>
        <v>-1.2430033958222397E-2</v>
      </c>
    </row>
    <row r="54" spans="2:8" x14ac:dyDescent="0.3">
      <c r="B54" s="142">
        <v>45312</v>
      </c>
      <c r="C54" s="141">
        <v>237.2</v>
      </c>
      <c r="D54" s="5">
        <f>C54/C53 -1</f>
        <v>-1.3639387890884924E-2</v>
      </c>
      <c r="G54" s="141">
        <v>21352.6</v>
      </c>
      <c r="H54" s="5">
        <f>G54/G53 -1</f>
        <v>-1.2477800799171379E-2</v>
      </c>
    </row>
    <row r="55" spans="2:8" x14ac:dyDescent="0.3">
      <c r="B55" s="142">
        <v>45319</v>
      </c>
      <c r="C55" s="141">
        <v>279.17</v>
      </c>
      <c r="D55" s="5">
        <f>C55/C54 -1</f>
        <v>0.17693929173693101</v>
      </c>
      <c r="G55" s="141">
        <v>21853.8</v>
      </c>
      <c r="H55" s="5">
        <f>G55/G54 -1</f>
        <v>2.3472551352060167E-2</v>
      </c>
    </row>
    <row r="56" spans="2:8" x14ac:dyDescent="0.3">
      <c r="B56" s="142">
        <v>45326</v>
      </c>
      <c r="C56" s="141">
        <v>307.14999999999998</v>
      </c>
      <c r="D56" s="5">
        <f>C56/C55 -1</f>
        <v>0.10022566894723628</v>
      </c>
      <c r="G56" s="141">
        <v>21782.5</v>
      </c>
      <c r="H56" s="5">
        <f>G56/G55 -1</f>
        <v>-3.2625904876955047E-3</v>
      </c>
    </row>
    <row r="57" spans="2:8" x14ac:dyDescent="0.3">
      <c r="B57" s="142">
        <v>45333</v>
      </c>
      <c r="C57" s="141">
        <v>327.3</v>
      </c>
      <c r="D57" s="5">
        <f>C57/C56 -1</f>
        <v>6.5603125508709281E-2</v>
      </c>
      <c r="G57" s="141">
        <v>22040.7</v>
      </c>
      <c r="H57" s="5">
        <f>G57/G56 -1</f>
        <v>1.1853552163433978E-2</v>
      </c>
    </row>
    <row r="58" spans="2:8" x14ac:dyDescent="0.3">
      <c r="B58" s="142">
        <v>45340</v>
      </c>
      <c r="C58" s="141">
        <v>308.98</v>
      </c>
      <c r="D58" s="5">
        <f>C58/C57 -1</f>
        <v>-5.5973113351665105E-2</v>
      </c>
      <c r="G58" s="141">
        <v>22212.7</v>
      </c>
      <c r="H58" s="5">
        <f>G58/G57 -1</f>
        <v>7.8037448901351336E-3</v>
      </c>
    </row>
    <row r="59" spans="2:8" x14ac:dyDescent="0.3">
      <c r="B59" s="142">
        <v>45347</v>
      </c>
      <c r="C59" s="141">
        <v>311.64999999999998</v>
      </c>
      <c r="D59" s="5">
        <f>C59/C58 -1</f>
        <v>8.6413360088031244E-3</v>
      </c>
      <c r="G59" s="141">
        <v>22338.75</v>
      </c>
      <c r="H59" s="5">
        <f>G59/G58 -1</f>
        <v>5.6746816010659895E-3</v>
      </c>
    </row>
    <row r="60" spans="2:8" x14ac:dyDescent="0.3">
      <c r="B60" s="142">
        <v>45354</v>
      </c>
      <c r="C60" s="141">
        <v>312.35000000000002</v>
      </c>
      <c r="D60" s="5">
        <f>C60/C59 -1</f>
        <v>2.246109417616049E-3</v>
      </c>
      <c r="G60" s="141">
        <v>22493.55</v>
      </c>
      <c r="H60" s="5">
        <f>G60/G59 -1</f>
        <v>6.929662581836471E-3</v>
      </c>
    </row>
    <row r="61" spans="2:8" x14ac:dyDescent="0.3">
      <c r="B61" s="142">
        <v>45361</v>
      </c>
      <c r="C61" s="141">
        <v>293.23</v>
      </c>
      <c r="D61" s="5">
        <f>C61/C60 -1</f>
        <v>-6.1213382423563334E-2</v>
      </c>
      <c r="G61" s="141">
        <v>22023.35</v>
      </c>
      <c r="H61" s="5">
        <f>G61/G60 -1</f>
        <v>-2.0903770191899484E-2</v>
      </c>
    </row>
    <row r="62" spans="2:8" x14ac:dyDescent="0.3">
      <c r="B62" s="142">
        <v>45368</v>
      </c>
      <c r="C62" s="141">
        <v>296.39999999999998</v>
      </c>
      <c r="D62" s="5">
        <f>C62/C61 -1</f>
        <v>1.0810626470688423E-2</v>
      </c>
      <c r="G62" s="141">
        <v>22096.75</v>
      </c>
      <c r="H62" s="5">
        <f>G62/G61 -1</f>
        <v>3.3328262957270649E-3</v>
      </c>
    </row>
    <row r="63" spans="2:8" x14ac:dyDescent="0.3">
      <c r="B63" s="142">
        <v>45375</v>
      </c>
      <c r="C63" s="141">
        <v>301.2</v>
      </c>
      <c r="D63" s="5">
        <f>C63/C62 -1</f>
        <v>1.6194331983805599E-2</v>
      </c>
      <c r="G63" s="141">
        <v>22326.9</v>
      </c>
      <c r="H63" s="5">
        <f>G63/G62 -1</f>
        <v>1.0415558849152129E-2</v>
      </c>
    </row>
    <row r="64" spans="2:8" x14ac:dyDescent="0.3">
      <c r="B64" s="142">
        <v>45382</v>
      </c>
      <c r="C64" s="141">
        <v>295.23</v>
      </c>
      <c r="D64" s="5">
        <f>C64/C63 -1</f>
        <v>-1.9820717131474042E-2</v>
      </c>
      <c r="G64" s="141">
        <v>22513.7</v>
      </c>
      <c r="H64" s="5">
        <f>G64/G63 -1</f>
        <v>8.3665891816597782E-3</v>
      </c>
    </row>
    <row r="65" spans="2:8" x14ac:dyDescent="0.3">
      <c r="B65" s="142">
        <v>45389</v>
      </c>
      <c r="C65" s="141">
        <v>300.60000000000002</v>
      </c>
      <c r="D65" s="5">
        <f>C65/C64 -1</f>
        <v>1.8189208413779134E-2</v>
      </c>
      <c r="G65" s="141">
        <v>22519.4</v>
      </c>
      <c r="H65" s="5">
        <f>G65/G64 -1</f>
        <v>2.5317917534661838E-4</v>
      </c>
    </row>
    <row r="66" spans="2:8" x14ac:dyDescent="0.3">
      <c r="B66" s="142">
        <v>45396</v>
      </c>
      <c r="C66" s="141">
        <v>292.89999999999998</v>
      </c>
      <c r="D66" s="5">
        <f>C66/C65 -1</f>
        <v>-2.5615435795076635E-2</v>
      </c>
      <c r="G66" s="141">
        <v>22147</v>
      </c>
      <c r="H66" s="5">
        <f>G66/G65 -1</f>
        <v>-1.6536852669254087E-2</v>
      </c>
    </row>
    <row r="67" spans="2:8" x14ac:dyDescent="0.3">
      <c r="B67" s="142">
        <v>45403</v>
      </c>
      <c r="C67" s="141">
        <v>304.73</v>
      </c>
      <c r="D67" s="5">
        <f>C67/C66 -1</f>
        <v>4.0389211334926678E-2</v>
      </c>
      <c r="G67" s="141">
        <v>22419.95</v>
      </c>
      <c r="H67" s="5">
        <f>G67/G66 -1</f>
        <v>1.2324468325281002E-2</v>
      </c>
    </row>
    <row r="68" spans="2:8" x14ac:dyDescent="0.3">
      <c r="B68" s="142">
        <v>45410</v>
      </c>
      <c r="C68" s="141">
        <v>314.92</v>
      </c>
      <c r="D68" s="5">
        <f>C68/C67 -1</f>
        <v>3.3439438191185555E-2</v>
      </c>
      <c r="G68" s="141">
        <v>22475.85</v>
      </c>
      <c r="H68" s="5">
        <f>G68/G67 -1</f>
        <v>2.4933151055197555E-3</v>
      </c>
    </row>
    <row r="69" spans="2:8" x14ac:dyDescent="0.3">
      <c r="B69" s="142">
        <v>45417</v>
      </c>
      <c r="C69" s="141">
        <v>309.33</v>
      </c>
      <c r="D69" s="5">
        <f>C69/C68 -1</f>
        <v>-1.7750539819636812E-2</v>
      </c>
      <c r="G69" s="141">
        <v>22055.200000000001</v>
      </c>
      <c r="H69" s="5">
        <f>G69/G68 -1</f>
        <v>-1.8715643679771743E-2</v>
      </c>
    </row>
    <row r="70" spans="2:8" x14ac:dyDescent="0.3">
      <c r="B70" s="142">
        <v>45424</v>
      </c>
      <c r="C70" s="141">
        <v>314.14999999999998</v>
      </c>
      <c r="D70" s="5">
        <f>C70/C69 -1</f>
        <v>1.5582064461901579E-2</v>
      </c>
      <c r="G70" s="141">
        <v>22466.1</v>
      </c>
      <c r="H70" s="5">
        <f>G70/G69 -1</f>
        <v>1.8630527041241907E-2</v>
      </c>
    </row>
    <row r="71" spans="2:8" x14ac:dyDescent="0.3">
      <c r="B71" s="142">
        <v>45431</v>
      </c>
      <c r="C71" s="141">
        <v>327.05</v>
      </c>
      <c r="D71" s="5">
        <f>C71/C70 -1</f>
        <v>4.1063186375935201E-2</v>
      </c>
      <c r="G71" s="141">
        <v>22957.1</v>
      </c>
      <c r="H71" s="5">
        <f>G71/G70 -1</f>
        <v>2.1855150649200406E-2</v>
      </c>
    </row>
    <row r="72" spans="2:8" x14ac:dyDescent="0.3">
      <c r="B72" s="142">
        <v>45438</v>
      </c>
      <c r="C72" s="141">
        <v>313.89999999999998</v>
      </c>
      <c r="D72" s="5">
        <f>C72/C71 -1</f>
        <v>-4.0207919278397952E-2</v>
      </c>
      <c r="G72" s="141">
        <v>22530.7</v>
      </c>
      <c r="H72" s="5">
        <f>G72/G71 -1</f>
        <v>-1.8573774562117951E-2</v>
      </c>
    </row>
    <row r="73" spans="2:8" x14ac:dyDescent="0.3">
      <c r="B73" s="142">
        <v>45445</v>
      </c>
      <c r="C73" s="141">
        <v>299.89999999999998</v>
      </c>
      <c r="D73" s="5">
        <f>C73/C72 -1</f>
        <v>-4.4600191143676304E-2</v>
      </c>
      <c r="G73" s="141">
        <v>23290.15</v>
      </c>
      <c r="H73" s="5">
        <f>G73/G72 -1</f>
        <v>3.3707341538434354E-2</v>
      </c>
    </row>
    <row r="74" spans="2:8" x14ac:dyDescent="0.3">
      <c r="B74" s="142">
        <v>45452</v>
      </c>
      <c r="C74" s="141">
        <v>313.33</v>
      </c>
      <c r="D74" s="5">
        <f>C74/C73 -1</f>
        <v>4.478159386462166E-2</v>
      </c>
      <c r="G74" s="141">
        <v>23465.599999999999</v>
      </c>
      <c r="H74" s="5">
        <f>G74/G73 -1</f>
        <v>7.5332275661599279E-3</v>
      </c>
    </row>
    <row r="75" spans="2:8" x14ac:dyDescent="0.3">
      <c r="B75" s="142">
        <v>45459</v>
      </c>
      <c r="C75" s="141">
        <v>307.60000000000002</v>
      </c>
      <c r="D75" s="5">
        <f>C75/C74 -1</f>
        <v>-1.82874285896657E-2</v>
      </c>
      <c r="G75" s="141">
        <v>23501.1</v>
      </c>
      <c r="H75" s="5">
        <f>G75/G74 -1</f>
        <v>1.5128528569481325E-3</v>
      </c>
    </row>
    <row r="76" spans="2:8" x14ac:dyDescent="0.3">
      <c r="B76" s="142">
        <v>45466</v>
      </c>
      <c r="C76" s="141">
        <v>303.95</v>
      </c>
      <c r="D76" s="5">
        <f>C76/C75 -1</f>
        <v>-1.1866059817945529E-2</v>
      </c>
      <c r="G76" s="141">
        <v>24010.6</v>
      </c>
      <c r="H76" s="5">
        <f>G76/G75 -1</f>
        <v>2.1679836262983532E-2</v>
      </c>
    </row>
    <row r="77" spans="2:8" x14ac:dyDescent="0.3">
      <c r="B77" s="142">
        <v>45473</v>
      </c>
      <c r="C77" s="141">
        <v>306.64999999999998</v>
      </c>
      <c r="D77" s="5">
        <f>C77/C76 -1</f>
        <v>8.883039973679896E-3</v>
      </c>
      <c r="G77" s="141">
        <v>24323.85</v>
      </c>
      <c r="H77" s="5">
        <f>G77/G76 -1</f>
        <v>1.3046321208133094E-2</v>
      </c>
    </row>
    <row r="78" spans="2:8" x14ac:dyDescent="0.3">
      <c r="B78" s="142">
        <v>45480</v>
      </c>
      <c r="C78" s="141">
        <v>304.55</v>
      </c>
      <c r="D78" s="5">
        <f>C78/C77 -1</f>
        <v>-6.8481982716450673E-3</v>
      </c>
      <c r="G78" s="141">
        <v>24502.15</v>
      </c>
      <c r="H78" s="5">
        <f>G78/G77 -1</f>
        <v>7.3302540510651326E-3</v>
      </c>
    </row>
    <row r="79" spans="2:8" x14ac:dyDescent="0.3">
      <c r="B79" s="142">
        <v>45487</v>
      </c>
      <c r="C79" s="141">
        <v>303.8</v>
      </c>
      <c r="D79" s="5">
        <f>C79/C78 -1</f>
        <v>-2.4626498111968154E-3</v>
      </c>
      <c r="G79" s="141">
        <v>24530.9</v>
      </c>
      <c r="H79" s="5">
        <f>G79/G78 -1</f>
        <v>1.1733664188653403E-3</v>
      </c>
    </row>
    <row r="80" spans="2:8" x14ac:dyDescent="0.3">
      <c r="B80" s="142">
        <v>45494</v>
      </c>
      <c r="C80" s="141">
        <v>328.8</v>
      </c>
      <c r="D80" s="5">
        <f>C80/C79 -1</f>
        <v>8.2290980908492406E-2</v>
      </c>
      <c r="G80" s="141">
        <v>24834.85</v>
      </c>
      <c r="H80" s="5">
        <f>G80/G79 -1</f>
        <v>1.2390495252925682E-2</v>
      </c>
    </row>
    <row r="81" spans="2:8" x14ac:dyDescent="0.3">
      <c r="B81" s="142">
        <v>45501</v>
      </c>
      <c r="C81" s="141">
        <v>347.1</v>
      </c>
      <c r="D81" s="5">
        <f>C81/C80 -1</f>
        <v>5.5656934306569372E-2</v>
      </c>
      <c r="G81" s="141">
        <v>24717.7</v>
      </c>
      <c r="H81" s="5">
        <f>G81/G80 -1</f>
        <v>-4.7171615693268887E-3</v>
      </c>
    </row>
    <row r="82" spans="2:8" x14ac:dyDescent="0.3">
      <c r="B82" s="142">
        <v>45508</v>
      </c>
      <c r="C82" s="141">
        <v>333.4</v>
      </c>
      <c r="D82" s="5">
        <f>C82/C81 -1</f>
        <v>-3.9469893402477751E-2</v>
      </c>
      <c r="G82" s="141">
        <v>24367.5</v>
      </c>
      <c r="H82" s="5">
        <f>G82/G81 -1</f>
        <v>-1.4167984885325113E-2</v>
      </c>
    </row>
    <row r="83" spans="2:8" x14ac:dyDescent="0.3">
      <c r="B83" s="142">
        <v>45515</v>
      </c>
      <c r="C83" s="141">
        <v>332.5</v>
      </c>
      <c r="D83" s="5">
        <f>C83/C82 -1</f>
        <v>-2.6994601079783909E-3</v>
      </c>
      <c r="G83" s="141">
        <v>24541.15</v>
      </c>
      <c r="H83" s="5">
        <f>G83/G82 -1</f>
        <v>7.1262952703396998E-3</v>
      </c>
    </row>
    <row r="84" spans="2:8" x14ac:dyDescent="0.3">
      <c r="B84" s="142">
        <v>45522</v>
      </c>
      <c r="C84" s="141">
        <v>352.2</v>
      </c>
      <c r="D84" s="5">
        <f>C84/C83 -1</f>
        <v>5.9248120300751772E-2</v>
      </c>
      <c r="G84" s="141">
        <v>24823.15</v>
      </c>
      <c r="H84" s="5">
        <f>G84/G83 -1</f>
        <v>1.1490904052988471E-2</v>
      </c>
    </row>
    <row r="85" spans="2:8" x14ac:dyDescent="0.3">
      <c r="B85" s="142">
        <v>45529</v>
      </c>
      <c r="C85" s="141">
        <v>357.65</v>
      </c>
      <c r="D85" s="5">
        <f>C85/C84 -1</f>
        <v>1.5474162407722813E-2</v>
      </c>
      <c r="G85" s="141">
        <v>25235.9</v>
      </c>
      <c r="H85" s="5">
        <f>G85/G84 -1</f>
        <v>1.6627623810837822E-2</v>
      </c>
    </row>
    <row r="86" spans="2:8" x14ac:dyDescent="0.3">
      <c r="B86" s="142">
        <v>45536</v>
      </c>
      <c r="C86" s="141">
        <v>352.15</v>
      </c>
      <c r="D86" s="5">
        <f>C86/C85 -1</f>
        <v>-1.5378163008527901E-2</v>
      </c>
      <c r="G86" s="141">
        <v>24852.15</v>
      </c>
      <c r="H86" s="5">
        <f>G86/G85 -1</f>
        <v>-1.5206511358818231E-2</v>
      </c>
    </row>
    <row r="87" spans="2:8" x14ac:dyDescent="0.3">
      <c r="B87" s="142">
        <v>45543</v>
      </c>
      <c r="C87" s="141">
        <v>342.3</v>
      </c>
      <c r="D87" s="5">
        <f>C87/C86 -1</f>
        <v>-2.7971035070282424E-2</v>
      </c>
      <c r="G87" s="141">
        <v>25356.5</v>
      </c>
      <c r="H87" s="5">
        <f>G87/G86 -1</f>
        <v>2.0294018827344829E-2</v>
      </c>
    </row>
    <row r="88" spans="2:8" x14ac:dyDescent="0.3">
      <c r="B88" s="142">
        <v>45550</v>
      </c>
      <c r="C88" s="141">
        <v>331.2</v>
      </c>
      <c r="D88" s="5">
        <f>C88/C87 -1</f>
        <v>-3.242769500438214E-2</v>
      </c>
      <c r="G88" s="141">
        <v>25790.95</v>
      </c>
      <c r="H88" s="5">
        <f>G88/G87 -1</f>
        <v>1.7133673811448702E-2</v>
      </c>
    </row>
    <row r="89" spans="2:8" x14ac:dyDescent="0.3">
      <c r="B89" s="142">
        <v>45557</v>
      </c>
      <c r="C89" s="141">
        <v>367.3</v>
      </c>
      <c r="D89" s="5">
        <f>C89/C88 -1</f>
        <v>0.1089975845410629</v>
      </c>
      <c r="G89" s="141">
        <v>26178.95</v>
      </c>
      <c r="H89" s="5">
        <f>G89/G88 -1</f>
        <v>1.5044036764834123E-2</v>
      </c>
    </row>
    <row r="90" spans="2:8" x14ac:dyDescent="0.3">
      <c r="B90" s="142">
        <v>45564</v>
      </c>
      <c r="C90" s="141">
        <v>340.25</v>
      </c>
      <c r="D90" s="5">
        <f>C90/C89 -1</f>
        <v>-7.3645521372175393E-2</v>
      </c>
      <c r="G90" s="141">
        <v>25014.6</v>
      </c>
      <c r="H90" s="5">
        <f>G90/G89 -1</f>
        <v>-4.4476573735768743E-2</v>
      </c>
    </row>
    <row r="91" spans="2:8" x14ac:dyDescent="0.3">
      <c r="B91" s="142">
        <v>45571</v>
      </c>
      <c r="C91" s="141">
        <v>337.65</v>
      </c>
      <c r="D91" s="5">
        <f>C91/C90 -1</f>
        <v>-7.6414401175607383E-3</v>
      </c>
      <c r="G91" s="141">
        <v>24964.25</v>
      </c>
      <c r="H91" s="5">
        <f>G91/G90 -1</f>
        <v>-2.0128245104857889E-3</v>
      </c>
    </row>
    <row r="92" spans="2:8" x14ac:dyDescent="0.3">
      <c r="B92" s="142">
        <v>45578</v>
      </c>
      <c r="C92" s="141">
        <v>342.5</v>
      </c>
      <c r="D92" s="5">
        <f>C92/C91 -1</f>
        <v>1.4363986376425331E-2</v>
      </c>
      <c r="G92" s="141">
        <v>24854.05</v>
      </c>
      <c r="H92" s="5">
        <f>G92/G91 -1</f>
        <v>-4.4143124668275524E-3</v>
      </c>
    </row>
    <row r="93" spans="2:8" x14ac:dyDescent="0.3">
      <c r="B93" s="142">
        <v>45585</v>
      </c>
      <c r="C93" s="141">
        <v>306.3</v>
      </c>
      <c r="D93" s="5">
        <f>C93/C92 -1</f>
        <v>-0.10569343065693426</v>
      </c>
      <c r="G93" s="141">
        <v>24180.799999999999</v>
      </c>
      <c r="H93" s="5">
        <f>G93/G92 -1</f>
        <v>-2.7088140564616281E-2</v>
      </c>
    </row>
    <row r="94" spans="2:8" x14ac:dyDescent="0.3">
      <c r="B94" s="142">
        <v>45592</v>
      </c>
      <c r="C94" s="141">
        <v>313</v>
      </c>
      <c r="D94" s="5">
        <f>C94/C93 -1</f>
        <v>2.1873979758406659E-2</v>
      </c>
      <c r="G94" s="141">
        <v>24304.35</v>
      </c>
      <c r="H94" s="5">
        <f>G94/G93 -1</f>
        <v>5.1094256600276999E-3</v>
      </c>
    </row>
    <row r="95" spans="2:8" x14ac:dyDescent="0.3">
      <c r="B95" s="142">
        <v>45599</v>
      </c>
      <c r="C95" s="141">
        <v>310.45</v>
      </c>
      <c r="D95" s="5">
        <f>C95/C94 -1</f>
        <v>-8.1469648562301211E-3</v>
      </c>
      <c r="G95" s="141">
        <v>24148.2</v>
      </c>
      <c r="H95" s="5">
        <f>G95/G94 -1</f>
        <v>-6.4247758117372822E-3</v>
      </c>
    </row>
    <row r="96" spans="2:8" x14ac:dyDescent="0.3">
      <c r="B96" s="142">
        <v>45606</v>
      </c>
      <c r="C96" s="141">
        <v>298.2</v>
      </c>
      <c r="D96" s="5">
        <f>C96/C95 -1</f>
        <v>-3.9458850056369732E-2</v>
      </c>
      <c r="G96" s="141">
        <v>23532.7</v>
      </c>
      <c r="H96" s="5">
        <f>G96/G95 -1</f>
        <v>-2.5488442202731498E-2</v>
      </c>
    </row>
    <row r="97" spans="2:8" x14ac:dyDescent="0.3">
      <c r="B97" s="142">
        <v>45613</v>
      </c>
      <c r="C97" s="141">
        <v>285.85000000000002</v>
      </c>
      <c r="D97" s="5">
        <f>C97/C96 -1</f>
        <v>-4.1415157612340603E-2</v>
      </c>
      <c r="G97" s="141">
        <v>23907.25</v>
      </c>
      <c r="H97" s="5">
        <f>G97/G96 -1</f>
        <v>1.5916150717937061E-2</v>
      </c>
    </row>
    <row r="98" spans="2:8" x14ac:dyDescent="0.3">
      <c r="B98" s="142">
        <v>45620</v>
      </c>
      <c r="C98" s="141">
        <v>292.10000000000002</v>
      </c>
      <c r="D98" s="5">
        <f>C98/C97 -1</f>
        <v>2.1864614308203523E-2</v>
      </c>
      <c r="G98" s="141">
        <v>24131.1</v>
      </c>
      <c r="H98" s="5">
        <f>G98/G97 -1</f>
        <v>9.3632684645870157E-3</v>
      </c>
    </row>
    <row r="99" spans="2:8" x14ac:dyDescent="0.3">
      <c r="B99" s="142">
        <v>45627</v>
      </c>
      <c r="C99" s="141">
        <v>300.35000000000002</v>
      </c>
      <c r="D99" s="5">
        <f>C99/C98 -1</f>
        <v>2.8243752139678113E-2</v>
      </c>
      <c r="G99" s="141">
        <v>24677.8</v>
      </c>
      <c r="H99" s="5">
        <f>G99/G98 -1</f>
        <v>2.2655411481449228E-2</v>
      </c>
    </row>
    <row r="100" spans="2:8" x14ac:dyDescent="0.3">
      <c r="B100" s="142">
        <v>45634</v>
      </c>
      <c r="C100" s="141">
        <v>301.7</v>
      </c>
      <c r="D100" s="5">
        <f>C100/C99 -1</f>
        <v>4.4947561178623197E-3</v>
      </c>
      <c r="G100" s="141">
        <v>24768.3</v>
      </c>
      <c r="H100" s="5">
        <f>G100/G99 -1</f>
        <v>3.6672636944945491E-3</v>
      </c>
    </row>
    <row r="101" spans="2:8" x14ac:dyDescent="0.3">
      <c r="B101" s="142">
        <v>45641</v>
      </c>
      <c r="C101" s="141">
        <v>289.05</v>
      </c>
      <c r="D101" s="5">
        <f>C101/C100 -1</f>
        <v>-4.1929068611203157E-2</v>
      </c>
      <c r="G101" s="141">
        <v>23587.5</v>
      </c>
      <c r="H101" s="5">
        <f>G101/G100 -1</f>
        <v>-4.7673841159869612E-2</v>
      </c>
    </row>
    <row r="102" spans="2:8" x14ac:dyDescent="0.3">
      <c r="B102" s="142">
        <v>45648</v>
      </c>
      <c r="C102" s="141">
        <v>293.55</v>
      </c>
      <c r="D102" s="5">
        <f>C102/C101 -1</f>
        <v>1.5568240788790932E-2</v>
      </c>
      <c r="G102" s="141">
        <v>23813.4</v>
      </c>
      <c r="H102" s="5">
        <f>G102/G101 -1</f>
        <v>9.5771065182830295E-3</v>
      </c>
    </row>
    <row r="103" spans="2:8" x14ac:dyDescent="0.3">
      <c r="B103" s="142">
        <v>45655</v>
      </c>
      <c r="C103" s="141">
        <v>296.39999999999998</v>
      </c>
      <c r="D103" s="5">
        <f>C103/C102 -1</f>
        <v>9.7087378640774435E-3</v>
      </c>
      <c r="G103" s="141">
        <v>24004.75</v>
      </c>
      <c r="H103" s="5">
        <f>G103/G102 -1</f>
        <v>8.035391838208783E-3</v>
      </c>
    </row>
    <row r="104" spans="2:8" x14ac:dyDescent="0.3">
      <c r="B104" s="142">
        <v>45662</v>
      </c>
      <c r="C104" s="141">
        <v>277.64999999999998</v>
      </c>
      <c r="D104" s="5">
        <f>C104/C103 -1</f>
        <v>-6.3259109311740946E-2</v>
      </c>
      <c r="G104" s="141">
        <v>23431.5</v>
      </c>
      <c r="H104" s="5">
        <f>G104/G103 -1</f>
        <v>-2.3880690280048689E-2</v>
      </c>
    </row>
    <row r="105" spans="2:8" x14ac:dyDescent="0.3">
      <c r="B105" s="142">
        <v>45669</v>
      </c>
      <c r="C105" s="141">
        <v>273.60000000000002</v>
      </c>
      <c r="D105" s="5">
        <f>C105/C104 -1</f>
        <v>-1.4586709886547644E-2</v>
      </c>
      <c r="G105" s="141">
        <v>23203.200000000001</v>
      </c>
      <c r="H105" s="5">
        <f>G105/G104 -1</f>
        <v>-9.7432942833365344E-3</v>
      </c>
    </row>
    <row r="106" spans="2:8" x14ac:dyDescent="0.3">
      <c r="B106" s="142">
        <v>45676</v>
      </c>
      <c r="C106" s="141">
        <v>263.8</v>
      </c>
      <c r="D106" s="5">
        <f>C106/C105 -1</f>
        <v>-3.5818713450292416E-2</v>
      </c>
      <c r="G106" s="141">
        <v>23092.2</v>
      </c>
      <c r="H106" s="5">
        <f>G106/G105 -1</f>
        <v>-4.7838229209764549E-3</v>
      </c>
    </row>
    <row r="107" spans="2:8" x14ac:dyDescent="0.3">
      <c r="B107" s="142">
        <v>45683</v>
      </c>
      <c r="C107" s="141">
        <v>261.10000000000002</v>
      </c>
      <c r="D107" s="5">
        <f>C107/C106 -1</f>
        <v>-1.0235026535253988E-2</v>
      </c>
      <c r="G107" s="141">
        <v>23508.400000000001</v>
      </c>
      <c r="H107" s="5">
        <f>G107/G106 -1</f>
        <v>1.8023401841314346E-2</v>
      </c>
    </row>
    <row r="108" spans="2:8" x14ac:dyDescent="0.3">
      <c r="B108" s="142">
        <v>45690</v>
      </c>
      <c r="C108" s="141">
        <v>264.3</v>
      </c>
      <c r="D108" s="5">
        <f>C108/C107 -1</f>
        <v>1.225584067407115E-2</v>
      </c>
      <c r="G108" s="141">
        <v>23559.95</v>
      </c>
      <c r="H108" s="5">
        <f>G108/G107 -1</f>
        <v>2.1928332000475947E-3</v>
      </c>
    </row>
    <row r="109" spans="2:8" x14ac:dyDescent="0.3">
      <c r="B109" s="142">
        <v>45697</v>
      </c>
      <c r="C109" s="141">
        <v>251</v>
      </c>
      <c r="D109" s="5">
        <f>C109/C108 -1</f>
        <v>-5.0321604237608786E-2</v>
      </c>
      <c r="G109" s="141">
        <v>22929.25</v>
      </c>
      <c r="H109" s="5">
        <f>G109/G108 -1</f>
        <v>-2.6770005878620329E-2</v>
      </c>
    </row>
    <row r="110" spans="2:8" x14ac:dyDescent="0.3">
      <c r="B110" s="142">
        <v>45704</v>
      </c>
      <c r="C110" s="141">
        <v>251.3</v>
      </c>
      <c r="D110" s="5">
        <f>C110/C109 -1</f>
        <v>1.1952191235060639E-3</v>
      </c>
      <c r="G110" s="141">
        <v>22795.9</v>
      </c>
      <c r="H110" s="5">
        <f>G110/G109 -1</f>
        <v>-5.8157157342695331E-3</v>
      </c>
    </row>
    <row r="111" spans="2:8" x14ac:dyDescent="0.3">
      <c r="B111" s="142"/>
      <c r="C111" s="141"/>
      <c r="D111" s="5"/>
      <c r="G111" s="141"/>
      <c r="H111" s="5"/>
    </row>
  </sheetData>
  <autoFilter ref="B6:D6" xr:uid="{2ED4A7BA-1FE1-48F8-8E55-E404D381F3EF}">
    <sortState xmlns:xlrd2="http://schemas.microsoft.com/office/spreadsheetml/2017/richdata2" ref="B7:D111">
      <sortCondition ref="B6"/>
    </sortState>
  </autoFilter>
  <mergeCells count="3">
    <mergeCell ref="B4:D4"/>
    <mergeCell ref="G4:I4"/>
    <mergeCell ref="K4:M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A97C1-6335-4324-BBDE-3145B23F92BC}">
  <sheetPr>
    <tabColor rgb="FF002060"/>
  </sheetPr>
  <dimension ref="B2:W111"/>
  <sheetViews>
    <sheetView showGridLines="0" workbookViewId="0">
      <selection activeCell="B5" sqref="B5"/>
    </sheetView>
  </sheetViews>
  <sheetFormatPr defaultRowHeight="14.4" x14ac:dyDescent="0.3"/>
  <cols>
    <col min="1" max="1" width="2.33203125" customWidth="1"/>
    <col min="2" max="2" width="13" customWidth="1"/>
    <col min="3" max="3" width="15.33203125" customWidth="1"/>
    <col min="4" max="4" width="14.33203125" customWidth="1"/>
    <col min="7" max="7" width="12.109375" customWidth="1"/>
    <col min="8" max="8" width="15.109375" customWidth="1"/>
    <col min="15" max="15" width="12" customWidth="1"/>
    <col min="16" max="16" width="12.5546875" customWidth="1"/>
    <col min="17" max="17" width="13.88671875" customWidth="1"/>
    <col min="18" max="18" width="14.6640625" customWidth="1"/>
    <col min="19" max="19" width="11.88671875" customWidth="1"/>
    <col min="20" max="20" width="13.21875" customWidth="1"/>
    <col min="21" max="21" width="12.44140625" customWidth="1"/>
    <col min="22" max="22" width="12.33203125" customWidth="1"/>
    <col min="23" max="23" width="12.88671875" customWidth="1"/>
  </cols>
  <sheetData>
    <row r="2" spans="2:16" x14ac:dyDescent="0.3">
      <c r="B2" s="2" t="s">
        <v>347</v>
      </c>
    </row>
    <row r="4" spans="2:16" x14ac:dyDescent="0.3">
      <c r="B4" s="148" t="s">
        <v>375</v>
      </c>
      <c r="C4" s="148"/>
      <c r="D4" s="148"/>
      <c r="G4" s="148" t="s">
        <v>345</v>
      </c>
      <c r="H4" s="148"/>
      <c r="I4" s="148"/>
      <c r="K4" s="148" t="s">
        <v>344</v>
      </c>
      <c r="L4" s="148"/>
      <c r="M4" s="148"/>
    </row>
    <row r="6" spans="2:16" x14ac:dyDescent="0.3">
      <c r="B6" s="147" t="s">
        <v>343</v>
      </c>
      <c r="C6" s="146" t="s">
        <v>49</v>
      </c>
      <c r="D6" s="146" t="s">
        <v>341</v>
      </c>
      <c r="G6" s="146" t="s">
        <v>342</v>
      </c>
      <c r="H6" s="146" t="s">
        <v>341</v>
      </c>
      <c r="K6" t="s">
        <v>340</v>
      </c>
      <c r="M6" s="124">
        <f>P11</f>
        <v>1.3879632468130354</v>
      </c>
    </row>
    <row r="7" spans="2:16" x14ac:dyDescent="0.3">
      <c r="B7" s="142">
        <v>44983</v>
      </c>
      <c r="C7" s="141">
        <v>145.93</v>
      </c>
      <c r="D7" s="5"/>
      <c r="G7" s="141">
        <v>17594.349999999999</v>
      </c>
      <c r="K7" t="s">
        <v>339</v>
      </c>
      <c r="M7" s="114">
        <v>0.75</v>
      </c>
    </row>
    <row r="8" spans="2:16" x14ac:dyDescent="0.3">
      <c r="B8" s="142">
        <v>44990</v>
      </c>
      <c r="C8" s="141">
        <v>153.13</v>
      </c>
      <c r="D8" s="5">
        <f>C8/C7 -1</f>
        <v>4.9338724045775217E-2</v>
      </c>
      <c r="G8" s="141">
        <v>17412.900000000001</v>
      </c>
      <c r="H8" s="5">
        <f>G8/G7 -1</f>
        <v>-1.0312969788596749E-2</v>
      </c>
      <c r="O8" t="s">
        <v>338</v>
      </c>
      <c r="P8" s="124">
        <f>SLOPE(D8:D110,H8:H110)</f>
        <v>1.3879632468130343</v>
      </c>
    </row>
    <row r="9" spans="2:16" x14ac:dyDescent="0.3">
      <c r="B9" s="142">
        <v>44997</v>
      </c>
      <c r="C9" s="141">
        <v>161.69999999999999</v>
      </c>
      <c r="D9" s="5">
        <f>C9/C8 -1</f>
        <v>5.5965519493240912E-2</v>
      </c>
      <c r="G9" s="141">
        <v>17100.05</v>
      </c>
      <c r="H9" s="5">
        <f>G9/G8 -1</f>
        <v>-1.796656501788918E-2</v>
      </c>
      <c r="K9" t="s">
        <v>337</v>
      </c>
      <c r="M9">
        <v>1</v>
      </c>
      <c r="O9" t="s">
        <v>336</v>
      </c>
      <c r="P9" s="124">
        <f>_xlfn.COVARIANCE.S(D7:D110,H7:H110)/_xlfn.VAR.S(H7:H110)</f>
        <v>1.3879632468130345</v>
      </c>
    </row>
    <row r="10" spans="2:16" x14ac:dyDescent="0.3">
      <c r="B10" s="142">
        <v>45004</v>
      </c>
      <c r="C10" s="141">
        <v>159.22999999999999</v>
      </c>
      <c r="D10" s="5">
        <f>C10/C9 -1</f>
        <v>-1.5275200989486648E-2</v>
      </c>
      <c r="G10" s="141">
        <v>16945.05</v>
      </c>
      <c r="H10" s="5">
        <f>G10/G9 -1</f>
        <v>-9.0643009815760678E-3</v>
      </c>
      <c r="K10" t="s">
        <v>335</v>
      </c>
      <c r="M10" s="114">
        <v>0.25</v>
      </c>
    </row>
    <row r="11" spans="2:16" x14ac:dyDescent="0.3">
      <c r="B11" s="142">
        <v>45011</v>
      </c>
      <c r="C11" s="141">
        <v>157.87</v>
      </c>
      <c r="D11" s="5">
        <f>C11/C10 -1</f>
        <v>-8.5411040633045499E-3</v>
      </c>
      <c r="G11" s="141">
        <v>17359.75</v>
      </c>
      <c r="H11" s="5">
        <f>G11/G10 -1</f>
        <v>2.4473223743807226E-2</v>
      </c>
      <c r="O11" t="s">
        <v>334</v>
      </c>
      <c r="P11" s="124">
        <f>P30</f>
        <v>1.3879632468130354</v>
      </c>
    </row>
    <row r="12" spans="2:16" x14ac:dyDescent="0.3">
      <c r="B12" s="142">
        <v>45018</v>
      </c>
      <c r="C12" s="141">
        <v>151.93</v>
      </c>
      <c r="D12" s="5">
        <f>C12/C11 -1</f>
        <v>-3.7625894723506637E-2</v>
      </c>
      <c r="G12" s="141">
        <v>17599.150000000001</v>
      </c>
      <c r="H12" s="5">
        <f>G12/G11 -1</f>
        <v>1.3790521176860304E-2</v>
      </c>
      <c r="K12" s="78" t="s">
        <v>333</v>
      </c>
      <c r="L12" s="78"/>
      <c r="M12" s="78">
        <f>(M6*M7)+(M9*M10)</f>
        <v>1.2909724351097767</v>
      </c>
    </row>
    <row r="13" spans="2:16" x14ac:dyDescent="0.3">
      <c r="B13" s="142">
        <v>45025</v>
      </c>
      <c r="C13" s="141">
        <v>150</v>
      </c>
      <c r="D13" s="5">
        <f>C13/C12 -1</f>
        <v>-1.2703218587507448E-2</v>
      </c>
      <c r="G13" s="141">
        <v>17828</v>
      </c>
      <c r="H13" s="5">
        <f>G13/G12 -1</f>
        <v>1.3003468917532901E-2</v>
      </c>
      <c r="O13" t="s">
        <v>332</v>
      </c>
    </row>
    <row r="14" spans="2:16" ht="15" thickBot="1" x14ac:dyDescent="0.35">
      <c r="B14" s="142">
        <v>45032</v>
      </c>
      <c r="C14" s="141">
        <v>161.19999999999999</v>
      </c>
      <c r="D14" s="5">
        <f>C14/C13 -1</f>
        <v>7.4666666666666659E-2</v>
      </c>
      <c r="G14" s="141">
        <v>17624.05</v>
      </c>
      <c r="H14" s="5">
        <f>G14/G13 -1</f>
        <v>-1.143986986762402E-2</v>
      </c>
    </row>
    <row r="15" spans="2:16" x14ac:dyDescent="0.3">
      <c r="B15" s="142">
        <v>45039</v>
      </c>
      <c r="C15" s="141">
        <v>167.5</v>
      </c>
      <c r="D15" s="5">
        <f>C15/C14 -1</f>
        <v>3.9081885856079523E-2</v>
      </c>
      <c r="G15" s="141">
        <v>18065</v>
      </c>
      <c r="H15" s="5">
        <f>G15/G14 -1</f>
        <v>2.5019788300645995E-2</v>
      </c>
      <c r="O15" s="145" t="s">
        <v>331</v>
      </c>
      <c r="P15" s="145"/>
    </row>
    <row r="16" spans="2:16" x14ac:dyDescent="0.3">
      <c r="B16" s="142">
        <v>45046</v>
      </c>
      <c r="C16" s="141">
        <v>169.33</v>
      </c>
      <c r="D16" s="5">
        <f>C16/C15 -1</f>
        <v>1.0925373134328398E-2</v>
      </c>
      <c r="G16" s="141">
        <v>18069</v>
      </c>
      <c r="H16" s="5">
        <f>G16/G15 -1</f>
        <v>2.2142264046509652E-4</v>
      </c>
      <c r="O16" t="s">
        <v>330</v>
      </c>
      <c r="P16">
        <v>0.41364902521560448</v>
      </c>
    </row>
    <row r="17" spans="2:23" x14ac:dyDescent="0.3">
      <c r="B17" s="142">
        <v>45053</v>
      </c>
      <c r="C17" s="141">
        <v>173.83</v>
      </c>
      <c r="D17" s="5">
        <f>C17/C16 -1</f>
        <v>2.6575326285950496E-2</v>
      </c>
      <c r="G17" s="141">
        <v>18314.8</v>
      </c>
      <c r="H17" s="5">
        <f>G17/G16 -1</f>
        <v>1.3603409153799317E-2</v>
      </c>
      <c r="O17" t="s">
        <v>329</v>
      </c>
      <c r="P17">
        <v>0.17110551606181978</v>
      </c>
    </row>
    <row r="18" spans="2:23" x14ac:dyDescent="0.3">
      <c r="B18" s="142">
        <v>45060</v>
      </c>
      <c r="C18" s="141">
        <v>170.9</v>
      </c>
      <c r="D18" s="5">
        <f>C18/C17 -1</f>
        <v>-1.6855548524420394E-2</v>
      </c>
      <c r="G18" s="141">
        <v>18203.400000000001</v>
      </c>
      <c r="H18" s="5">
        <f>G18/G17 -1</f>
        <v>-6.0825125035489647E-3</v>
      </c>
      <c r="O18" t="s">
        <v>328</v>
      </c>
      <c r="P18">
        <v>0.16289863998322393</v>
      </c>
    </row>
    <row r="19" spans="2:23" x14ac:dyDescent="0.3">
      <c r="B19" s="142">
        <v>45067</v>
      </c>
      <c r="C19" s="141">
        <v>172.37</v>
      </c>
      <c r="D19" s="5">
        <f>C19/C18 -1</f>
        <v>8.6015213575190153E-3</v>
      </c>
      <c r="G19" s="141">
        <v>18499.349999999999</v>
      </c>
      <c r="H19" s="5">
        <f>G19/G18 -1</f>
        <v>1.6257951811200044E-2</v>
      </c>
      <c r="O19" t="s">
        <v>317</v>
      </c>
      <c r="P19">
        <v>4.8119804667164499E-2</v>
      </c>
    </row>
    <row r="20" spans="2:23" ht="15" thickBot="1" x14ac:dyDescent="0.35">
      <c r="B20" s="142">
        <v>45074</v>
      </c>
      <c r="C20" s="141">
        <v>172.37</v>
      </c>
      <c r="D20" s="5">
        <f>C20/C19 -1</f>
        <v>0</v>
      </c>
      <c r="G20" s="141">
        <v>18534.099999999999</v>
      </c>
      <c r="H20" s="5">
        <f>G20/G19 -1</f>
        <v>1.8784443777755122E-3</v>
      </c>
      <c r="O20" s="143" t="s">
        <v>327</v>
      </c>
      <c r="P20" s="143">
        <v>103</v>
      </c>
    </row>
    <row r="21" spans="2:23" x14ac:dyDescent="0.3">
      <c r="B21" s="142">
        <v>45081</v>
      </c>
      <c r="C21" s="141">
        <v>174.8</v>
      </c>
      <c r="D21" s="5">
        <f>C21/C20 -1</f>
        <v>1.4097580785519481E-2</v>
      </c>
      <c r="G21" s="141">
        <v>18563.400000000001</v>
      </c>
      <c r="H21" s="5">
        <f>G21/G20 -1</f>
        <v>1.5808698561032841E-3</v>
      </c>
    </row>
    <row r="22" spans="2:23" ht="15" thickBot="1" x14ac:dyDescent="0.35">
      <c r="B22" s="142">
        <v>45088</v>
      </c>
      <c r="C22" s="141">
        <v>182.27</v>
      </c>
      <c r="D22" s="5">
        <f>C22/C21 -1</f>
        <v>4.2734553775743755E-2</v>
      </c>
      <c r="G22" s="141">
        <v>18826</v>
      </c>
      <c r="H22" s="5">
        <f>G22/G21 -1</f>
        <v>1.4146115474535925E-2</v>
      </c>
      <c r="O22" t="s">
        <v>326</v>
      </c>
    </row>
    <row r="23" spans="2:23" x14ac:dyDescent="0.3">
      <c r="B23" s="142">
        <v>45095</v>
      </c>
      <c r="C23" s="141">
        <v>179.63</v>
      </c>
      <c r="D23" s="5">
        <f>C23/C22 -1</f>
        <v>-1.4484007242003716E-2</v>
      </c>
      <c r="G23" s="141">
        <v>18665.5</v>
      </c>
      <c r="H23" s="5">
        <f>G23/G22 -1</f>
        <v>-8.5254435355359703E-3</v>
      </c>
      <c r="O23" s="144"/>
      <c r="P23" s="144" t="s">
        <v>325</v>
      </c>
      <c r="Q23" s="144" t="s">
        <v>324</v>
      </c>
      <c r="R23" s="144" t="s">
        <v>323</v>
      </c>
      <c r="S23" s="144" t="s">
        <v>322</v>
      </c>
      <c r="T23" s="144" t="s">
        <v>321</v>
      </c>
    </row>
    <row r="24" spans="2:23" x14ac:dyDescent="0.3">
      <c r="B24" s="142">
        <v>45102</v>
      </c>
      <c r="C24" s="141">
        <v>182.57</v>
      </c>
      <c r="D24" s="5">
        <f>C24/C23 -1</f>
        <v>1.6366976562934843E-2</v>
      </c>
      <c r="G24" s="141">
        <v>19189.05</v>
      </c>
      <c r="H24" s="5">
        <f>G24/G23 -1</f>
        <v>2.8049074495727355E-2</v>
      </c>
      <c r="O24" t="s">
        <v>320</v>
      </c>
      <c r="P24">
        <v>1</v>
      </c>
      <c r="Q24">
        <v>4.8276285409849434E-2</v>
      </c>
      <c r="R24">
        <v>4.8276285409849434E-2</v>
      </c>
      <c r="S24">
        <v>20.849043463453285</v>
      </c>
      <c r="T24">
        <v>1.4054102417020566E-5</v>
      </c>
    </row>
    <row r="25" spans="2:23" x14ac:dyDescent="0.3">
      <c r="B25" s="142">
        <v>45109</v>
      </c>
      <c r="C25" s="141">
        <v>203.97</v>
      </c>
      <c r="D25" s="5">
        <f>C25/C24 -1</f>
        <v>0.11721531467382373</v>
      </c>
      <c r="G25" s="141">
        <v>19331.8</v>
      </c>
      <c r="H25" s="5">
        <f>G25/G24 -1</f>
        <v>7.4391384669902916E-3</v>
      </c>
      <c r="O25" t="s">
        <v>319</v>
      </c>
      <c r="P25">
        <v>101</v>
      </c>
      <c r="Q25">
        <v>0.23386707572181267</v>
      </c>
      <c r="R25">
        <v>2.315515601206066E-3</v>
      </c>
    </row>
    <row r="26" spans="2:23" ht="15" thickBot="1" x14ac:dyDescent="0.35">
      <c r="B26" s="142">
        <v>45116</v>
      </c>
      <c r="C26" s="141">
        <v>191.6</v>
      </c>
      <c r="D26" s="5">
        <f>C26/C25 -1</f>
        <v>-6.0646173456880947E-2</v>
      </c>
      <c r="G26" s="141">
        <v>19564.5</v>
      </c>
      <c r="H26" s="5">
        <f>G26/G25 -1</f>
        <v>1.2037161567986399E-2</v>
      </c>
      <c r="O26" s="143" t="s">
        <v>26</v>
      </c>
      <c r="P26" s="143">
        <v>102</v>
      </c>
      <c r="Q26" s="143">
        <v>0.28214336113166211</v>
      </c>
      <c r="R26" s="143"/>
      <c r="S26" s="143"/>
      <c r="T26" s="143"/>
    </row>
    <row r="27" spans="2:23" ht="15" thickBot="1" x14ac:dyDescent="0.35">
      <c r="B27" s="142">
        <v>45123</v>
      </c>
      <c r="C27" s="141">
        <v>201.03</v>
      </c>
      <c r="D27" s="5">
        <f>C27/C26 -1</f>
        <v>4.9217118997912257E-2</v>
      </c>
      <c r="G27" s="141">
        <v>19745</v>
      </c>
      <c r="H27" s="5">
        <f>G27/G26 -1</f>
        <v>9.225893838329613E-3</v>
      </c>
    </row>
    <row r="28" spans="2:23" x14ac:dyDescent="0.3">
      <c r="B28" s="142">
        <v>45130</v>
      </c>
      <c r="C28" s="141">
        <v>186.27</v>
      </c>
      <c r="D28" s="5">
        <f>C28/C27 -1</f>
        <v>-7.3421877331741436E-2</v>
      </c>
      <c r="G28" s="141">
        <v>19646.05</v>
      </c>
      <c r="H28" s="5">
        <f>G28/G27 -1</f>
        <v>-5.0113952899468739E-3</v>
      </c>
      <c r="O28" s="144"/>
      <c r="P28" s="144" t="s">
        <v>318</v>
      </c>
      <c r="Q28" s="144" t="s">
        <v>317</v>
      </c>
      <c r="R28" s="144" t="s">
        <v>316</v>
      </c>
      <c r="S28" s="144" t="s">
        <v>315</v>
      </c>
      <c r="T28" s="144" t="s">
        <v>314</v>
      </c>
      <c r="U28" s="144" t="s">
        <v>313</v>
      </c>
      <c r="V28" s="144" t="s">
        <v>312</v>
      </c>
      <c r="W28" s="144" t="s">
        <v>311</v>
      </c>
    </row>
    <row r="29" spans="2:23" x14ac:dyDescent="0.3">
      <c r="B29" s="142">
        <v>45137</v>
      </c>
      <c r="C29" s="141">
        <v>177.8</v>
      </c>
      <c r="D29" s="5">
        <f>C29/C28 -1</f>
        <v>-4.5471627207816612E-2</v>
      </c>
      <c r="G29" s="141">
        <v>19517</v>
      </c>
      <c r="H29" s="5">
        <f>G29/G28 -1</f>
        <v>-6.568750461288575E-3</v>
      </c>
      <c r="O29" t="s">
        <v>310</v>
      </c>
      <c r="P29">
        <v>5.4313105347242414E-3</v>
      </c>
      <c r="Q29">
        <v>4.8088134547139881E-3</v>
      </c>
      <c r="R29">
        <v>1.1294492052712153</v>
      </c>
      <c r="S29">
        <v>0.26138372780907382</v>
      </c>
      <c r="T29">
        <v>-4.1080818028219447E-3</v>
      </c>
      <c r="U29">
        <v>1.4970702872270428E-2</v>
      </c>
      <c r="V29">
        <v>-4.1080818028219447E-3</v>
      </c>
      <c r="W29">
        <v>1.4970702872270428E-2</v>
      </c>
    </row>
    <row r="30" spans="2:23" ht="15" thickBot="1" x14ac:dyDescent="0.35">
      <c r="B30" s="142">
        <v>45144</v>
      </c>
      <c r="C30" s="141">
        <v>177.77</v>
      </c>
      <c r="D30" s="5">
        <f>C30/C29 -1</f>
        <v>-1.6872890888641745E-4</v>
      </c>
      <c r="G30" s="141">
        <v>19428.3</v>
      </c>
      <c r="H30" s="5">
        <f>G30/G29 -1</f>
        <v>-4.5447558538710409E-3</v>
      </c>
      <c r="O30" s="143" t="s">
        <v>309</v>
      </c>
      <c r="P30" s="143">
        <v>1.3879632468130354</v>
      </c>
      <c r="Q30" s="143">
        <v>0.30397292240559226</v>
      </c>
      <c r="R30" s="143">
        <v>4.5660752800904767</v>
      </c>
      <c r="S30" s="143">
        <v>1.4054102417020277E-5</v>
      </c>
      <c r="T30" s="143">
        <v>0.78496273657804372</v>
      </c>
      <c r="U30" s="143">
        <v>1.9909637570480272</v>
      </c>
      <c r="V30" s="143">
        <v>0.78496273657804372</v>
      </c>
      <c r="W30" s="143">
        <v>1.9909637570480272</v>
      </c>
    </row>
    <row r="31" spans="2:23" x14ac:dyDescent="0.3">
      <c r="B31" s="142">
        <v>45151</v>
      </c>
      <c r="C31" s="141">
        <v>174.1</v>
      </c>
      <c r="D31" s="5">
        <f>C31/C30 -1</f>
        <v>-2.0644653203577779E-2</v>
      </c>
      <c r="G31" s="141">
        <v>19310.150000000001</v>
      </c>
      <c r="H31" s="5">
        <f>G31/G30 -1</f>
        <v>-6.0813349598265454E-3</v>
      </c>
    </row>
    <row r="32" spans="2:23" x14ac:dyDescent="0.3">
      <c r="B32" s="142">
        <v>45158</v>
      </c>
      <c r="C32" s="141">
        <v>174.33</v>
      </c>
      <c r="D32" s="5">
        <f>C32/C31 -1</f>
        <v>1.3210798391729561E-3</v>
      </c>
      <c r="G32" s="141">
        <v>19265.8</v>
      </c>
      <c r="H32" s="5">
        <f>G32/G31 -1</f>
        <v>-2.2967196008317758E-3</v>
      </c>
    </row>
    <row r="33" spans="2:8" x14ac:dyDescent="0.3">
      <c r="B33" s="142">
        <v>45165</v>
      </c>
      <c r="C33" s="141">
        <v>166.83</v>
      </c>
      <c r="D33" s="5">
        <f>C33/C32 -1</f>
        <v>-4.3021855102391982E-2</v>
      </c>
      <c r="G33" s="141">
        <v>19435.3</v>
      </c>
      <c r="H33" s="5">
        <f>G33/G32 -1</f>
        <v>8.7979736112697715E-3</v>
      </c>
    </row>
    <row r="34" spans="2:8" x14ac:dyDescent="0.3">
      <c r="B34" s="142">
        <v>45172</v>
      </c>
      <c r="C34" s="141">
        <v>173.6</v>
      </c>
      <c r="D34" s="5">
        <f>C34/C33 -1</f>
        <v>4.0580231373254172E-2</v>
      </c>
      <c r="G34" s="141">
        <v>19819.95</v>
      </c>
      <c r="H34" s="5">
        <f>G34/G33 -1</f>
        <v>1.9791307569216876E-2</v>
      </c>
    </row>
    <row r="35" spans="2:8" x14ac:dyDescent="0.3">
      <c r="B35" s="142">
        <v>45179</v>
      </c>
      <c r="C35" s="141">
        <v>168.17</v>
      </c>
      <c r="D35" s="5">
        <f>C35/C34 -1</f>
        <v>-3.1278801843317994E-2</v>
      </c>
      <c r="G35" s="141">
        <v>20192.349999999999</v>
      </c>
      <c r="H35" s="5">
        <f>G35/G34 -1</f>
        <v>1.8789149316723597E-2</v>
      </c>
    </row>
    <row r="36" spans="2:8" x14ac:dyDescent="0.3">
      <c r="B36" s="142">
        <v>45186</v>
      </c>
      <c r="C36" s="141">
        <v>173.97</v>
      </c>
      <c r="D36" s="5">
        <f>C36/C35 -1</f>
        <v>3.4488910031515774E-2</v>
      </c>
      <c r="G36" s="141">
        <v>19674.25</v>
      </c>
      <c r="H36" s="5">
        <f>G36/G35 -1</f>
        <v>-2.5658231954180599E-2</v>
      </c>
    </row>
    <row r="37" spans="2:8" x14ac:dyDescent="0.3">
      <c r="B37" s="142">
        <v>45193</v>
      </c>
      <c r="C37" s="141">
        <v>169.97</v>
      </c>
      <c r="D37" s="5">
        <f>C37/C36 -1</f>
        <v>-2.299246996608606E-2</v>
      </c>
      <c r="G37" s="141">
        <v>19638.3</v>
      </c>
      <c r="H37" s="5">
        <f>G37/G36 -1</f>
        <v>-1.8272615220402688E-3</v>
      </c>
    </row>
    <row r="38" spans="2:8" x14ac:dyDescent="0.3">
      <c r="B38" s="142">
        <v>45200</v>
      </c>
      <c r="C38" s="141">
        <v>171.83</v>
      </c>
      <c r="D38" s="5">
        <f>C38/C37 -1</f>
        <v>1.0943107607224833E-2</v>
      </c>
      <c r="G38" s="141">
        <v>19653.5</v>
      </c>
      <c r="H38" s="5">
        <f>G38/G37 -1</f>
        <v>7.7399774929598486E-4</v>
      </c>
    </row>
    <row r="39" spans="2:8" x14ac:dyDescent="0.3">
      <c r="B39" s="142">
        <v>45207</v>
      </c>
      <c r="C39" s="141">
        <v>170.97</v>
      </c>
      <c r="D39" s="5">
        <f>C39/C38 -1</f>
        <v>-5.0049467496945388E-3</v>
      </c>
      <c r="G39" s="141">
        <v>19751.05</v>
      </c>
      <c r="H39" s="5">
        <f>G39/G38 -1</f>
        <v>4.9634925076957881E-3</v>
      </c>
    </row>
    <row r="40" spans="2:8" x14ac:dyDescent="0.3">
      <c r="B40" s="142">
        <v>45214</v>
      </c>
      <c r="C40" s="141">
        <v>168.47</v>
      </c>
      <c r="D40" s="5">
        <f>C40/C39 -1</f>
        <v>-1.4622448382757169E-2</v>
      </c>
      <c r="G40" s="141">
        <v>19542.650000000001</v>
      </c>
      <c r="H40" s="5">
        <f>G40/G39 -1</f>
        <v>-1.0551337776978809E-2</v>
      </c>
    </row>
    <row r="41" spans="2:8" x14ac:dyDescent="0.3">
      <c r="B41" s="142">
        <v>45221</v>
      </c>
      <c r="C41" s="141">
        <v>162.37</v>
      </c>
      <c r="D41" s="5">
        <f>C41/C40 -1</f>
        <v>-3.6208226984032699E-2</v>
      </c>
      <c r="G41" s="141">
        <v>19047.25</v>
      </c>
      <c r="H41" s="5">
        <f>G41/G40 -1</f>
        <v>-2.5349683896503383E-2</v>
      </c>
    </row>
    <row r="42" spans="2:8" x14ac:dyDescent="0.3">
      <c r="B42" s="142">
        <v>45228</v>
      </c>
      <c r="C42" s="141">
        <v>171.7</v>
      </c>
      <c r="D42" s="5">
        <f>C42/C41 -1</f>
        <v>5.7461353698343265E-2</v>
      </c>
      <c r="G42" s="141">
        <v>19230.599999999999</v>
      </c>
      <c r="H42" s="5">
        <f>G42/G41 -1</f>
        <v>9.6260615049414966E-3</v>
      </c>
    </row>
    <row r="43" spans="2:8" x14ac:dyDescent="0.3">
      <c r="B43" s="142">
        <v>45235</v>
      </c>
      <c r="C43" s="141">
        <v>199.7</v>
      </c>
      <c r="D43" s="5">
        <f>C43/C42 -1</f>
        <v>0.16307513104251603</v>
      </c>
      <c r="G43" s="141">
        <v>19425.349999999999</v>
      </c>
      <c r="H43" s="5">
        <f>G43/G42 -1</f>
        <v>1.0127089118384225E-2</v>
      </c>
    </row>
    <row r="44" spans="2:8" x14ac:dyDescent="0.3">
      <c r="B44" s="142">
        <v>45242</v>
      </c>
      <c r="C44" s="141">
        <v>206.67</v>
      </c>
      <c r="D44" s="5">
        <f>C44/C43 -1</f>
        <v>3.4902353530295471E-2</v>
      </c>
      <c r="G44" s="141">
        <v>19731.8</v>
      </c>
      <c r="H44" s="5">
        <f>G44/G43 -1</f>
        <v>1.5775777527818002E-2</v>
      </c>
    </row>
    <row r="45" spans="2:8" x14ac:dyDescent="0.3">
      <c r="B45" s="142">
        <v>45249</v>
      </c>
      <c r="C45" s="141">
        <v>213.47</v>
      </c>
      <c r="D45" s="5">
        <f>C45/C44 -1</f>
        <v>3.2902695117820846E-2</v>
      </c>
      <c r="G45" s="141">
        <v>19794.7</v>
      </c>
      <c r="H45" s="5">
        <f>G45/G44 -1</f>
        <v>3.1877476966115648E-3</v>
      </c>
    </row>
    <row r="46" spans="2:8" x14ac:dyDescent="0.3">
      <c r="B46" s="142">
        <v>45256</v>
      </c>
      <c r="C46" s="141">
        <v>230.37</v>
      </c>
      <c r="D46" s="5">
        <f>C46/C45 -1</f>
        <v>7.9168032978872871E-2</v>
      </c>
      <c r="G46" s="141">
        <v>20267.900000000001</v>
      </c>
      <c r="H46" s="5">
        <f>G46/G45 -1</f>
        <v>2.3905388816198414E-2</v>
      </c>
    </row>
    <row r="47" spans="2:8" x14ac:dyDescent="0.3">
      <c r="B47" s="142">
        <v>45263</v>
      </c>
      <c r="C47" s="141">
        <v>251.67</v>
      </c>
      <c r="D47" s="5">
        <f>C47/C46 -1</f>
        <v>9.2459955723401377E-2</v>
      </c>
      <c r="G47" s="141">
        <v>20969.400000000001</v>
      </c>
      <c r="H47" s="5">
        <f>G47/G46 -1</f>
        <v>3.4611380557433069E-2</v>
      </c>
    </row>
    <row r="48" spans="2:8" x14ac:dyDescent="0.3">
      <c r="B48" s="142">
        <v>45270</v>
      </c>
      <c r="C48" s="141">
        <v>255.93</v>
      </c>
      <c r="D48" s="5">
        <f>C48/C47 -1</f>
        <v>1.6926928120157392E-2</v>
      </c>
      <c r="G48" s="141">
        <v>21456.65</v>
      </c>
      <c r="H48" s="5">
        <f>G48/G47 -1</f>
        <v>2.3236239472755438E-2</v>
      </c>
    </row>
    <row r="49" spans="2:8" x14ac:dyDescent="0.3">
      <c r="B49" s="142">
        <v>45277</v>
      </c>
      <c r="C49" s="141">
        <v>246.2</v>
      </c>
      <c r="D49" s="5">
        <f>C49/C48 -1</f>
        <v>-3.8018208103778428E-2</v>
      </c>
      <c r="G49" s="141">
        <v>21349.4</v>
      </c>
      <c r="H49" s="5">
        <f>G49/G48 -1</f>
        <v>-4.9984503638732525E-3</v>
      </c>
    </row>
    <row r="50" spans="2:8" x14ac:dyDescent="0.3">
      <c r="B50" s="142">
        <v>45284</v>
      </c>
      <c r="C50" s="141">
        <v>265.93</v>
      </c>
      <c r="D50" s="5">
        <f>C50/C49 -1</f>
        <v>8.013809910641756E-2</v>
      </c>
      <c r="G50" s="141">
        <v>21731.4</v>
      </c>
      <c r="H50" s="5">
        <f>G50/G49 -1</f>
        <v>1.7892774504201459E-2</v>
      </c>
    </row>
    <row r="51" spans="2:8" x14ac:dyDescent="0.3">
      <c r="B51" s="142">
        <v>45291</v>
      </c>
      <c r="C51" s="141">
        <v>280</v>
      </c>
      <c r="D51" s="5">
        <f>C51/C50 -1</f>
        <v>5.290866017372986E-2</v>
      </c>
      <c r="G51" s="141">
        <v>21710.799999999999</v>
      </c>
      <c r="H51" s="5">
        <f>G51/G50 -1</f>
        <v>-9.479370864280412E-4</v>
      </c>
    </row>
    <row r="52" spans="2:8" x14ac:dyDescent="0.3">
      <c r="B52" s="142">
        <v>45298</v>
      </c>
      <c r="C52" s="141">
        <v>300.52999999999997</v>
      </c>
      <c r="D52" s="5">
        <f>C52/C51 -1</f>
        <v>7.3321428571428537E-2</v>
      </c>
      <c r="G52" s="141">
        <v>21894.55</v>
      </c>
      <c r="H52" s="5">
        <f>G52/G51 -1</f>
        <v>8.4635296718684749E-3</v>
      </c>
    </row>
    <row r="53" spans="2:8" x14ac:dyDescent="0.3">
      <c r="B53" s="142">
        <v>45305</v>
      </c>
      <c r="C53" s="141">
        <v>310.5</v>
      </c>
      <c r="D53" s="5">
        <f>C53/C52 -1</f>
        <v>3.3174724653112886E-2</v>
      </c>
      <c r="G53" s="141">
        <v>21622.400000000001</v>
      </c>
      <c r="H53" s="5">
        <f>G53/G52 -1</f>
        <v>-1.2430033958222397E-2</v>
      </c>
    </row>
    <row r="54" spans="2:8" x14ac:dyDescent="0.3">
      <c r="B54" s="142">
        <v>45312</v>
      </c>
      <c r="C54" s="141">
        <v>287.07</v>
      </c>
      <c r="D54" s="5">
        <f>C54/C53 -1</f>
        <v>-7.5458937198067622E-2</v>
      </c>
      <c r="G54" s="141">
        <v>21352.6</v>
      </c>
      <c r="H54" s="5">
        <f>G54/G53 -1</f>
        <v>-1.2477800799171379E-2</v>
      </c>
    </row>
    <row r="55" spans="2:8" x14ac:dyDescent="0.3">
      <c r="B55" s="142">
        <v>45319</v>
      </c>
      <c r="C55" s="141">
        <v>325.89999999999998</v>
      </c>
      <c r="D55" s="5">
        <f>C55/C54 -1</f>
        <v>0.13526317622879436</v>
      </c>
      <c r="G55" s="141">
        <v>21853.8</v>
      </c>
      <c r="H55" s="5">
        <f>G55/G54 -1</f>
        <v>2.3472551352060167E-2</v>
      </c>
    </row>
    <row r="56" spans="2:8" x14ac:dyDescent="0.3">
      <c r="B56" s="142">
        <v>45326</v>
      </c>
      <c r="C56" s="141">
        <v>340.13</v>
      </c>
      <c r="D56" s="5">
        <f>C56/C55 -1</f>
        <v>4.3663700521632487E-2</v>
      </c>
      <c r="G56" s="141">
        <v>21782.5</v>
      </c>
      <c r="H56" s="5">
        <f>G56/G55 -1</f>
        <v>-3.2625904876955047E-3</v>
      </c>
    </row>
    <row r="57" spans="2:8" x14ac:dyDescent="0.3">
      <c r="B57" s="142">
        <v>45333</v>
      </c>
      <c r="C57" s="141">
        <v>377.13</v>
      </c>
      <c r="D57" s="5">
        <f>C57/C56 -1</f>
        <v>0.10878193631846655</v>
      </c>
      <c r="G57" s="141">
        <v>22040.7</v>
      </c>
      <c r="H57" s="5">
        <f>G57/G56 -1</f>
        <v>1.1853552163433978E-2</v>
      </c>
    </row>
    <row r="58" spans="2:8" x14ac:dyDescent="0.3">
      <c r="B58" s="142">
        <v>45340</v>
      </c>
      <c r="C58" s="141">
        <v>351.73</v>
      </c>
      <c r="D58" s="5">
        <f>C58/C57 -1</f>
        <v>-6.7350780897833529E-2</v>
      </c>
      <c r="G58" s="141">
        <v>22212.7</v>
      </c>
      <c r="H58" s="5">
        <f>G58/G57 -1</f>
        <v>7.8037448901351336E-3</v>
      </c>
    </row>
    <row r="59" spans="2:8" x14ac:dyDescent="0.3">
      <c r="B59" s="142">
        <v>45347</v>
      </c>
      <c r="C59" s="141">
        <v>344.77</v>
      </c>
      <c r="D59" s="5">
        <f>C59/C58 -1</f>
        <v>-1.978790549569287E-2</v>
      </c>
      <c r="G59" s="141">
        <v>22338.75</v>
      </c>
      <c r="H59" s="5">
        <f>G59/G58 -1</f>
        <v>5.6746816010659895E-3</v>
      </c>
    </row>
    <row r="60" spans="2:8" x14ac:dyDescent="0.3">
      <c r="B60" s="142">
        <v>45354</v>
      </c>
      <c r="C60" s="141">
        <v>339</v>
      </c>
      <c r="D60" s="5">
        <f>C60/C59 -1</f>
        <v>-1.673579487774457E-2</v>
      </c>
      <c r="G60" s="141">
        <v>22493.55</v>
      </c>
      <c r="H60" s="5">
        <f>G60/G59 -1</f>
        <v>6.929662581836471E-3</v>
      </c>
    </row>
    <row r="61" spans="2:8" x14ac:dyDescent="0.3">
      <c r="B61" s="142">
        <v>45361</v>
      </c>
      <c r="C61" s="141">
        <v>312.57</v>
      </c>
      <c r="D61" s="5">
        <f>C61/C60 -1</f>
        <v>-7.796460176991149E-2</v>
      </c>
      <c r="G61" s="141">
        <v>22023.35</v>
      </c>
      <c r="H61" s="5">
        <f>G61/G60 -1</f>
        <v>-2.0903770191899484E-2</v>
      </c>
    </row>
    <row r="62" spans="2:8" x14ac:dyDescent="0.3">
      <c r="B62" s="142">
        <v>45368</v>
      </c>
      <c r="C62" s="141">
        <v>315.63</v>
      </c>
      <c r="D62" s="5">
        <f>C62/C61 -1</f>
        <v>9.7898070832134199E-3</v>
      </c>
      <c r="G62" s="141">
        <v>22096.75</v>
      </c>
      <c r="H62" s="5">
        <f>G62/G61 -1</f>
        <v>3.3328262957270649E-3</v>
      </c>
    </row>
    <row r="63" spans="2:8" x14ac:dyDescent="0.3">
      <c r="B63" s="142">
        <v>45375</v>
      </c>
      <c r="C63" s="141">
        <v>317.10000000000002</v>
      </c>
      <c r="D63" s="5">
        <f>C63/C62 -1</f>
        <v>4.6573519627413074E-3</v>
      </c>
      <c r="G63" s="141">
        <v>22326.9</v>
      </c>
      <c r="H63" s="5">
        <f>G63/G62 -1</f>
        <v>1.0415558849152129E-2</v>
      </c>
    </row>
    <row r="64" spans="2:8" x14ac:dyDescent="0.3">
      <c r="B64" s="142">
        <v>45382</v>
      </c>
      <c r="C64" s="141">
        <v>307.47000000000003</v>
      </c>
      <c r="D64" s="5">
        <f>C64/C63 -1</f>
        <v>-3.0368968779564742E-2</v>
      </c>
      <c r="G64" s="141">
        <v>22513.7</v>
      </c>
      <c r="H64" s="5">
        <f>G64/G63 -1</f>
        <v>8.3665891816597782E-3</v>
      </c>
    </row>
    <row r="65" spans="2:8" x14ac:dyDescent="0.3">
      <c r="B65" s="142">
        <v>45389</v>
      </c>
      <c r="C65" s="141">
        <v>318.83</v>
      </c>
      <c r="D65" s="5">
        <f>C65/C64 -1</f>
        <v>3.6946693986404933E-2</v>
      </c>
      <c r="G65" s="141">
        <v>22519.4</v>
      </c>
      <c r="H65" s="5">
        <f>G65/G64 -1</f>
        <v>2.5317917534661838E-4</v>
      </c>
    </row>
    <row r="66" spans="2:8" x14ac:dyDescent="0.3">
      <c r="B66" s="142">
        <v>45396</v>
      </c>
      <c r="C66" s="141">
        <v>318.93</v>
      </c>
      <c r="D66" s="5">
        <f>C66/C65 -1</f>
        <v>3.1364677100653715E-4</v>
      </c>
      <c r="G66" s="141">
        <v>22147</v>
      </c>
      <c r="H66" s="5">
        <f>G66/G65 -1</f>
        <v>-1.6536852669254087E-2</v>
      </c>
    </row>
    <row r="67" spans="2:8" x14ac:dyDescent="0.3">
      <c r="B67" s="142">
        <v>45403</v>
      </c>
      <c r="C67" s="141">
        <v>327.39999999999998</v>
      </c>
      <c r="D67" s="5">
        <f>C67/C66 -1</f>
        <v>2.6557551813877645E-2</v>
      </c>
      <c r="G67" s="141">
        <v>22419.95</v>
      </c>
      <c r="H67" s="5">
        <f>G67/G66 -1</f>
        <v>1.2324468325281002E-2</v>
      </c>
    </row>
    <row r="68" spans="2:8" x14ac:dyDescent="0.3">
      <c r="B68" s="142">
        <v>45410</v>
      </c>
      <c r="C68" s="141">
        <v>356.07</v>
      </c>
      <c r="D68" s="5">
        <f>C68/C67 -1</f>
        <v>8.7568723274282334E-2</v>
      </c>
      <c r="G68" s="141">
        <v>22475.85</v>
      </c>
      <c r="H68" s="5">
        <f>G68/G67 -1</f>
        <v>2.4933151055197555E-3</v>
      </c>
    </row>
    <row r="69" spans="2:8" x14ac:dyDescent="0.3">
      <c r="B69" s="142">
        <v>45417</v>
      </c>
      <c r="C69" s="141">
        <v>334.37</v>
      </c>
      <c r="D69" s="5">
        <f>C69/C68 -1</f>
        <v>-6.0943072991265779E-2</v>
      </c>
      <c r="G69" s="141">
        <v>22055.200000000001</v>
      </c>
      <c r="H69" s="5">
        <f>G69/G68 -1</f>
        <v>-1.8715643679771743E-2</v>
      </c>
    </row>
    <row r="70" spans="2:8" x14ac:dyDescent="0.3">
      <c r="B70" s="142">
        <v>45424</v>
      </c>
      <c r="C70" s="141">
        <v>337.97</v>
      </c>
      <c r="D70" s="5">
        <f>C70/C69 -1</f>
        <v>1.0766516134820714E-2</v>
      </c>
      <c r="G70" s="141">
        <v>22466.1</v>
      </c>
      <c r="H70" s="5">
        <f>G70/G69 -1</f>
        <v>1.8630527041241907E-2</v>
      </c>
    </row>
    <row r="71" spans="2:8" x14ac:dyDescent="0.3">
      <c r="B71" s="142">
        <v>45431</v>
      </c>
      <c r="C71" s="141">
        <v>362.3</v>
      </c>
      <c r="D71" s="5">
        <f>C71/C70 -1</f>
        <v>7.1988638044796716E-2</v>
      </c>
      <c r="G71" s="141">
        <v>22957.1</v>
      </c>
      <c r="H71" s="5">
        <f>G71/G70 -1</f>
        <v>2.1855150649200406E-2</v>
      </c>
    </row>
    <row r="72" spans="2:8" x14ac:dyDescent="0.3">
      <c r="B72" s="142">
        <v>45438</v>
      </c>
      <c r="C72" s="141">
        <v>358.23</v>
      </c>
      <c r="D72" s="5">
        <f>C72/C71 -1</f>
        <v>-1.1233784156776117E-2</v>
      </c>
      <c r="G72" s="141">
        <v>22530.7</v>
      </c>
      <c r="H72" s="5">
        <f>G72/G71 -1</f>
        <v>-1.8573774562117951E-2</v>
      </c>
    </row>
    <row r="73" spans="2:8" x14ac:dyDescent="0.3">
      <c r="B73" s="142">
        <v>45445</v>
      </c>
      <c r="C73" s="141">
        <v>349.23</v>
      </c>
      <c r="D73" s="5">
        <f>C73/C72 -1</f>
        <v>-2.5123523992965358E-2</v>
      </c>
      <c r="G73" s="141">
        <v>23290.15</v>
      </c>
      <c r="H73" s="5">
        <f>G73/G72 -1</f>
        <v>3.3707341538434354E-2</v>
      </c>
    </row>
    <row r="74" spans="2:8" x14ac:dyDescent="0.3">
      <c r="B74" s="142">
        <v>45452</v>
      </c>
      <c r="C74" s="141">
        <v>357.53</v>
      </c>
      <c r="D74" s="5">
        <f>C74/C73 -1</f>
        <v>2.3766572173066436E-2</v>
      </c>
      <c r="G74" s="141">
        <v>23465.599999999999</v>
      </c>
      <c r="H74" s="5">
        <f>G74/G73 -1</f>
        <v>7.5332275661599279E-3</v>
      </c>
    </row>
    <row r="75" spans="2:8" x14ac:dyDescent="0.3">
      <c r="B75" s="142">
        <v>45459</v>
      </c>
      <c r="C75" s="141">
        <v>340.85</v>
      </c>
      <c r="D75" s="5">
        <f>C75/C74 -1</f>
        <v>-4.6653427684389959E-2</v>
      </c>
      <c r="G75" s="141">
        <v>23501.1</v>
      </c>
      <c r="H75" s="5">
        <f>G75/G74 -1</f>
        <v>1.5128528569481325E-3</v>
      </c>
    </row>
    <row r="76" spans="2:8" x14ac:dyDescent="0.3">
      <c r="B76" s="142">
        <v>45466</v>
      </c>
      <c r="C76" s="141">
        <v>332.1</v>
      </c>
      <c r="D76" s="5">
        <f>C76/C75 -1</f>
        <v>-2.5671116326829946E-2</v>
      </c>
      <c r="G76" s="141">
        <v>24010.6</v>
      </c>
      <c r="H76" s="5">
        <f>G76/G75 -1</f>
        <v>2.1679836262983532E-2</v>
      </c>
    </row>
    <row r="77" spans="2:8" x14ac:dyDescent="0.3">
      <c r="B77" s="142">
        <v>45473</v>
      </c>
      <c r="C77" s="141">
        <v>332.45</v>
      </c>
      <c r="D77" s="5">
        <f>C77/C76 -1</f>
        <v>1.0538994278830316E-3</v>
      </c>
      <c r="G77" s="141">
        <v>24323.85</v>
      </c>
      <c r="H77" s="5">
        <f>G77/G76 -1</f>
        <v>1.3046321208133094E-2</v>
      </c>
    </row>
    <row r="78" spans="2:8" x14ac:dyDescent="0.3">
      <c r="B78" s="142">
        <v>45480</v>
      </c>
      <c r="C78" s="141">
        <v>342.15</v>
      </c>
      <c r="D78" s="5">
        <f>C78/C77 -1</f>
        <v>2.9177319897728982E-2</v>
      </c>
      <c r="G78" s="141">
        <v>24502.15</v>
      </c>
      <c r="H78" s="5">
        <f>G78/G77 -1</f>
        <v>7.3302540510651326E-3</v>
      </c>
    </row>
    <row r="79" spans="2:8" x14ac:dyDescent="0.3">
      <c r="B79" s="142">
        <v>45487</v>
      </c>
      <c r="C79" s="141">
        <v>341.65</v>
      </c>
      <c r="D79" s="5">
        <f>C79/C78 -1</f>
        <v>-1.4613473622679951E-3</v>
      </c>
      <c r="G79" s="141">
        <v>24530.9</v>
      </c>
      <c r="H79" s="5">
        <f>G79/G78 -1</f>
        <v>1.1733664188653403E-3</v>
      </c>
    </row>
    <row r="80" spans="2:8" x14ac:dyDescent="0.3">
      <c r="B80" s="142">
        <v>45494</v>
      </c>
      <c r="C80" s="141">
        <v>376.55</v>
      </c>
      <c r="D80" s="5">
        <f>C80/C79 -1</f>
        <v>0.10215132445485153</v>
      </c>
      <c r="G80" s="141">
        <v>24834.85</v>
      </c>
      <c r="H80" s="5">
        <f>G80/G79 -1</f>
        <v>1.2390495252925682E-2</v>
      </c>
    </row>
    <row r="81" spans="2:8" x14ac:dyDescent="0.3">
      <c r="B81" s="142">
        <v>45501</v>
      </c>
      <c r="C81" s="141">
        <v>389.25</v>
      </c>
      <c r="D81" s="5">
        <f>C81/C80 -1</f>
        <v>3.3727260655955327E-2</v>
      </c>
      <c r="G81" s="141">
        <v>24717.7</v>
      </c>
      <c r="H81" s="5">
        <f>G81/G80 -1</f>
        <v>-4.7171615693268887E-3</v>
      </c>
    </row>
    <row r="82" spans="2:8" x14ac:dyDescent="0.3">
      <c r="B82" s="142">
        <v>45508</v>
      </c>
      <c r="C82" s="141">
        <v>376.65</v>
      </c>
      <c r="D82" s="5">
        <f>C82/C81 -1</f>
        <v>-3.2369942196531887E-2</v>
      </c>
      <c r="G82" s="141">
        <v>24367.5</v>
      </c>
      <c r="H82" s="5">
        <f>G82/G81 -1</f>
        <v>-1.4167984885325113E-2</v>
      </c>
    </row>
    <row r="83" spans="2:8" x14ac:dyDescent="0.3">
      <c r="B83" s="142">
        <v>45515</v>
      </c>
      <c r="C83" s="141">
        <v>379.85</v>
      </c>
      <c r="D83" s="5">
        <f>C83/C82 -1</f>
        <v>8.4959511482809447E-3</v>
      </c>
      <c r="G83" s="141">
        <v>24541.15</v>
      </c>
      <c r="H83" s="5">
        <f>G83/G82 -1</f>
        <v>7.1262952703396998E-3</v>
      </c>
    </row>
    <row r="84" spans="2:8" x14ac:dyDescent="0.3">
      <c r="B84" s="142">
        <v>45522</v>
      </c>
      <c r="C84" s="141">
        <v>405.5</v>
      </c>
      <c r="D84" s="5">
        <f>C84/C83 -1</f>
        <v>6.7526655258654644E-2</v>
      </c>
      <c r="G84" s="141">
        <v>24823.15</v>
      </c>
      <c r="H84" s="5">
        <f>G84/G83 -1</f>
        <v>1.1490904052988471E-2</v>
      </c>
    </row>
    <row r="85" spans="2:8" x14ac:dyDescent="0.3">
      <c r="B85" s="142">
        <v>45529</v>
      </c>
      <c r="C85" s="141">
        <v>419.05</v>
      </c>
      <c r="D85" s="5">
        <f>C85/C84 -1</f>
        <v>3.3415536374845844E-2</v>
      </c>
      <c r="G85" s="141">
        <v>25235.9</v>
      </c>
      <c r="H85" s="5">
        <f>G85/G84 -1</f>
        <v>1.6627623810837822E-2</v>
      </c>
    </row>
    <row r="86" spans="2:8" x14ac:dyDescent="0.3">
      <c r="B86" s="142">
        <v>45536</v>
      </c>
      <c r="C86" s="141">
        <v>434.4</v>
      </c>
      <c r="D86" s="5">
        <f>C86/C85 -1</f>
        <v>3.6630473690490328E-2</v>
      </c>
      <c r="G86" s="141">
        <v>24852.15</v>
      </c>
      <c r="H86" s="5">
        <f>G86/G85 -1</f>
        <v>-1.5206511358818231E-2</v>
      </c>
    </row>
    <row r="87" spans="2:8" x14ac:dyDescent="0.3">
      <c r="B87" s="142">
        <v>45543</v>
      </c>
      <c r="C87" s="141">
        <v>410.9</v>
      </c>
      <c r="D87" s="5">
        <f>C87/C86 -1</f>
        <v>-5.4097605893186018E-2</v>
      </c>
      <c r="G87" s="141">
        <v>25356.5</v>
      </c>
      <c r="H87" s="5">
        <f>G87/G86 -1</f>
        <v>2.0294018827344829E-2</v>
      </c>
    </row>
    <row r="88" spans="2:8" x14ac:dyDescent="0.3">
      <c r="B88" s="142">
        <v>45550</v>
      </c>
      <c r="C88" s="141">
        <v>398.75</v>
      </c>
      <c r="D88" s="5">
        <f>C88/C87 -1</f>
        <v>-2.9569238257483477E-2</v>
      </c>
      <c r="G88" s="141">
        <v>25790.95</v>
      </c>
      <c r="H88" s="5">
        <f>G88/G87 -1</f>
        <v>1.7133673811448702E-2</v>
      </c>
    </row>
    <row r="89" spans="2:8" x14ac:dyDescent="0.3">
      <c r="B89" s="142">
        <v>45557</v>
      </c>
      <c r="C89" s="141">
        <v>437.95</v>
      </c>
      <c r="D89" s="5">
        <f>C89/C88 -1</f>
        <v>9.8307210031348014E-2</v>
      </c>
      <c r="G89" s="141">
        <v>26178.95</v>
      </c>
      <c r="H89" s="5">
        <f>G89/G88 -1</f>
        <v>1.5044036764834123E-2</v>
      </c>
    </row>
    <row r="90" spans="2:8" x14ac:dyDescent="0.3">
      <c r="B90" s="142">
        <v>45564</v>
      </c>
      <c r="C90" s="141">
        <v>406.9</v>
      </c>
      <c r="D90" s="5">
        <f>C90/C89 -1</f>
        <v>-7.0898504395478956E-2</v>
      </c>
      <c r="G90" s="141">
        <v>25014.6</v>
      </c>
      <c r="H90" s="5">
        <f>G90/G89 -1</f>
        <v>-4.4476573735768743E-2</v>
      </c>
    </row>
    <row r="91" spans="2:8" x14ac:dyDescent="0.3">
      <c r="B91" s="142">
        <v>45571</v>
      </c>
      <c r="C91" s="141">
        <v>395.5</v>
      </c>
      <c r="D91" s="5">
        <f>C91/C90 -1</f>
        <v>-2.8016711722781973E-2</v>
      </c>
      <c r="G91" s="141">
        <v>24964.25</v>
      </c>
      <c r="H91" s="5">
        <f>G91/G90 -1</f>
        <v>-2.0128245104857889E-3</v>
      </c>
    </row>
    <row r="92" spans="2:8" x14ac:dyDescent="0.3">
      <c r="B92" s="142">
        <v>45578</v>
      </c>
      <c r="C92" s="141">
        <v>431.6</v>
      </c>
      <c r="D92" s="5">
        <f>C92/C91 -1</f>
        <v>9.1276864728192297E-2</v>
      </c>
      <c r="G92" s="141">
        <v>24854.05</v>
      </c>
      <c r="H92" s="5">
        <f>G92/G91 -1</f>
        <v>-4.4143124668275524E-3</v>
      </c>
    </row>
    <row r="93" spans="2:8" x14ac:dyDescent="0.3">
      <c r="B93" s="142">
        <v>45585</v>
      </c>
      <c r="C93" s="141">
        <v>372.4</v>
      </c>
      <c r="D93" s="5">
        <f>C93/C92 -1</f>
        <v>-0.13716404077849875</v>
      </c>
      <c r="G93" s="141">
        <v>24180.799999999999</v>
      </c>
      <c r="H93" s="5">
        <f>G93/G92 -1</f>
        <v>-2.7088140564616281E-2</v>
      </c>
    </row>
    <row r="94" spans="2:8" x14ac:dyDescent="0.3">
      <c r="B94" s="142">
        <v>45592</v>
      </c>
      <c r="C94" s="141">
        <v>381</v>
      </c>
      <c r="D94" s="5">
        <f>C94/C93 -1</f>
        <v>2.3093447905478071E-2</v>
      </c>
      <c r="G94" s="141">
        <v>24304.35</v>
      </c>
      <c r="H94" s="5">
        <f>G94/G93 -1</f>
        <v>5.1094256600276999E-3</v>
      </c>
    </row>
    <row r="95" spans="2:8" x14ac:dyDescent="0.3">
      <c r="B95" s="142">
        <v>45599</v>
      </c>
      <c r="C95" s="141">
        <v>383.05</v>
      </c>
      <c r="D95" s="5">
        <f>C95/C94 -1</f>
        <v>5.3805774278214979E-3</v>
      </c>
      <c r="G95" s="141">
        <v>24148.2</v>
      </c>
      <c r="H95" s="5">
        <f>G95/G94 -1</f>
        <v>-6.4247758117372822E-3</v>
      </c>
    </row>
    <row r="96" spans="2:8" x14ac:dyDescent="0.3">
      <c r="B96" s="142">
        <v>45606</v>
      </c>
      <c r="C96" s="141">
        <v>372.4</v>
      </c>
      <c r="D96" s="5">
        <f>C96/C95 -1</f>
        <v>-2.7803158856546273E-2</v>
      </c>
      <c r="G96" s="141">
        <v>23532.7</v>
      </c>
      <c r="H96" s="5">
        <f>G96/G95 -1</f>
        <v>-2.5488442202731498E-2</v>
      </c>
    </row>
    <row r="97" spans="2:8" x14ac:dyDescent="0.3">
      <c r="B97" s="142">
        <v>45613</v>
      </c>
      <c r="C97" s="141">
        <v>360.7</v>
      </c>
      <c r="D97" s="5">
        <f>C97/C96 -1</f>
        <v>-3.1417830290010662E-2</v>
      </c>
      <c r="G97" s="141">
        <v>23907.25</v>
      </c>
      <c r="H97" s="5">
        <f>G97/G96 -1</f>
        <v>1.5916150717937061E-2</v>
      </c>
    </row>
    <row r="98" spans="2:8" x14ac:dyDescent="0.3">
      <c r="B98" s="142">
        <v>45620</v>
      </c>
      <c r="C98" s="141">
        <v>383.1</v>
      </c>
      <c r="D98" s="5">
        <f>C98/C97 -1</f>
        <v>6.2101469365123396E-2</v>
      </c>
      <c r="G98" s="141">
        <v>24131.1</v>
      </c>
      <c r="H98" s="5">
        <f>G98/G97 -1</f>
        <v>9.3632684645870157E-3</v>
      </c>
    </row>
    <row r="99" spans="2:8" x14ac:dyDescent="0.3">
      <c r="B99" s="142">
        <v>45627</v>
      </c>
      <c r="C99" s="141">
        <v>399.2</v>
      </c>
      <c r="D99" s="5">
        <f>C99/C98 -1</f>
        <v>4.2025580788305872E-2</v>
      </c>
      <c r="G99" s="141">
        <v>24677.8</v>
      </c>
      <c r="H99" s="5">
        <f>G99/G98 -1</f>
        <v>2.2655411481449228E-2</v>
      </c>
    </row>
    <row r="100" spans="2:8" x14ac:dyDescent="0.3">
      <c r="B100" s="142">
        <v>45634</v>
      </c>
      <c r="C100" s="141">
        <v>415.05</v>
      </c>
      <c r="D100" s="5">
        <f>C100/C99 -1</f>
        <v>3.9704408817635262E-2</v>
      </c>
      <c r="G100" s="141">
        <v>24768.3</v>
      </c>
      <c r="H100" s="5">
        <f>G100/G99 -1</f>
        <v>3.6672636944945491E-3</v>
      </c>
    </row>
    <row r="101" spans="2:8" x14ac:dyDescent="0.3">
      <c r="B101" s="142">
        <v>45641</v>
      </c>
      <c r="C101" s="141">
        <v>399.5</v>
      </c>
      <c r="D101" s="5">
        <f>C101/C100 -1</f>
        <v>-3.7465365618600144E-2</v>
      </c>
      <c r="G101" s="141">
        <v>23587.5</v>
      </c>
      <c r="H101" s="5">
        <f>G101/G100 -1</f>
        <v>-4.7673841159869612E-2</v>
      </c>
    </row>
    <row r="102" spans="2:8" x14ac:dyDescent="0.3">
      <c r="B102" s="142">
        <v>45648</v>
      </c>
      <c r="C102" s="141">
        <v>410.7</v>
      </c>
      <c r="D102" s="5">
        <f>C102/C101 -1</f>
        <v>2.8035043804755855E-2</v>
      </c>
      <c r="G102" s="141">
        <v>23813.4</v>
      </c>
      <c r="H102" s="5">
        <f>G102/G101 -1</f>
        <v>9.5771065182830295E-3</v>
      </c>
    </row>
    <row r="103" spans="2:8" x14ac:dyDescent="0.3">
      <c r="B103" s="142">
        <v>45655</v>
      </c>
      <c r="C103" s="141">
        <v>413.05</v>
      </c>
      <c r="D103" s="5">
        <f>C103/C102 -1</f>
        <v>5.7219381543707204E-3</v>
      </c>
      <c r="G103" s="141">
        <v>24004.75</v>
      </c>
      <c r="H103" s="5">
        <f>G103/G102 -1</f>
        <v>8.035391838208783E-3</v>
      </c>
    </row>
    <row r="104" spans="2:8" x14ac:dyDescent="0.3">
      <c r="B104" s="142">
        <v>45662</v>
      </c>
      <c r="C104" s="141">
        <v>388.45</v>
      </c>
      <c r="D104" s="5">
        <f>C104/C103 -1</f>
        <v>-5.9556954363878534E-2</v>
      </c>
      <c r="G104" s="141">
        <v>23431.5</v>
      </c>
      <c r="H104" s="5">
        <f>G104/G103 -1</f>
        <v>-2.3880690280048689E-2</v>
      </c>
    </row>
    <row r="105" spans="2:8" x14ac:dyDescent="0.3">
      <c r="B105" s="142">
        <v>45669</v>
      </c>
      <c r="C105" s="141">
        <v>358.9</v>
      </c>
      <c r="D105" s="5">
        <f>C105/C104 -1</f>
        <v>-7.6071566482172726E-2</v>
      </c>
      <c r="G105" s="141">
        <v>23203.200000000001</v>
      </c>
      <c r="H105" s="5">
        <f>G105/G104 -1</f>
        <v>-9.7432942833365344E-3</v>
      </c>
    </row>
    <row r="106" spans="2:8" x14ac:dyDescent="0.3">
      <c r="B106" s="142">
        <v>45676</v>
      </c>
      <c r="C106" s="141">
        <v>352.85</v>
      </c>
      <c r="D106" s="5">
        <f>C106/C105 -1</f>
        <v>-1.6857063248815751E-2</v>
      </c>
      <c r="G106" s="141">
        <v>23092.2</v>
      </c>
      <c r="H106" s="5">
        <f>G106/G105 -1</f>
        <v>-4.7838229209764549E-3</v>
      </c>
    </row>
    <row r="107" spans="2:8" x14ac:dyDescent="0.3">
      <c r="B107" s="142">
        <v>45683</v>
      </c>
      <c r="C107" s="141">
        <v>358.25</v>
      </c>
      <c r="D107" s="5">
        <f>C107/C106 -1</f>
        <v>1.5303953521326186E-2</v>
      </c>
      <c r="G107" s="141">
        <v>23508.400000000001</v>
      </c>
      <c r="H107" s="5">
        <f>G107/G106 -1</f>
        <v>1.8023401841314346E-2</v>
      </c>
    </row>
    <row r="108" spans="2:8" x14ac:dyDescent="0.3">
      <c r="B108" s="142">
        <v>45690</v>
      </c>
      <c r="C108" s="141">
        <v>342.5</v>
      </c>
      <c r="D108" s="5">
        <f>C108/C107 -1</f>
        <v>-4.3963712491277063E-2</v>
      </c>
      <c r="G108" s="141">
        <v>23559.95</v>
      </c>
      <c r="H108" s="5">
        <f>G108/G107 -1</f>
        <v>2.1928332000475947E-3</v>
      </c>
    </row>
    <row r="109" spans="2:8" x14ac:dyDescent="0.3">
      <c r="B109" s="142">
        <v>45697</v>
      </c>
      <c r="C109" s="141">
        <v>312.35000000000002</v>
      </c>
      <c r="D109" s="5">
        <f>C109/C108 -1</f>
        <v>-8.8029197080291888E-2</v>
      </c>
      <c r="G109" s="141">
        <v>22929.25</v>
      </c>
      <c r="H109" s="5">
        <f>G109/G108 -1</f>
        <v>-2.6770005878620329E-2</v>
      </c>
    </row>
    <row r="110" spans="2:8" x14ac:dyDescent="0.3">
      <c r="B110" s="142">
        <v>45704</v>
      </c>
      <c r="C110" s="141">
        <v>323</v>
      </c>
      <c r="D110" s="5">
        <f>C110/C109 -1</f>
        <v>3.4096366255802701E-2</v>
      </c>
      <c r="G110" s="141">
        <v>22795.9</v>
      </c>
      <c r="H110" s="5">
        <f>G110/G109 -1</f>
        <v>-5.8157157342695331E-3</v>
      </c>
    </row>
    <row r="111" spans="2:8" x14ac:dyDescent="0.3">
      <c r="B111" s="142"/>
      <c r="C111" s="141"/>
      <c r="D111" s="5"/>
      <c r="G111" s="141"/>
      <c r="H111" s="5"/>
    </row>
  </sheetData>
  <autoFilter ref="B6:D6" xr:uid="{2ED4A7BA-1FE1-48F8-8E55-E404D381F3EF}">
    <sortState xmlns:xlrd2="http://schemas.microsoft.com/office/spreadsheetml/2017/richdata2" ref="B7:D111">
      <sortCondition ref="B6"/>
    </sortState>
  </autoFilter>
  <mergeCells count="3">
    <mergeCell ref="B4:D4"/>
    <mergeCell ref="G4:I4"/>
    <mergeCell ref="K4:M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70BB3-124D-41D8-A422-4C4C07944AF6}">
  <sheetPr>
    <tabColor rgb="FF002060"/>
  </sheetPr>
  <dimension ref="B2:W111"/>
  <sheetViews>
    <sheetView showGridLines="0" workbookViewId="0">
      <selection activeCell="B5" sqref="B5"/>
    </sheetView>
  </sheetViews>
  <sheetFormatPr defaultRowHeight="14.4" x14ac:dyDescent="0.3"/>
  <cols>
    <col min="1" max="1" width="2.33203125" customWidth="1"/>
    <col min="2" max="2" width="13" customWidth="1"/>
    <col min="3" max="3" width="15.33203125" customWidth="1"/>
    <col min="4" max="4" width="14.33203125" customWidth="1"/>
    <col min="7" max="7" width="12.109375" customWidth="1"/>
    <col min="8" max="8" width="15.109375" customWidth="1"/>
    <col min="15" max="15" width="12" customWidth="1"/>
    <col min="16" max="16" width="12.5546875" customWidth="1"/>
    <col min="17" max="17" width="13.88671875" customWidth="1"/>
    <col min="18" max="18" width="14.6640625" customWidth="1"/>
    <col min="19" max="19" width="11.88671875" customWidth="1"/>
    <col min="20" max="20" width="13.21875" customWidth="1"/>
    <col min="21" max="21" width="12.44140625" customWidth="1"/>
    <col min="22" max="22" width="12.33203125" customWidth="1"/>
    <col min="23" max="23" width="12.88671875" customWidth="1"/>
  </cols>
  <sheetData>
    <row r="2" spans="2:16" x14ac:dyDescent="0.3">
      <c r="B2" s="2" t="s">
        <v>347</v>
      </c>
    </row>
    <row r="4" spans="2:16" x14ac:dyDescent="0.3">
      <c r="B4" s="148" t="s">
        <v>376</v>
      </c>
      <c r="C4" s="148"/>
      <c r="D4" s="148"/>
      <c r="G4" s="148" t="s">
        <v>345</v>
      </c>
      <c r="H4" s="148"/>
      <c r="I4" s="148"/>
      <c r="K4" s="148" t="s">
        <v>344</v>
      </c>
      <c r="L4" s="148"/>
      <c r="M4" s="148"/>
    </row>
    <row r="6" spans="2:16" x14ac:dyDescent="0.3">
      <c r="B6" s="147" t="s">
        <v>343</v>
      </c>
      <c r="C6" s="146" t="s">
        <v>49</v>
      </c>
      <c r="D6" s="146" t="s">
        <v>341</v>
      </c>
      <c r="G6" s="146" t="s">
        <v>342</v>
      </c>
      <c r="H6" s="146" t="s">
        <v>341</v>
      </c>
      <c r="K6" t="s">
        <v>340</v>
      </c>
      <c r="M6" s="124">
        <f>P11</f>
        <v>1.5171175200300446</v>
      </c>
    </row>
    <row r="7" spans="2:16" x14ac:dyDescent="0.3">
      <c r="B7" s="142">
        <v>44983</v>
      </c>
      <c r="C7" s="141">
        <v>51.05</v>
      </c>
      <c r="D7" s="5"/>
      <c r="G7" s="141">
        <v>17594.349999999999</v>
      </c>
      <c r="K7" t="s">
        <v>339</v>
      </c>
      <c r="M7" s="114">
        <v>0.75</v>
      </c>
    </row>
    <row r="8" spans="2:16" x14ac:dyDescent="0.3">
      <c r="B8" s="142">
        <v>44990</v>
      </c>
      <c r="C8" s="141">
        <v>58.85</v>
      </c>
      <c r="D8" s="5">
        <f>C8/C7 -1</f>
        <v>0.15279138099902068</v>
      </c>
      <c r="G8" s="141">
        <v>17412.900000000001</v>
      </c>
      <c r="H8" s="5">
        <f>G8/G7 -1</f>
        <v>-1.0312969788596749E-2</v>
      </c>
      <c r="O8" t="s">
        <v>338</v>
      </c>
      <c r="P8" s="124">
        <f>SLOPE(D8:D110,H8:H110)</f>
        <v>1.5171175200300449</v>
      </c>
    </row>
    <row r="9" spans="2:16" x14ac:dyDescent="0.3">
      <c r="B9" s="142">
        <v>44997</v>
      </c>
      <c r="C9" s="141">
        <v>59.1</v>
      </c>
      <c r="D9" s="5">
        <f>C9/C8 -1</f>
        <v>4.2480883602378228E-3</v>
      </c>
      <c r="G9" s="141">
        <v>17100.05</v>
      </c>
      <c r="H9" s="5">
        <f>G9/G8 -1</f>
        <v>-1.796656501788918E-2</v>
      </c>
      <c r="K9" t="s">
        <v>337</v>
      </c>
      <c r="M9">
        <v>1</v>
      </c>
      <c r="O9" t="s">
        <v>336</v>
      </c>
      <c r="P9" s="124">
        <f>_xlfn.COVARIANCE.S(D7:D110,H7:H110)/_xlfn.VAR.S(H7:H110)</f>
        <v>1.5171175200300449</v>
      </c>
    </row>
    <row r="10" spans="2:16" x14ac:dyDescent="0.3">
      <c r="B10" s="142">
        <v>45004</v>
      </c>
      <c r="C10" s="141">
        <v>52.6</v>
      </c>
      <c r="D10" s="5">
        <f>C10/C9 -1</f>
        <v>-0.10998307952622677</v>
      </c>
      <c r="G10" s="141">
        <v>16945.05</v>
      </c>
      <c r="H10" s="5">
        <f>G10/G9 -1</f>
        <v>-9.0643009815760678E-3</v>
      </c>
      <c r="K10" t="s">
        <v>335</v>
      </c>
      <c r="M10" s="114">
        <v>0.25</v>
      </c>
    </row>
    <row r="11" spans="2:16" x14ac:dyDescent="0.3">
      <c r="B11" s="142">
        <v>45011</v>
      </c>
      <c r="C11" s="141">
        <v>52.55</v>
      </c>
      <c r="D11" s="5">
        <f>C11/C10 -1</f>
        <v>-9.5057034220535908E-4</v>
      </c>
      <c r="G11" s="141">
        <v>17359.75</v>
      </c>
      <c r="H11" s="5">
        <f>G11/G10 -1</f>
        <v>2.4473223743807226E-2</v>
      </c>
      <c r="O11" t="s">
        <v>334</v>
      </c>
      <c r="P11" s="124">
        <f>P30</f>
        <v>1.5171175200300446</v>
      </c>
    </row>
    <row r="12" spans="2:16" x14ac:dyDescent="0.3">
      <c r="B12" s="142">
        <v>45018</v>
      </c>
      <c r="C12" s="141">
        <v>54.25</v>
      </c>
      <c r="D12" s="5">
        <f>C12/C11 -1</f>
        <v>3.2350142721217834E-2</v>
      </c>
      <c r="G12" s="141">
        <v>17599.150000000001</v>
      </c>
      <c r="H12" s="5">
        <f>G12/G11 -1</f>
        <v>1.3790521176860304E-2</v>
      </c>
      <c r="K12" s="78" t="s">
        <v>333</v>
      </c>
      <c r="L12" s="78"/>
      <c r="M12" s="78">
        <f>(M6*M7)+(M9*M10)</f>
        <v>1.3878381400225335</v>
      </c>
    </row>
    <row r="13" spans="2:16" x14ac:dyDescent="0.3">
      <c r="B13" s="142">
        <v>45025</v>
      </c>
      <c r="C13" s="141">
        <v>53.3</v>
      </c>
      <c r="D13" s="5">
        <f>C13/C12 -1</f>
        <v>-1.7511520737327202E-2</v>
      </c>
      <c r="G13" s="141">
        <v>17828</v>
      </c>
      <c r="H13" s="5">
        <f>G13/G12 -1</f>
        <v>1.3003468917532901E-2</v>
      </c>
      <c r="O13" t="s">
        <v>332</v>
      </c>
    </row>
    <row r="14" spans="2:16" ht="15" thickBot="1" x14ac:dyDescent="0.35">
      <c r="B14" s="142">
        <v>45032</v>
      </c>
      <c r="C14" s="141">
        <v>53.25</v>
      </c>
      <c r="D14" s="5">
        <f>C14/C13 -1</f>
        <v>-9.3808630393987791E-4</v>
      </c>
      <c r="G14" s="141">
        <v>17624.05</v>
      </c>
      <c r="H14" s="5">
        <f>G14/G13 -1</f>
        <v>-1.143986986762402E-2</v>
      </c>
    </row>
    <row r="15" spans="2:16" x14ac:dyDescent="0.3">
      <c r="B15" s="142">
        <v>45039</v>
      </c>
      <c r="C15" s="141">
        <v>64.25</v>
      </c>
      <c r="D15" s="5">
        <f>C15/C14 -1</f>
        <v>0.20657276995305174</v>
      </c>
      <c r="G15" s="141">
        <v>18065</v>
      </c>
      <c r="H15" s="5">
        <f>G15/G14 -1</f>
        <v>2.5019788300645995E-2</v>
      </c>
      <c r="O15" s="145" t="s">
        <v>331</v>
      </c>
      <c r="P15" s="145"/>
    </row>
    <row r="16" spans="2:16" x14ac:dyDescent="0.3">
      <c r="B16" s="142">
        <v>45046</v>
      </c>
      <c r="C16" s="141">
        <v>61.05</v>
      </c>
      <c r="D16" s="5">
        <f>C16/C15 -1</f>
        <v>-4.9805447470817166E-2</v>
      </c>
      <c r="G16" s="141">
        <v>18069</v>
      </c>
      <c r="H16" s="5">
        <f>G16/G15 -1</f>
        <v>2.2142264046509652E-4</v>
      </c>
      <c r="O16" t="s">
        <v>330</v>
      </c>
      <c r="P16">
        <v>0.36163127026632019</v>
      </c>
    </row>
    <row r="17" spans="2:23" x14ac:dyDescent="0.3">
      <c r="B17" s="142">
        <v>45053</v>
      </c>
      <c r="C17" s="141">
        <v>62.6</v>
      </c>
      <c r="D17" s="5">
        <f>C17/C16 -1</f>
        <v>2.5389025389025432E-2</v>
      </c>
      <c r="G17" s="141">
        <v>18314.8</v>
      </c>
      <c r="H17" s="5">
        <f>G17/G16 -1</f>
        <v>1.3603409153799317E-2</v>
      </c>
      <c r="O17" t="s">
        <v>329</v>
      </c>
      <c r="P17">
        <v>0.13077717563443231</v>
      </c>
    </row>
    <row r="18" spans="2:23" x14ac:dyDescent="0.3">
      <c r="B18" s="142">
        <v>45060</v>
      </c>
      <c r="C18" s="141">
        <v>64.95</v>
      </c>
      <c r="D18" s="5">
        <f>C18/C17 -1</f>
        <v>3.7539936102236382E-2</v>
      </c>
      <c r="G18" s="141">
        <v>18203.400000000001</v>
      </c>
      <c r="H18" s="5">
        <f>G18/G17 -1</f>
        <v>-6.0825125035489647E-3</v>
      </c>
      <c r="O18" t="s">
        <v>328</v>
      </c>
      <c r="P18">
        <v>0.1221710090565554</v>
      </c>
    </row>
    <row r="19" spans="2:23" x14ac:dyDescent="0.3">
      <c r="B19" s="142">
        <v>45067</v>
      </c>
      <c r="C19" s="141">
        <v>66.45</v>
      </c>
      <c r="D19" s="5">
        <f>C19/C18 -1</f>
        <v>2.3094688221708903E-2</v>
      </c>
      <c r="G19" s="141">
        <v>18499.349999999999</v>
      </c>
      <c r="H19" s="5">
        <f>G19/G18 -1</f>
        <v>1.6257951811200044E-2</v>
      </c>
      <c r="O19" t="s">
        <v>317</v>
      </c>
      <c r="P19">
        <v>6.1609413954006931E-2</v>
      </c>
    </row>
    <row r="20" spans="2:23" ht="15" thickBot="1" x14ac:dyDescent="0.35">
      <c r="B20" s="142">
        <v>45074</v>
      </c>
      <c r="C20" s="141">
        <v>64.650000000000006</v>
      </c>
      <c r="D20" s="5">
        <f>C20/C19 -1</f>
        <v>-2.708803611738142E-2</v>
      </c>
      <c r="G20" s="141">
        <v>18534.099999999999</v>
      </c>
      <c r="H20" s="5">
        <f>G20/G19 -1</f>
        <v>1.8784443777755122E-3</v>
      </c>
      <c r="O20" s="143" t="s">
        <v>327</v>
      </c>
      <c r="P20" s="143">
        <v>103</v>
      </c>
    </row>
    <row r="21" spans="2:23" x14ac:dyDescent="0.3">
      <c r="B21" s="142">
        <v>45081</v>
      </c>
      <c r="C21" s="141">
        <v>64.599999999999994</v>
      </c>
      <c r="D21" s="5">
        <f>C21/C20 -1</f>
        <v>-7.7339520494990044E-4</v>
      </c>
      <c r="G21" s="141">
        <v>18563.400000000001</v>
      </c>
      <c r="H21" s="5">
        <f>G21/G20 -1</f>
        <v>1.5808698561032841E-3</v>
      </c>
    </row>
    <row r="22" spans="2:23" ht="15" thickBot="1" x14ac:dyDescent="0.35">
      <c r="B22" s="142">
        <v>45088</v>
      </c>
      <c r="C22" s="141">
        <v>71.8</v>
      </c>
      <c r="D22" s="5">
        <f>C22/C21 -1</f>
        <v>0.11145510835913308</v>
      </c>
      <c r="G22" s="141">
        <v>18826</v>
      </c>
      <c r="H22" s="5">
        <f>G22/G21 -1</f>
        <v>1.4146115474535925E-2</v>
      </c>
      <c r="O22" t="s">
        <v>326</v>
      </c>
    </row>
    <row r="23" spans="2:23" x14ac:dyDescent="0.3">
      <c r="B23" s="142">
        <v>45095</v>
      </c>
      <c r="C23" s="141">
        <v>76.7</v>
      </c>
      <c r="D23" s="5">
        <f>C23/C22 -1</f>
        <v>6.8245125348189495E-2</v>
      </c>
      <c r="G23" s="141">
        <v>18665.5</v>
      </c>
      <c r="H23" s="5">
        <f>G23/G22 -1</f>
        <v>-8.5254435355359703E-3</v>
      </c>
      <c r="O23" s="144"/>
      <c r="P23" s="144" t="s">
        <v>325</v>
      </c>
      <c r="Q23" s="144" t="s">
        <v>324</v>
      </c>
      <c r="R23" s="144" t="s">
        <v>323</v>
      </c>
      <c r="S23" s="144" t="s">
        <v>322</v>
      </c>
      <c r="T23" s="144" t="s">
        <v>321</v>
      </c>
    </row>
    <row r="24" spans="2:23" x14ac:dyDescent="0.3">
      <c r="B24" s="142">
        <v>45102</v>
      </c>
      <c r="C24" s="141">
        <v>77.05</v>
      </c>
      <c r="D24" s="5">
        <f>C24/C23 -1</f>
        <v>4.5632333767926525E-3</v>
      </c>
      <c r="G24" s="141">
        <v>19189.05</v>
      </c>
      <c r="H24" s="5">
        <f>G24/G23 -1</f>
        <v>2.8049074495727355E-2</v>
      </c>
      <c r="O24" t="s">
        <v>320</v>
      </c>
      <c r="P24">
        <v>1</v>
      </c>
      <c r="Q24">
        <v>5.7678819242963753E-2</v>
      </c>
      <c r="R24">
        <v>5.7678819242963753E-2</v>
      </c>
      <c r="S24">
        <v>15.195752307491855</v>
      </c>
      <c r="T24">
        <v>1.7457869412860442E-4</v>
      </c>
    </row>
    <row r="25" spans="2:23" x14ac:dyDescent="0.3">
      <c r="B25" s="142">
        <v>45109</v>
      </c>
      <c r="C25" s="141">
        <v>87.7</v>
      </c>
      <c r="D25" s="5">
        <f>C25/C24 -1</f>
        <v>0.13822193380921477</v>
      </c>
      <c r="G25" s="141">
        <v>19331.8</v>
      </c>
      <c r="H25" s="5">
        <f>G25/G24 -1</f>
        <v>7.4391384669902916E-3</v>
      </c>
      <c r="O25" t="s">
        <v>319</v>
      </c>
      <c r="P25">
        <v>101</v>
      </c>
      <c r="Q25">
        <v>0.38336770866337455</v>
      </c>
      <c r="R25">
        <v>3.7957198877561836E-3</v>
      </c>
    </row>
    <row r="26" spans="2:23" ht="15" thickBot="1" x14ac:dyDescent="0.35">
      <c r="B26" s="142">
        <v>45116</v>
      </c>
      <c r="C26" s="141">
        <v>87</v>
      </c>
      <c r="D26" s="5">
        <f>C26/C25 -1</f>
        <v>-7.9817559863170073E-3</v>
      </c>
      <c r="G26" s="141">
        <v>19564.5</v>
      </c>
      <c r="H26" s="5">
        <f>G26/G25 -1</f>
        <v>1.2037161567986399E-2</v>
      </c>
      <c r="O26" s="143" t="s">
        <v>26</v>
      </c>
      <c r="P26" s="143">
        <v>102</v>
      </c>
      <c r="Q26" s="143">
        <v>0.4410465279063383</v>
      </c>
      <c r="R26" s="143"/>
      <c r="S26" s="143"/>
      <c r="T26" s="143"/>
    </row>
    <row r="27" spans="2:23" ht="15" thickBot="1" x14ac:dyDescent="0.35">
      <c r="B27" s="142">
        <v>45123</v>
      </c>
      <c r="C27" s="141">
        <v>86.65</v>
      </c>
      <c r="D27" s="5">
        <f>C27/C26 -1</f>
        <v>-4.022988505747116E-3</v>
      </c>
      <c r="G27" s="141">
        <v>19745</v>
      </c>
      <c r="H27" s="5">
        <f>G27/G26 -1</f>
        <v>9.225893838329613E-3</v>
      </c>
    </row>
    <row r="28" spans="2:23" x14ac:dyDescent="0.3">
      <c r="B28" s="142">
        <v>45130</v>
      </c>
      <c r="C28" s="141">
        <v>84.15</v>
      </c>
      <c r="D28" s="5">
        <f>C28/C27 -1</f>
        <v>-2.8851702250432765E-2</v>
      </c>
      <c r="G28" s="141">
        <v>19646.05</v>
      </c>
      <c r="H28" s="5">
        <f>G28/G27 -1</f>
        <v>-5.0113952899468739E-3</v>
      </c>
      <c r="O28" s="144"/>
      <c r="P28" s="144" t="s">
        <v>318</v>
      </c>
      <c r="Q28" s="144" t="s">
        <v>317</v>
      </c>
      <c r="R28" s="144" t="s">
        <v>316</v>
      </c>
      <c r="S28" s="144" t="s">
        <v>315</v>
      </c>
      <c r="T28" s="144" t="s">
        <v>314</v>
      </c>
      <c r="U28" s="144" t="s">
        <v>313</v>
      </c>
      <c r="V28" s="144" t="s">
        <v>312</v>
      </c>
      <c r="W28" s="144" t="s">
        <v>311</v>
      </c>
    </row>
    <row r="29" spans="2:23" x14ac:dyDescent="0.3">
      <c r="B29" s="142">
        <v>45137</v>
      </c>
      <c r="C29" s="141">
        <v>82.75</v>
      </c>
      <c r="D29" s="5">
        <f>C29/C28 -1</f>
        <v>-1.6636957813428443E-2</v>
      </c>
      <c r="G29" s="141">
        <v>19517</v>
      </c>
      <c r="H29" s="5">
        <f>G29/G28 -1</f>
        <v>-6.568750461288575E-3</v>
      </c>
      <c r="O29" t="s">
        <v>310</v>
      </c>
      <c r="P29">
        <v>6.0244590146010793E-3</v>
      </c>
      <c r="Q29">
        <v>6.1568865627843394E-3</v>
      </c>
      <c r="R29">
        <v>0.97849115022132682</v>
      </c>
      <c r="S29">
        <v>0.33016942204457278</v>
      </c>
      <c r="T29">
        <v>-6.1891477416749835E-3</v>
      </c>
      <c r="U29">
        <v>1.8238065770877141E-2</v>
      </c>
      <c r="V29">
        <v>-6.1891477416749835E-3</v>
      </c>
      <c r="W29">
        <v>1.8238065770877141E-2</v>
      </c>
    </row>
    <row r="30" spans="2:23" ht="15" thickBot="1" x14ac:dyDescent="0.35">
      <c r="B30" s="142">
        <v>45144</v>
      </c>
      <c r="C30" s="141">
        <v>86.7</v>
      </c>
      <c r="D30" s="5">
        <f>C30/C29 -1</f>
        <v>4.7734138972809648E-2</v>
      </c>
      <c r="G30" s="141">
        <v>19428.3</v>
      </c>
      <c r="H30" s="5">
        <f>G30/G29 -1</f>
        <v>-4.5447558538710409E-3</v>
      </c>
      <c r="O30" s="143" t="s">
        <v>309</v>
      </c>
      <c r="P30" s="143">
        <v>1.5171175200300446</v>
      </c>
      <c r="Q30" s="143">
        <v>0.38918681687988033</v>
      </c>
      <c r="R30" s="143">
        <v>3.8981729447898847</v>
      </c>
      <c r="S30" s="143">
        <v>1.7457869412860442E-4</v>
      </c>
      <c r="T30" s="143">
        <v>0.74507556544382048</v>
      </c>
      <c r="U30" s="143">
        <v>2.2891594746162687</v>
      </c>
      <c r="V30" s="143">
        <v>0.74507556544382048</v>
      </c>
      <c r="W30" s="143">
        <v>2.2891594746162687</v>
      </c>
    </row>
    <row r="31" spans="2:23" x14ac:dyDescent="0.3">
      <c r="B31" s="142">
        <v>45151</v>
      </c>
      <c r="C31" s="141">
        <v>85.75</v>
      </c>
      <c r="D31" s="5">
        <f>C31/C30 -1</f>
        <v>-1.0957324106113053E-2</v>
      </c>
      <c r="G31" s="141">
        <v>19310.150000000001</v>
      </c>
      <c r="H31" s="5">
        <f>G31/G30 -1</f>
        <v>-6.0813349598265454E-3</v>
      </c>
    </row>
    <row r="32" spans="2:23" x14ac:dyDescent="0.3">
      <c r="B32" s="142">
        <v>45158</v>
      </c>
      <c r="C32" s="141">
        <v>93</v>
      </c>
      <c r="D32" s="5">
        <f>C32/C31 -1</f>
        <v>8.4548104956268189E-2</v>
      </c>
      <c r="G32" s="141">
        <v>19265.8</v>
      </c>
      <c r="H32" s="5">
        <f>G32/G31 -1</f>
        <v>-2.2967196008317758E-3</v>
      </c>
    </row>
    <row r="33" spans="2:8" x14ac:dyDescent="0.3">
      <c r="B33" s="142">
        <v>45165</v>
      </c>
      <c r="C33" s="141">
        <v>96.35</v>
      </c>
      <c r="D33" s="5">
        <f>C33/C32 -1</f>
        <v>3.6021505376343965E-2</v>
      </c>
      <c r="G33" s="141">
        <v>19435.3</v>
      </c>
      <c r="H33" s="5">
        <f>G33/G32 -1</f>
        <v>8.7979736112697715E-3</v>
      </c>
    </row>
    <row r="34" spans="2:8" x14ac:dyDescent="0.3">
      <c r="B34" s="142">
        <v>45172</v>
      </c>
      <c r="C34" s="141">
        <v>94.75</v>
      </c>
      <c r="D34" s="5">
        <f>C34/C33 -1</f>
        <v>-1.660612350804358E-2</v>
      </c>
      <c r="G34" s="141">
        <v>19819.95</v>
      </c>
      <c r="H34" s="5">
        <f>G34/G33 -1</f>
        <v>1.9791307569216876E-2</v>
      </c>
    </row>
    <row r="35" spans="2:8" x14ac:dyDescent="0.3">
      <c r="B35" s="142">
        <v>45179</v>
      </c>
      <c r="C35" s="141">
        <v>94.1</v>
      </c>
      <c r="D35" s="5">
        <f>C35/C34 -1</f>
        <v>-6.8601583113456766E-3</v>
      </c>
      <c r="G35" s="141">
        <v>20192.349999999999</v>
      </c>
      <c r="H35" s="5">
        <f>G35/G34 -1</f>
        <v>1.8789149316723597E-2</v>
      </c>
    </row>
    <row r="36" spans="2:8" x14ac:dyDescent="0.3">
      <c r="B36" s="142">
        <v>45186</v>
      </c>
      <c r="C36" s="141">
        <v>94.45</v>
      </c>
      <c r="D36" s="5">
        <f>C36/C35 -1</f>
        <v>3.7194473963868546E-3</v>
      </c>
      <c r="G36" s="141">
        <v>19674.25</v>
      </c>
      <c r="H36" s="5">
        <f>G36/G35 -1</f>
        <v>-2.5658231954180599E-2</v>
      </c>
    </row>
    <row r="37" spans="2:8" x14ac:dyDescent="0.3">
      <c r="B37" s="142">
        <v>45193</v>
      </c>
      <c r="C37" s="141">
        <v>95.6</v>
      </c>
      <c r="D37" s="5">
        <f>C37/C36 -1</f>
        <v>1.2175754367390157E-2</v>
      </c>
      <c r="G37" s="141">
        <v>19638.3</v>
      </c>
      <c r="H37" s="5">
        <f>G37/G36 -1</f>
        <v>-1.8272615220402688E-3</v>
      </c>
    </row>
    <row r="38" spans="2:8" x14ac:dyDescent="0.3">
      <c r="B38" s="142">
        <v>45200</v>
      </c>
      <c r="C38" s="141">
        <v>96.45</v>
      </c>
      <c r="D38" s="5">
        <f>C38/C37 -1</f>
        <v>8.8912133891214662E-3</v>
      </c>
      <c r="G38" s="141">
        <v>19653.5</v>
      </c>
      <c r="H38" s="5">
        <f>G38/G37 -1</f>
        <v>7.7399774929598486E-4</v>
      </c>
    </row>
    <row r="39" spans="2:8" x14ac:dyDescent="0.3">
      <c r="B39" s="142">
        <v>45207</v>
      </c>
      <c r="C39" s="141">
        <v>101</v>
      </c>
      <c r="D39" s="5">
        <f>C39/C38 -1</f>
        <v>4.7174701918092143E-2</v>
      </c>
      <c r="G39" s="141">
        <v>19751.05</v>
      </c>
      <c r="H39" s="5">
        <f>G39/G38 -1</f>
        <v>4.9634925076957881E-3</v>
      </c>
    </row>
    <row r="40" spans="2:8" x14ac:dyDescent="0.3">
      <c r="B40" s="142">
        <v>45214</v>
      </c>
      <c r="C40" s="141">
        <v>102.7</v>
      </c>
      <c r="D40" s="5">
        <f>C40/C39 -1</f>
        <v>1.6831683168316847E-2</v>
      </c>
      <c r="G40" s="141">
        <v>19542.650000000001</v>
      </c>
      <c r="H40" s="5">
        <f>G40/G39 -1</f>
        <v>-1.0551337776978809E-2</v>
      </c>
    </row>
    <row r="41" spans="2:8" x14ac:dyDescent="0.3">
      <c r="B41" s="142">
        <v>45221</v>
      </c>
      <c r="C41" s="141">
        <v>100.1</v>
      </c>
      <c r="D41" s="5">
        <f>C41/C40 -1</f>
        <v>-2.5316455696202667E-2</v>
      </c>
      <c r="G41" s="141">
        <v>19047.25</v>
      </c>
      <c r="H41" s="5">
        <f>G41/G40 -1</f>
        <v>-2.5349683896503383E-2</v>
      </c>
    </row>
    <row r="42" spans="2:8" x14ac:dyDescent="0.3">
      <c r="B42" s="142">
        <v>45228</v>
      </c>
      <c r="C42" s="141">
        <v>109.9</v>
      </c>
      <c r="D42" s="5">
        <f>C42/C41 -1</f>
        <v>9.7902097902097918E-2</v>
      </c>
      <c r="G42" s="141">
        <v>19230.599999999999</v>
      </c>
      <c r="H42" s="5">
        <f>G42/G41 -1</f>
        <v>9.6260615049414966E-3</v>
      </c>
    </row>
    <row r="43" spans="2:8" x14ac:dyDescent="0.3">
      <c r="B43" s="142">
        <v>45235</v>
      </c>
      <c r="C43" s="141">
        <v>113.75</v>
      </c>
      <c r="D43" s="5">
        <f>C43/C42 -1</f>
        <v>3.5031847133757843E-2</v>
      </c>
      <c r="G43" s="141">
        <v>19425.349999999999</v>
      </c>
      <c r="H43" s="5">
        <f>G43/G42 -1</f>
        <v>1.0127089118384225E-2</v>
      </c>
    </row>
    <row r="44" spans="2:8" x14ac:dyDescent="0.3">
      <c r="B44" s="142">
        <v>45242</v>
      </c>
      <c r="C44" s="141">
        <v>117.85</v>
      </c>
      <c r="D44" s="5">
        <f>C44/C43 -1</f>
        <v>3.6043956043956049E-2</v>
      </c>
      <c r="G44" s="141">
        <v>19731.8</v>
      </c>
      <c r="H44" s="5">
        <f>G44/G43 -1</f>
        <v>1.5775777527818002E-2</v>
      </c>
    </row>
    <row r="45" spans="2:8" x14ac:dyDescent="0.3">
      <c r="B45" s="142">
        <v>45249</v>
      </c>
      <c r="C45" s="141">
        <v>118.9</v>
      </c>
      <c r="D45" s="5">
        <f>C45/C44 -1</f>
        <v>8.9096308867204765E-3</v>
      </c>
      <c r="G45" s="141">
        <v>19794.7</v>
      </c>
      <c r="H45" s="5">
        <f>G45/G44 -1</f>
        <v>3.1877476966115648E-3</v>
      </c>
    </row>
    <row r="46" spans="2:8" x14ac:dyDescent="0.3">
      <c r="B46" s="142">
        <v>45256</v>
      </c>
      <c r="C46" s="141">
        <v>121.8</v>
      </c>
      <c r="D46" s="5">
        <f>C46/C45 -1</f>
        <v>2.4390243902439046E-2</v>
      </c>
      <c r="G46" s="141">
        <v>20267.900000000001</v>
      </c>
      <c r="H46" s="5">
        <f>G46/G45 -1</f>
        <v>2.3905388816198414E-2</v>
      </c>
    </row>
    <row r="47" spans="2:8" x14ac:dyDescent="0.3">
      <c r="B47" s="142">
        <v>45263</v>
      </c>
      <c r="C47" s="141">
        <v>127.95</v>
      </c>
      <c r="D47" s="5">
        <f>C47/C46 -1</f>
        <v>5.049261083743839E-2</v>
      </c>
      <c r="G47" s="141">
        <v>20969.400000000001</v>
      </c>
      <c r="H47" s="5">
        <f>G47/G46 -1</f>
        <v>3.4611380557433069E-2</v>
      </c>
    </row>
    <row r="48" spans="2:8" x14ac:dyDescent="0.3">
      <c r="B48" s="142">
        <v>45270</v>
      </c>
      <c r="C48" s="141">
        <v>129.6</v>
      </c>
      <c r="D48" s="5">
        <f>C48/C47 -1</f>
        <v>1.2895662368112459E-2</v>
      </c>
      <c r="G48" s="141">
        <v>21456.65</v>
      </c>
      <c r="H48" s="5">
        <f>G48/G47 -1</f>
        <v>2.3236239472755438E-2</v>
      </c>
    </row>
    <row r="49" spans="2:8" x14ac:dyDescent="0.3">
      <c r="B49" s="142">
        <v>45277</v>
      </c>
      <c r="C49" s="141">
        <v>129.94999999999999</v>
      </c>
      <c r="D49" s="5">
        <f>C49/C48 -1</f>
        <v>2.700617283950546E-3</v>
      </c>
      <c r="G49" s="141">
        <v>21349.4</v>
      </c>
      <c r="H49" s="5">
        <f>G49/G48 -1</f>
        <v>-4.9984503638732525E-3</v>
      </c>
    </row>
    <row r="50" spans="2:8" x14ac:dyDescent="0.3">
      <c r="B50" s="142">
        <v>45284</v>
      </c>
      <c r="C50" s="141">
        <v>133.15</v>
      </c>
      <c r="D50" s="5">
        <f>C50/C49 -1</f>
        <v>2.4624855713736293E-2</v>
      </c>
      <c r="G50" s="141">
        <v>21731.4</v>
      </c>
      <c r="H50" s="5">
        <f>G50/G49 -1</f>
        <v>1.7892774504201459E-2</v>
      </c>
    </row>
    <row r="51" spans="2:8" x14ac:dyDescent="0.3">
      <c r="B51" s="142">
        <v>45291</v>
      </c>
      <c r="C51" s="141">
        <v>134.15</v>
      </c>
      <c r="D51" s="5">
        <f>C51/C50 -1</f>
        <v>7.5103266992113671E-3</v>
      </c>
      <c r="G51" s="141">
        <v>21710.799999999999</v>
      </c>
      <c r="H51" s="5">
        <f>G51/G50 -1</f>
        <v>-9.479370864280412E-4</v>
      </c>
    </row>
    <row r="52" spans="2:8" x14ac:dyDescent="0.3">
      <c r="B52" s="142">
        <v>45298</v>
      </c>
      <c r="C52" s="141">
        <v>159.30000000000001</v>
      </c>
      <c r="D52" s="5">
        <f>C52/C51 -1</f>
        <v>0.18747670518076776</v>
      </c>
      <c r="G52" s="141">
        <v>21894.55</v>
      </c>
      <c r="H52" s="5">
        <f>G52/G51 -1</f>
        <v>8.4635296718684749E-3</v>
      </c>
    </row>
    <row r="53" spans="2:8" x14ac:dyDescent="0.3">
      <c r="B53" s="142">
        <v>45305</v>
      </c>
      <c r="C53" s="141">
        <v>177</v>
      </c>
      <c r="D53" s="5">
        <f>C53/C52 -1</f>
        <v>0.11111111111111094</v>
      </c>
      <c r="G53" s="141">
        <v>21622.400000000001</v>
      </c>
      <c r="H53" s="5">
        <f>G53/G52 -1</f>
        <v>-1.2430033958222397E-2</v>
      </c>
    </row>
    <row r="54" spans="2:8" x14ac:dyDescent="0.3">
      <c r="B54" s="142">
        <v>45312</v>
      </c>
      <c r="C54" s="141">
        <v>174.4</v>
      </c>
      <c r="D54" s="5">
        <f>C54/C53 -1</f>
        <v>-1.4689265536723117E-2</v>
      </c>
      <c r="G54" s="141">
        <v>21352.6</v>
      </c>
      <c r="H54" s="5">
        <f>G54/G53 -1</f>
        <v>-1.2477800799171379E-2</v>
      </c>
    </row>
    <row r="55" spans="2:8" x14ac:dyDescent="0.3">
      <c r="B55" s="142">
        <v>45319</v>
      </c>
      <c r="C55" s="141">
        <v>191.6</v>
      </c>
      <c r="D55" s="5">
        <f>C55/C54 -1</f>
        <v>9.8623853211009083E-2</v>
      </c>
      <c r="G55" s="141">
        <v>21853.8</v>
      </c>
      <c r="H55" s="5">
        <f>G55/G54 -1</f>
        <v>2.3472551352060167E-2</v>
      </c>
    </row>
    <row r="56" spans="2:8" x14ac:dyDescent="0.3">
      <c r="B56" s="142">
        <v>45326</v>
      </c>
      <c r="C56" s="141">
        <v>189.6</v>
      </c>
      <c r="D56" s="5">
        <f>C56/C55 -1</f>
        <v>-1.043841336116913E-2</v>
      </c>
      <c r="G56" s="141">
        <v>21782.5</v>
      </c>
      <c r="H56" s="5">
        <f>G56/G55 -1</f>
        <v>-3.2625904876955047E-3</v>
      </c>
    </row>
    <row r="57" spans="2:8" x14ac:dyDescent="0.3">
      <c r="B57" s="142">
        <v>45333</v>
      </c>
      <c r="C57" s="141">
        <v>241.05</v>
      </c>
      <c r="D57" s="5">
        <f>C57/C56 -1</f>
        <v>0.27136075949367089</v>
      </c>
      <c r="G57" s="141">
        <v>22040.7</v>
      </c>
      <c r="H57" s="5">
        <f>G57/G56 -1</f>
        <v>1.1853552163433978E-2</v>
      </c>
    </row>
    <row r="58" spans="2:8" x14ac:dyDescent="0.3">
      <c r="B58" s="142">
        <v>45340</v>
      </c>
      <c r="C58" s="141">
        <v>245.85</v>
      </c>
      <c r="D58" s="5">
        <f>C58/C57 -1</f>
        <v>1.991288114499068E-2</v>
      </c>
      <c r="G58" s="141">
        <v>22212.7</v>
      </c>
      <c r="H58" s="5">
        <f>G58/G57 -1</f>
        <v>7.8037448901351336E-3</v>
      </c>
    </row>
    <row r="59" spans="2:8" x14ac:dyDescent="0.3">
      <c r="B59" s="142">
        <v>45347</v>
      </c>
      <c r="C59" s="141">
        <v>229.15</v>
      </c>
      <c r="D59" s="5">
        <f>C59/C58 -1</f>
        <v>-6.7927598128940336E-2</v>
      </c>
      <c r="G59" s="141">
        <v>22338.75</v>
      </c>
      <c r="H59" s="5">
        <f>G59/G58 -1</f>
        <v>5.6746816010659895E-3</v>
      </c>
    </row>
    <row r="60" spans="2:8" x14ac:dyDescent="0.3">
      <c r="B60" s="142">
        <v>45354</v>
      </c>
      <c r="C60" s="141">
        <v>233.2</v>
      </c>
      <c r="D60" s="5">
        <f>C60/C59 -1</f>
        <v>1.7674012655465754E-2</v>
      </c>
      <c r="G60" s="141">
        <v>22493.55</v>
      </c>
      <c r="H60" s="5">
        <f>G60/G59 -1</f>
        <v>6.929662581836471E-3</v>
      </c>
    </row>
    <row r="61" spans="2:8" x14ac:dyDescent="0.3">
      <c r="B61" s="142">
        <v>45361</v>
      </c>
      <c r="C61" s="141">
        <v>215.65</v>
      </c>
      <c r="D61" s="5">
        <f>C61/C60 -1</f>
        <v>-7.5257289879931299E-2</v>
      </c>
      <c r="G61" s="141">
        <v>22023.35</v>
      </c>
      <c r="H61" s="5">
        <f>G61/G60 -1</f>
        <v>-2.0903770191899484E-2</v>
      </c>
    </row>
    <row r="62" spans="2:8" x14ac:dyDescent="0.3">
      <c r="B62" s="142">
        <v>45368</v>
      </c>
      <c r="C62" s="141">
        <v>221.45</v>
      </c>
      <c r="D62" s="5">
        <f>C62/C61 -1</f>
        <v>2.6895432413633014E-2</v>
      </c>
      <c r="G62" s="141">
        <v>22096.75</v>
      </c>
      <c r="H62" s="5">
        <f>G62/G61 -1</f>
        <v>3.3328262957270649E-3</v>
      </c>
    </row>
    <row r="63" spans="2:8" x14ac:dyDescent="0.3">
      <c r="B63" s="142">
        <v>45375</v>
      </c>
      <c r="C63" s="141">
        <v>218.55</v>
      </c>
      <c r="D63" s="5">
        <f>C63/C62 -1</f>
        <v>-1.3095506886430242E-2</v>
      </c>
      <c r="G63" s="141">
        <v>22326.9</v>
      </c>
      <c r="H63" s="5">
        <f>G63/G62 -1</f>
        <v>1.0415558849152129E-2</v>
      </c>
    </row>
    <row r="64" spans="2:8" x14ac:dyDescent="0.3">
      <c r="B64" s="142">
        <v>45382</v>
      </c>
      <c r="C64" s="141">
        <v>238.25</v>
      </c>
      <c r="D64" s="5">
        <f>C64/C63 -1</f>
        <v>9.0139556165637069E-2</v>
      </c>
      <c r="G64" s="141">
        <v>22513.7</v>
      </c>
      <c r="H64" s="5">
        <f>G64/G63 -1</f>
        <v>8.3665891816597782E-3</v>
      </c>
    </row>
    <row r="65" spans="2:8" x14ac:dyDescent="0.3">
      <c r="B65" s="142">
        <v>45389</v>
      </c>
      <c r="C65" s="141">
        <v>221.9</v>
      </c>
      <c r="D65" s="5">
        <f>C65/C64 -1</f>
        <v>-6.8625393494228693E-2</v>
      </c>
      <c r="G65" s="141">
        <v>22519.4</v>
      </c>
      <c r="H65" s="5">
        <f>G65/G64 -1</f>
        <v>2.5317917534661838E-4</v>
      </c>
    </row>
    <row r="66" spans="2:8" x14ac:dyDescent="0.3">
      <c r="B66" s="142">
        <v>45396</v>
      </c>
      <c r="C66" s="141">
        <v>227</v>
      </c>
      <c r="D66" s="5">
        <f>C66/C65 -1</f>
        <v>2.2983325822442557E-2</v>
      </c>
      <c r="G66" s="141">
        <v>22147</v>
      </c>
      <c r="H66" s="5">
        <f>G66/G65 -1</f>
        <v>-1.6536852669254087E-2</v>
      </c>
    </row>
    <row r="67" spans="2:8" x14ac:dyDescent="0.3">
      <c r="B67" s="142">
        <v>45403</v>
      </c>
      <c r="C67" s="141">
        <v>250.95</v>
      </c>
      <c r="D67" s="5">
        <f>C67/C66 -1</f>
        <v>0.10550660792951527</v>
      </c>
      <c r="G67" s="141">
        <v>22419.95</v>
      </c>
      <c r="H67" s="5">
        <f>G67/G66 -1</f>
        <v>1.2324468325281002E-2</v>
      </c>
    </row>
    <row r="68" spans="2:8" x14ac:dyDescent="0.3">
      <c r="B68" s="142">
        <v>45410</v>
      </c>
      <c r="C68" s="141">
        <v>251.5</v>
      </c>
      <c r="D68" s="5">
        <f>C68/C67 -1</f>
        <v>2.1916716477385911E-3</v>
      </c>
      <c r="G68" s="141">
        <v>22475.85</v>
      </c>
      <c r="H68" s="5">
        <f>G68/G67 -1</f>
        <v>2.4933151055197555E-3</v>
      </c>
    </row>
    <row r="69" spans="2:8" x14ac:dyDescent="0.3">
      <c r="B69" s="142">
        <v>45417</v>
      </c>
      <c r="C69" s="141">
        <v>210.55</v>
      </c>
      <c r="D69" s="5">
        <f>C69/C68 -1</f>
        <v>-0.16282306163021865</v>
      </c>
      <c r="G69" s="141">
        <v>22055.200000000001</v>
      </c>
      <c r="H69" s="5">
        <f>G69/G68 -1</f>
        <v>-1.8715643679771743E-2</v>
      </c>
    </row>
    <row r="70" spans="2:8" x14ac:dyDescent="0.3">
      <c r="B70" s="142">
        <v>45424</v>
      </c>
      <c r="C70" s="141">
        <v>209.2</v>
      </c>
      <c r="D70" s="5">
        <f>C70/C69 -1</f>
        <v>-6.4117786748991712E-3</v>
      </c>
      <c r="G70" s="141">
        <v>22466.1</v>
      </c>
      <c r="H70" s="5">
        <f>G70/G69 -1</f>
        <v>1.8630527041241907E-2</v>
      </c>
    </row>
    <row r="71" spans="2:8" x14ac:dyDescent="0.3">
      <c r="B71" s="142">
        <v>45431</v>
      </c>
      <c r="C71" s="141">
        <v>218.65</v>
      </c>
      <c r="D71" s="5">
        <f>C71/C70 -1</f>
        <v>4.5172084130019163E-2</v>
      </c>
      <c r="G71" s="141">
        <v>22957.1</v>
      </c>
      <c r="H71" s="5">
        <f>G71/G70 -1</f>
        <v>2.1855150649200406E-2</v>
      </c>
    </row>
    <row r="72" spans="2:8" x14ac:dyDescent="0.3">
      <c r="B72" s="142">
        <v>45438</v>
      </c>
      <c r="C72" s="141">
        <v>203.15</v>
      </c>
      <c r="D72" s="5">
        <f>C72/C71 -1</f>
        <v>-7.0889549508346694E-2</v>
      </c>
      <c r="G72" s="141">
        <v>22530.7</v>
      </c>
      <c r="H72" s="5">
        <f>G72/G71 -1</f>
        <v>-1.8573774562117951E-2</v>
      </c>
    </row>
    <row r="73" spans="2:8" x14ac:dyDescent="0.3">
      <c r="B73" s="142">
        <v>45445</v>
      </c>
      <c r="C73" s="141">
        <v>205.4</v>
      </c>
      <c r="D73" s="5">
        <f>C73/C72 -1</f>
        <v>1.1075559931085444E-2</v>
      </c>
      <c r="G73" s="141">
        <v>23290.15</v>
      </c>
      <c r="H73" s="5">
        <f>G73/G72 -1</f>
        <v>3.3707341538434354E-2</v>
      </c>
    </row>
    <row r="74" spans="2:8" x14ac:dyDescent="0.3">
      <c r="B74" s="142">
        <v>45452</v>
      </c>
      <c r="C74" s="141">
        <v>215.12</v>
      </c>
      <c r="D74" s="5">
        <f>C74/C73 -1</f>
        <v>4.7322297955209258E-2</v>
      </c>
      <c r="G74" s="141">
        <v>23465.599999999999</v>
      </c>
      <c r="H74" s="5">
        <f>G74/G73 -1</f>
        <v>7.5332275661599279E-3</v>
      </c>
    </row>
    <row r="75" spans="2:8" x14ac:dyDescent="0.3">
      <c r="B75" s="142">
        <v>45459</v>
      </c>
      <c r="C75" s="141">
        <v>212.66</v>
      </c>
      <c r="D75" s="5">
        <f>C75/C74 -1</f>
        <v>-1.1435477872815181E-2</v>
      </c>
      <c r="G75" s="141">
        <v>23501.1</v>
      </c>
      <c r="H75" s="5">
        <f>G75/G74 -1</f>
        <v>1.5128528569481325E-3</v>
      </c>
    </row>
    <row r="76" spans="2:8" x14ac:dyDescent="0.3">
      <c r="B76" s="142">
        <v>45466</v>
      </c>
      <c r="C76" s="141">
        <v>214.33</v>
      </c>
      <c r="D76" s="5">
        <f>C76/C75 -1</f>
        <v>7.852910749553299E-3</v>
      </c>
      <c r="G76" s="141">
        <v>24010.6</v>
      </c>
      <c r="H76" s="5">
        <f>G76/G75 -1</f>
        <v>2.1679836262983532E-2</v>
      </c>
    </row>
    <row r="77" spans="2:8" x14ac:dyDescent="0.3">
      <c r="B77" s="142">
        <v>45473</v>
      </c>
      <c r="C77" s="141">
        <v>217.96</v>
      </c>
      <c r="D77" s="5">
        <f>C77/C76 -1</f>
        <v>1.6936499790043413E-2</v>
      </c>
      <c r="G77" s="141">
        <v>24323.85</v>
      </c>
      <c r="H77" s="5">
        <f>G77/G76 -1</f>
        <v>1.3046321208133094E-2</v>
      </c>
    </row>
    <row r="78" spans="2:8" x14ac:dyDescent="0.3">
      <c r="B78" s="142">
        <v>45480</v>
      </c>
      <c r="C78" s="141">
        <v>240.21</v>
      </c>
      <c r="D78" s="5">
        <f>C78/C77 -1</f>
        <v>0.1020829510001835</v>
      </c>
      <c r="G78" s="141">
        <v>24502.15</v>
      </c>
      <c r="H78" s="5">
        <f>G78/G77 -1</f>
        <v>7.3302540510651326E-3</v>
      </c>
    </row>
    <row r="79" spans="2:8" x14ac:dyDescent="0.3">
      <c r="B79" s="142">
        <v>45487</v>
      </c>
      <c r="C79" s="141">
        <v>216.11</v>
      </c>
      <c r="D79" s="5">
        <f>C79/C78 -1</f>
        <v>-0.1003288788976312</v>
      </c>
      <c r="G79" s="141">
        <v>24530.9</v>
      </c>
      <c r="H79" s="5">
        <f>G79/G78 -1</f>
        <v>1.1733664188653403E-3</v>
      </c>
    </row>
    <row r="80" spans="2:8" x14ac:dyDescent="0.3">
      <c r="B80" s="142">
        <v>45494</v>
      </c>
      <c r="C80" s="141">
        <v>214.88</v>
      </c>
      <c r="D80" s="5">
        <f>C80/C79 -1</f>
        <v>-5.6915459719587558E-3</v>
      </c>
      <c r="G80" s="141">
        <v>24834.85</v>
      </c>
      <c r="H80" s="5">
        <f>G80/G79 -1</f>
        <v>1.2390495252925682E-2</v>
      </c>
    </row>
    <row r="81" spans="2:8" x14ac:dyDescent="0.3">
      <c r="B81" s="142">
        <v>45501</v>
      </c>
      <c r="C81" s="141">
        <v>217.97</v>
      </c>
      <c r="D81" s="5">
        <f>C81/C80 -1</f>
        <v>1.4380119136262026E-2</v>
      </c>
      <c r="G81" s="141">
        <v>24717.7</v>
      </c>
      <c r="H81" s="5">
        <f>G81/G80 -1</f>
        <v>-4.7171615693268887E-3</v>
      </c>
    </row>
    <row r="82" spans="2:8" x14ac:dyDescent="0.3">
      <c r="B82" s="142">
        <v>45508</v>
      </c>
      <c r="C82" s="141">
        <v>204.96</v>
      </c>
      <c r="D82" s="5">
        <f>C82/C81 -1</f>
        <v>-5.9687112905445705E-2</v>
      </c>
      <c r="G82" s="141">
        <v>24367.5</v>
      </c>
      <c r="H82" s="5">
        <f>G82/G81 -1</f>
        <v>-1.4167984885325113E-2</v>
      </c>
    </row>
    <row r="83" spans="2:8" x14ac:dyDescent="0.3">
      <c r="B83" s="142">
        <v>45515</v>
      </c>
      <c r="C83" s="141">
        <v>203.67</v>
      </c>
      <c r="D83" s="5">
        <f>C83/C82 -1</f>
        <v>-6.2939110070258097E-3</v>
      </c>
      <c r="G83" s="141">
        <v>24541.15</v>
      </c>
      <c r="H83" s="5">
        <f>G83/G82 -1</f>
        <v>7.1262952703396998E-3</v>
      </c>
    </row>
    <row r="84" spans="2:8" x14ac:dyDescent="0.3">
      <c r="B84" s="142">
        <v>45522</v>
      </c>
      <c r="C84" s="141">
        <v>213.75</v>
      </c>
      <c r="D84" s="5">
        <f>C84/C83 -1</f>
        <v>4.949182501104743E-2</v>
      </c>
      <c r="G84" s="141">
        <v>24823.15</v>
      </c>
      <c r="H84" s="5">
        <f>G84/G83 -1</f>
        <v>1.1490904052988471E-2</v>
      </c>
    </row>
    <row r="85" spans="2:8" x14ac:dyDescent="0.3">
      <c r="B85" s="142">
        <v>45529</v>
      </c>
      <c r="C85" s="141">
        <v>207.37</v>
      </c>
      <c r="D85" s="5">
        <f>C85/C84 -1</f>
        <v>-2.9847953216374234E-2</v>
      </c>
      <c r="G85" s="141">
        <v>25235.9</v>
      </c>
      <c r="H85" s="5">
        <f>G85/G84 -1</f>
        <v>1.6627623810837822E-2</v>
      </c>
    </row>
    <row r="86" spans="2:8" x14ac:dyDescent="0.3">
      <c r="B86" s="142">
        <v>45536</v>
      </c>
      <c r="C86" s="141">
        <v>197.21</v>
      </c>
      <c r="D86" s="5">
        <f>C86/C85 -1</f>
        <v>-4.8994550802912595E-2</v>
      </c>
      <c r="G86" s="141">
        <v>24852.15</v>
      </c>
      <c r="H86" s="5">
        <f>G86/G85 -1</f>
        <v>-1.5206511358818231E-2</v>
      </c>
    </row>
    <row r="87" spans="2:8" x14ac:dyDescent="0.3">
      <c r="B87" s="142">
        <v>45543</v>
      </c>
      <c r="C87" s="141">
        <v>190.98</v>
      </c>
      <c r="D87" s="5">
        <f>C87/C86 -1</f>
        <v>-3.1590690127275556E-2</v>
      </c>
      <c r="G87" s="141">
        <v>25356.5</v>
      </c>
      <c r="H87" s="5">
        <f>G87/G86 -1</f>
        <v>2.0294018827344829E-2</v>
      </c>
    </row>
    <row r="88" spans="2:8" x14ac:dyDescent="0.3">
      <c r="B88" s="142">
        <v>45550</v>
      </c>
      <c r="C88" s="141">
        <v>181.75</v>
      </c>
      <c r="D88" s="5">
        <f>C88/C87 -1</f>
        <v>-4.8329668028065709E-2</v>
      </c>
      <c r="G88" s="141">
        <v>25790.95</v>
      </c>
      <c r="H88" s="5">
        <f>G88/G87 -1</f>
        <v>1.7133673811448702E-2</v>
      </c>
    </row>
    <row r="89" spans="2:8" x14ac:dyDescent="0.3">
      <c r="B89" s="142">
        <v>45557</v>
      </c>
      <c r="C89" s="141">
        <v>179.76</v>
      </c>
      <c r="D89" s="5">
        <f>C89/C88 -1</f>
        <v>-1.0949105914718094E-2</v>
      </c>
      <c r="G89" s="141">
        <v>26178.95</v>
      </c>
      <c r="H89" s="5">
        <f>G89/G88 -1</f>
        <v>1.5044036764834123E-2</v>
      </c>
    </row>
    <row r="90" spans="2:8" x14ac:dyDescent="0.3">
      <c r="B90" s="142">
        <v>45564</v>
      </c>
      <c r="C90" s="141">
        <v>179.39</v>
      </c>
      <c r="D90" s="5">
        <f>C90/C89 -1</f>
        <v>-2.0582999554962234E-3</v>
      </c>
      <c r="G90" s="141">
        <v>25014.6</v>
      </c>
      <c r="H90" s="5">
        <f>G90/G89 -1</f>
        <v>-4.4476573735768743E-2</v>
      </c>
    </row>
    <row r="91" spans="2:8" x14ac:dyDescent="0.3">
      <c r="B91" s="142">
        <v>45571</v>
      </c>
      <c r="C91" s="141">
        <v>174.73</v>
      </c>
      <c r="D91" s="5">
        <f>C91/C90 -1</f>
        <v>-2.5976921790512253E-2</v>
      </c>
      <c r="G91" s="141">
        <v>24964.25</v>
      </c>
      <c r="H91" s="5">
        <f>G91/G90 -1</f>
        <v>-2.0128245104857889E-3</v>
      </c>
    </row>
    <row r="92" spans="2:8" x14ac:dyDescent="0.3">
      <c r="B92" s="142">
        <v>45578</v>
      </c>
      <c r="C92" s="141">
        <v>165.53</v>
      </c>
      <c r="D92" s="5">
        <f>C92/C91 -1</f>
        <v>-5.265266411034164E-2</v>
      </c>
      <c r="G92" s="141">
        <v>24854.05</v>
      </c>
      <c r="H92" s="5">
        <f>G92/G91 -1</f>
        <v>-4.4143124668275524E-3</v>
      </c>
    </row>
    <row r="93" spans="2:8" x14ac:dyDescent="0.3">
      <c r="B93" s="142">
        <v>45585</v>
      </c>
      <c r="C93" s="141">
        <v>144.84</v>
      </c>
      <c r="D93" s="5">
        <f>C93/C92 -1</f>
        <v>-0.12499244849876157</v>
      </c>
      <c r="G93" s="141">
        <v>24180.799999999999</v>
      </c>
      <c r="H93" s="5">
        <f>G93/G92 -1</f>
        <v>-2.7088140564616281E-2</v>
      </c>
    </row>
    <row r="94" spans="2:8" x14ac:dyDescent="0.3">
      <c r="B94" s="142">
        <v>45592</v>
      </c>
      <c r="C94" s="141">
        <v>151.5</v>
      </c>
      <c r="D94" s="5">
        <f>C94/C93 -1</f>
        <v>4.598177299088646E-2</v>
      </c>
      <c r="G94" s="141">
        <v>24304.35</v>
      </c>
      <c r="H94" s="5">
        <f>G94/G93 -1</f>
        <v>5.1094256600276999E-3</v>
      </c>
    </row>
    <row r="95" spans="2:8" x14ac:dyDescent="0.3">
      <c r="B95" s="142">
        <v>45599</v>
      </c>
      <c r="C95" s="141">
        <v>160.80000000000001</v>
      </c>
      <c r="D95" s="5">
        <f>C95/C94 -1</f>
        <v>6.1386138613861441E-2</v>
      </c>
      <c r="G95" s="141">
        <v>24148.2</v>
      </c>
      <c r="H95" s="5">
        <f>G95/G94 -1</f>
        <v>-6.4247758117372822E-3</v>
      </c>
    </row>
    <row r="96" spans="2:8" x14ac:dyDescent="0.3">
      <c r="B96" s="142">
        <v>45606</v>
      </c>
      <c r="C96" s="141">
        <v>149.26</v>
      </c>
      <c r="D96" s="5">
        <f>C96/C95 -1</f>
        <v>-7.1766169154228954E-2</v>
      </c>
      <c r="G96" s="141">
        <v>23532.7</v>
      </c>
      <c r="H96" s="5">
        <f>G96/G95 -1</f>
        <v>-2.5488442202731498E-2</v>
      </c>
    </row>
    <row r="97" spans="2:8" x14ac:dyDescent="0.3">
      <c r="B97" s="142">
        <v>45613</v>
      </c>
      <c r="C97" s="141">
        <v>157.25</v>
      </c>
      <c r="D97" s="5">
        <f>C97/C96 -1</f>
        <v>5.3530751708428248E-2</v>
      </c>
      <c r="G97" s="141">
        <v>23907.25</v>
      </c>
      <c r="H97" s="5">
        <f>G97/G96 -1</f>
        <v>1.5916150717937061E-2</v>
      </c>
    </row>
    <row r="98" spans="2:8" x14ac:dyDescent="0.3">
      <c r="B98" s="142">
        <v>45620</v>
      </c>
      <c r="C98" s="141">
        <v>154.56</v>
      </c>
      <c r="D98" s="5">
        <f>C98/C97 -1</f>
        <v>-1.7106518282988814E-2</v>
      </c>
      <c r="G98" s="141">
        <v>24131.1</v>
      </c>
      <c r="H98" s="5">
        <f>G98/G97 -1</f>
        <v>9.3632684645870157E-3</v>
      </c>
    </row>
    <row r="99" spans="2:8" x14ac:dyDescent="0.3">
      <c r="B99" s="142">
        <v>45627</v>
      </c>
      <c r="C99" s="141">
        <v>154.93</v>
      </c>
      <c r="D99" s="5">
        <f>C99/C98 -1</f>
        <v>2.3938923395445677E-3</v>
      </c>
      <c r="G99" s="141">
        <v>24677.8</v>
      </c>
      <c r="H99" s="5">
        <f>G99/G98 -1</f>
        <v>2.2655411481449228E-2</v>
      </c>
    </row>
    <row r="100" spans="2:8" x14ac:dyDescent="0.3">
      <c r="B100" s="142">
        <v>45634</v>
      </c>
      <c r="C100" s="141">
        <v>149.4</v>
      </c>
      <c r="D100" s="5">
        <f>C100/C99 -1</f>
        <v>-3.5693539017620846E-2</v>
      </c>
      <c r="G100" s="141">
        <v>24768.3</v>
      </c>
      <c r="H100" s="5">
        <f>G100/G99 -1</f>
        <v>3.6672636944945491E-3</v>
      </c>
    </row>
    <row r="101" spans="2:8" x14ac:dyDescent="0.3">
      <c r="B101" s="142">
        <v>45641</v>
      </c>
      <c r="C101" s="141">
        <v>142.22</v>
      </c>
      <c r="D101" s="5">
        <f>C101/C100 -1</f>
        <v>-4.805890227576981E-2</v>
      </c>
      <c r="G101" s="141">
        <v>23587.5</v>
      </c>
      <c r="H101" s="5">
        <f>G101/G100 -1</f>
        <v>-4.7673841159869612E-2</v>
      </c>
    </row>
    <row r="102" spans="2:8" x14ac:dyDescent="0.3">
      <c r="B102" s="142">
        <v>45648</v>
      </c>
      <c r="C102" s="141">
        <v>145.35</v>
      </c>
      <c r="D102" s="5">
        <f>C102/C101 -1</f>
        <v>2.2008156377443466E-2</v>
      </c>
      <c r="G102" s="141">
        <v>23813.4</v>
      </c>
      <c r="H102" s="5">
        <f>G102/G101 -1</f>
        <v>9.5771065182830295E-3</v>
      </c>
    </row>
    <row r="103" spans="2:8" x14ac:dyDescent="0.3">
      <c r="B103" s="142">
        <v>45655</v>
      </c>
      <c r="C103" s="141">
        <v>149.53</v>
      </c>
      <c r="D103" s="5">
        <f>C103/C102 -1</f>
        <v>2.8758169934640643E-2</v>
      </c>
      <c r="G103" s="141">
        <v>24004.75</v>
      </c>
      <c r="H103" s="5">
        <f>G103/G102 -1</f>
        <v>8.035391838208783E-3</v>
      </c>
    </row>
    <row r="104" spans="2:8" x14ac:dyDescent="0.3">
      <c r="B104" s="142">
        <v>45662</v>
      </c>
      <c r="C104" s="141">
        <v>140.78</v>
      </c>
      <c r="D104" s="5">
        <f>C104/C103 -1</f>
        <v>-5.8516685614926733E-2</v>
      </c>
      <c r="G104" s="141">
        <v>23431.5</v>
      </c>
      <c r="H104" s="5">
        <f>G104/G103 -1</f>
        <v>-2.3880690280048689E-2</v>
      </c>
    </row>
    <row r="105" spans="2:8" x14ac:dyDescent="0.3">
      <c r="B105" s="142">
        <v>45669</v>
      </c>
      <c r="C105" s="141">
        <v>140.52000000000001</v>
      </c>
      <c r="D105" s="5">
        <f>C105/C104 -1</f>
        <v>-1.8468532461997089E-3</v>
      </c>
      <c r="G105" s="141">
        <v>23203.200000000001</v>
      </c>
      <c r="H105" s="5">
        <f>G105/G104 -1</f>
        <v>-9.7432942833365344E-3</v>
      </c>
    </row>
    <row r="106" spans="2:8" x14ac:dyDescent="0.3">
      <c r="B106" s="142">
        <v>45676</v>
      </c>
      <c r="C106" s="141">
        <v>133.59</v>
      </c>
      <c r="D106" s="5">
        <f>C106/C105 -1</f>
        <v>-4.9316823228010342E-2</v>
      </c>
      <c r="G106" s="141">
        <v>23092.2</v>
      </c>
      <c r="H106" s="5">
        <f>G106/G105 -1</f>
        <v>-4.7838229209764549E-3</v>
      </c>
    </row>
    <row r="107" spans="2:8" x14ac:dyDescent="0.3">
      <c r="B107" s="142">
        <v>45683</v>
      </c>
      <c r="C107" s="141">
        <v>129.5</v>
      </c>
      <c r="D107" s="5">
        <f>C107/C106 -1</f>
        <v>-3.0616064076652516E-2</v>
      </c>
      <c r="G107" s="141">
        <v>23508.400000000001</v>
      </c>
      <c r="H107" s="5">
        <f>G107/G106 -1</f>
        <v>1.8023401841314346E-2</v>
      </c>
    </row>
    <row r="108" spans="2:8" x14ac:dyDescent="0.3">
      <c r="B108" s="142">
        <v>45690</v>
      </c>
      <c r="C108" s="141">
        <v>124.13</v>
      </c>
      <c r="D108" s="5">
        <f>C108/C107 -1</f>
        <v>-4.1467181467181535E-2</v>
      </c>
      <c r="G108" s="141">
        <v>23559.95</v>
      </c>
      <c r="H108" s="5">
        <f>G108/G107 -1</f>
        <v>2.1928332000475947E-3</v>
      </c>
    </row>
    <row r="109" spans="2:8" x14ac:dyDescent="0.3">
      <c r="B109" s="142">
        <v>45697</v>
      </c>
      <c r="C109" s="141">
        <v>110.67</v>
      </c>
      <c r="D109" s="5">
        <f>C109/C108 -1</f>
        <v>-0.10843470555063239</v>
      </c>
      <c r="G109" s="141">
        <v>22929.25</v>
      </c>
      <c r="H109" s="5">
        <f>G109/G108 -1</f>
        <v>-2.6770005878620329E-2</v>
      </c>
    </row>
    <row r="110" spans="2:8" x14ac:dyDescent="0.3">
      <c r="B110" s="142">
        <v>45704</v>
      </c>
      <c r="C110" s="141">
        <v>115.63</v>
      </c>
      <c r="D110" s="5">
        <f>C110/C109 -1</f>
        <v>4.4817927170868188E-2</v>
      </c>
      <c r="G110" s="141">
        <v>22795.9</v>
      </c>
      <c r="H110" s="5">
        <f>G110/G109 -1</f>
        <v>-5.8157157342695331E-3</v>
      </c>
    </row>
    <row r="111" spans="2:8" x14ac:dyDescent="0.3">
      <c r="B111" s="142"/>
      <c r="C111" s="141"/>
      <c r="D111" s="5"/>
      <c r="G111" s="141"/>
      <c r="H111" s="5"/>
    </row>
  </sheetData>
  <autoFilter ref="B6:D6" xr:uid="{2ED4A7BA-1FE1-48F8-8E55-E404D381F3EF}">
    <sortState xmlns:xlrd2="http://schemas.microsoft.com/office/spreadsheetml/2017/richdata2" ref="B7:D111">
      <sortCondition ref="B6"/>
    </sortState>
  </autoFilter>
  <mergeCells count="3">
    <mergeCell ref="B4:D4"/>
    <mergeCell ref="G4:I4"/>
    <mergeCell ref="K4:M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8AB1-F870-4CB8-9F17-999B1A1E4537}">
  <dimension ref="B3:G8"/>
  <sheetViews>
    <sheetView showGridLines="0" workbookViewId="0">
      <selection activeCell="G7" sqref="G7"/>
    </sheetView>
  </sheetViews>
  <sheetFormatPr defaultRowHeight="14.4" x14ac:dyDescent="0.3"/>
  <cols>
    <col min="1" max="1" width="2.33203125" customWidth="1"/>
    <col min="3" max="3" width="15.6640625" customWidth="1"/>
    <col min="4" max="4" width="14" customWidth="1"/>
    <col min="5" max="5" width="19.109375" customWidth="1"/>
    <col min="6" max="6" width="13.44140625" customWidth="1"/>
  </cols>
  <sheetData>
    <row r="3" spans="2:7" x14ac:dyDescent="0.3">
      <c r="B3" t="s">
        <v>353</v>
      </c>
      <c r="C3" t="s">
        <v>352</v>
      </c>
      <c r="D3" t="s">
        <v>351</v>
      </c>
      <c r="E3" t="s">
        <v>350</v>
      </c>
      <c r="F3" t="s">
        <v>349</v>
      </c>
      <c r="G3" t="s">
        <v>348</v>
      </c>
    </row>
    <row r="4" spans="2:7" x14ac:dyDescent="0.3">
      <c r="B4">
        <v>1</v>
      </c>
      <c r="C4" t="s">
        <v>295</v>
      </c>
      <c r="D4">
        <v>1228.1500000000001</v>
      </c>
      <c r="E4">
        <v>1661977.92</v>
      </c>
      <c r="F4">
        <v>357525</v>
      </c>
      <c r="G4">
        <v>0.44</v>
      </c>
    </row>
    <row r="5" spans="2:7" x14ac:dyDescent="0.3">
      <c r="B5">
        <v>2</v>
      </c>
      <c r="C5" t="s">
        <v>294</v>
      </c>
      <c r="D5">
        <v>121.33</v>
      </c>
      <c r="E5">
        <v>171332.99</v>
      </c>
      <c r="F5">
        <v>163400.87</v>
      </c>
      <c r="G5">
        <v>0.9</v>
      </c>
    </row>
    <row r="6" spans="2:7" x14ac:dyDescent="0.3">
      <c r="B6">
        <v>3</v>
      </c>
      <c r="C6" t="s">
        <v>293</v>
      </c>
      <c r="D6">
        <v>251.3</v>
      </c>
      <c r="E6">
        <v>109026.64</v>
      </c>
      <c r="F6">
        <v>58880.36</v>
      </c>
      <c r="G6">
        <v>0.76</v>
      </c>
    </row>
    <row r="7" spans="2:7" x14ac:dyDescent="0.3">
      <c r="B7">
        <v>4</v>
      </c>
      <c r="C7" t="s">
        <v>292</v>
      </c>
      <c r="D7">
        <v>323</v>
      </c>
      <c r="E7">
        <v>68728.67</v>
      </c>
      <c r="F7">
        <v>72548.22</v>
      </c>
      <c r="G7">
        <v>1.58</v>
      </c>
    </row>
    <row r="8" spans="2:7" x14ac:dyDescent="0.3">
      <c r="B8">
        <v>5</v>
      </c>
      <c r="C8" t="s">
        <v>291</v>
      </c>
      <c r="D8">
        <v>115.63</v>
      </c>
      <c r="E8">
        <v>20265.3</v>
      </c>
      <c r="F8">
        <v>13533.13</v>
      </c>
      <c r="G8">
        <v>1.1000000000000001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6697B-CFD7-47F0-A908-5CC59701B7DD}">
  <dimension ref="B2:L30"/>
  <sheetViews>
    <sheetView showGridLines="0" zoomScaleNormal="100" workbookViewId="0">
      <selection activeCell="G7" sqref="G7"/>
    </sheetView>
  </sheetViews>
  <sheetFormatPr defaultRowHeight="14.4" x14ac:dyDescent="0.3"/>
  <cols>
    <col min="1" max="1" width="2.33203125" customWidth="1"/>
    <col min="3" max="3" width="13.5546875" customWidth="1"/>
  </cols>
  <sheetData>
    <row r="2" spans="2:12" x14ac:dyDescent="0.3">
      <c r="B2" s="148" t="s">
        <v>358</v>
      </c>
      <c r="C2" s="148"/>
      <c r="D2" s="148"/>
      <c r="E2" s="148"/>
      <c r="F2" s="148"/>
    </row>
    <row r="4" spans="2:12" x14ac:dyDescent="0.3">
      <c r="B4" s="151" t="s">
        <v>190</v>
      </c>
      <c r="C4" s="150" t="s">
        <v>357</v>
      </c>
    </row>
    <row r="5" spans="2:12" x14ac:dyDescent="0.3">
      <c r="B5" s="19">
        <v>2000</v>
      </c>
      <c r="C5" s="149">
        <v>-0.14649999999999999</v>
      </c>
      <c r="E5" t="s">
        <v>356</v>
      </c>
      <c r="G5" s="5">
        <f>AVERAGE(C5:C29)</f>
        <v>0.15334799999999998</v>
      </c>
      <c r="L5">
        <v>100</v>
      </c>
    </row>
    <row r="6" spans="2:12" x14ac:dyDescent="0.3">
      <c r="B6" s="19">
        <v>2001</v>
      </c>
      <c r="C6" s="149">
        <v>-0.1618</v>
      </c>
      <c r="E6" t="s">
        <v>355</v>
      </c>
      <c r="G6" s="58">
        <v>1.2699999999999999E-2</v>
      </c>
    </row>
    <row r="7" spans="2:12" x14ac:dyDescent="0.3">
      <c r="B7" s="19">
        <v>2002</v>
      </c>
      <c r="C7" s="149">
        <v>3.2500000000000001E-2</v>
      </c>
      <c r="E7" s="2" t="s">
        <v>354</v>
      </c>
      <c r="F7" s="2"/>
      <c r="G7" s="16">
        <f>SUM(G5:G6)</f>
        <v>0.16604799999999997</v>
      </c>
    </row>
    <row r="8" spans="2:12" x14ac:dyDescent="0.3">
      <c r="B8" s="19">
        <v>2003</v>
      </c>
      <c r="C8" s="149">
        <v>0.71900000000000008</v>
      </c>
    </row>
    <row r="9" spans="2:12" x14ac:dyDescent="0.3">
      <c r="B9" s="19">
        <v>2004</v>
      </c>
      <c r="C9" s="149">
        <v>0.10679999999999999</v>
      </c>
    </row>
    <row r="10" spans="2:12" x14ac:dyDescent="0.3">
      <c r="B10" s="19">
        <v>2005</v>
      </c>
      <c r="C10" s="149">
        <v>0.36340000000000006</v>
      </c>
    </row>
    <row r="11" spans="2:12" x14ac:dyDescent="0.3">
      <c r="B11" s="19">
        <v>2006</v>
      </c>
      <c r="C11" s="149">
        <v>0.39829999999999999</v>
      </c>
    </row>
    <row r="12" spans="2:12" x14ac:dyDescent="0.3">
      <c r="B12" s="19">
        <v>2007</v>
      </c>
      <c r="C12" s="149">
        <v>0.54770000000000008</v>
      </c>
    </row>
    <row r="13" spans="2:12" x14ac:dyDescent="0.3">
      <c r="B13" s="19">
        <v>2008</v>
      </c>
      <c r="C13" s="149">
        <v>-0.51790000000000003</v>
      </c>
    </row>
    <row r="14" spans="2:12" x14ac:dyDescent="0.3">
      <c r="B14" s="19">
        <v>2009</v>
      </c>
      <c r="C14" s="149">
        <v>0.75760000000000005</v>
      </c>
    </row>
    <row r="15" spans="2:12" x14ac:dyDescent="0.3">
      <c r="B15" s="19">
        <v>2010</v>
      </c>
      <c r="C15" s="149">
        <v>0.17949999999999999</v>
      </c>
    </row>
    <row r="16" spans="2:12" x14ac:dyDescent="0.3">
      <c r="B16" s="19">
        <v>2011</v>
      </c>
      <c r="C16" s="149">
        <v>-0.2462</v>
      </c>
    </row>
    <row r="17" spans="2:3" x14ac:dyDescent="0.3">
      <c r="B17" s="19">
        <v>2012</v>
      </c>
      <c r="C17" s="149">
        <v>0.27699999999999997</v>
      </c>
    </row>
    <row r="18" spans="2:3" x14ac:dyDescent="0.3">
      <c r="B18" s="19">
        <v>2013</v>
      </c>
      <c r="C18" s="149">
        <v>6.7599999999999993E-2</v>
      </c>
    </row>
    <row r="19" spans="2:3" x14ac:dyDescent="0.3">
      <c r="B19" s="19">
        <v>2014</v>
      </c>
      <c r="C19" s="149">
        <v>0.31390000000000001</v>
      </c>
    </row>
    <row r="20" spans="2:3" x14ac:dyDescent="0.3">
      <c r="B20" s="19">
        <v>2015</v>
      </c>
      <c r="C20" s="149">
        <v>-4.0599999999999997E-2</v>
      </c>
    </row>
    <row r="21" spans="2:3" x14ac:dyDescent="0.3">
      <c r="B21" s="19">
        <v>2016</v>
      </c>
      <c r="C21" s="149">
        <v>3.0099999999999998E-2</v>
      </c>
    </row>
    <row r="22" spans="2:3" x14ac:dyDescent="0.3">
      <c r="B22" s="19">
        <v>2017</v>
      </c>
      <c r="C22" s="149">
        <v>0.28649999999999998</v>
      </c>
    </row>
    <row r="23" spans="2:3" x14ac:dyDescent="0.3">
      <c r="B23" s="19">
        <v>2018</v>
      </c>
      <c r="C23" s="149">
        <v>3.15E-2</v>
      </c>
    </row>
    <row r="24" spans="2:3" x14ac:dyDescent="0.3">
      <c r="B24" s="19">
        <v>2019</v>
      </c>
      <c r="C24" s="149">
        <v>0.1202</v>
      </c>
    </row>
    <row r="25" spans="2:3" x14ac:dyDescent="0.3">
      <c r="B25" s="19">
        <v>2020</v>
      </c>
      <c r="C25" s="149">
        <v>0.14899999999999999</v>
      </c>
    </row>
    <row r="26" spans="2:3" x14ac:dyDescent="0.3">
      <c r="B26" s="19">
        <v>2021</v>
      </c>
      <c r="C26" s="149">
        <v>0.2412</v>
      </c>
    </row>
    <row r="27" spans="2:3" x14ac:dyDescent="0.3">
      <c r="B27" s="19">
        <v>2022</v>
      </c>
      <c r="C27" s="149">
        <v>4.3200000000000002E-2</v>
      </c>
    </row>
    <row r="28" spans="2:3" x14ac:dyDescent="0.3">
      <c r="B28" s="19">
        <v>2023</v>
      </c>
      <c r="C28" s="149">
        <v>0.19420000000000001</v>
      </c>
    </row>
    <row r="29" spans="2:3" x14ac:dyDescent="0.3">
      <c r="B29" s="19">
        <v>2024</v>
      </c>
      <c r="C29" s="149">
        <v>8.7499999999999994E-2</v>
      </c>
    </row>
    <row r="30" spans="2:3" x14ac:dyDescent="0.3">
      <c r="B30" s="19">
        <v>2025</v>
      </c>
    </row>
  </sheetData>
  <mergeCells count="1">
    <mergeCell ref="B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C3A2-7140-4E74-A7E7-C39BE4027FC1}">
  <sheetPr>
    <tabColor rgb="FF00B050"/>
  </sheetPr>
  <dimension ref="A2:N100"/>
  <sheetViews>
    <sheetView showGridLines="0" topLeftCell="C6" zoomScaleNormal="100" workbookViewId="0">
      <selection activeCell="D42" sqref="D42"/>
    </sheetView>
  </sheetViews>
  <sheetFormatPr defaultRowHeight="14.4" x14ac:dyDescent="0.3"/>
  <cols>
    <col min="1" max="1" width="3.6640625" customWidth="1"/>
    <col min="2" max="2" width="38.88671875" customWidth="1"/>
    <col min="3" max="3" width="16" customWidth="1"/>
    <col min="4" max="4" width="14.33203125" customWidth="1"/>
    <col min="5" max="6" width="14.44140625" bestFit="1" customWidth="1"/>
    <col min="7" max="7" width="15.88671875" customWidth="1"/>
    <col min="8" max="8" width="16.44140625" customWidth="1"/>
    <col min="9" max="10" width="15.33203125" bestFit="1" customWidth="1"/>
    <col min="11" max="11" width="14.44140625" bestFit="1" customWidth="1"/>
    <col min="12" max="12" width="15.33203125" bestFit="1" customWidth="1"/>
    <col min="13" max="13" width="15.109375" customWidth="1"/>
  </cols>
  <sheetData>
    <row r="2" spans="1:13" x14ac:dyDescent="0.3">
      <c r="B2" s="22" t="str">
        <f xml:space="preserve"> "HISTORICAL FINANCIAL STATEMENT = " &amp; 'Data Sheet'!B1</f>
        <v>HISTORICAL FINANCIAL STATEMENT = RELIANCE INDUSTRIES LTD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x14ac:dyDescent="0.3">
      <c r="B3" s="22" t="s">
        <v>81</v>
      </c>
      <c r="C3" s="23">
        <f>'Data Sheet'!B16</f>
        <v>42094</v>
      </c>
      <c r="D3" s="23">
        <f>'Data Sheet'!C16</f>
        <v>42460</v>
      </c>
      <c r="E3" s="23">
        <f>'Data Sheet'!D16</f>
        <v>42825</v>
      </c>
      <c r="F3" s="23">
        <f>'Data Sheet'!E16</f>
        <v>43190</v>
      </c>
      <c r="G3" s="23">
        <f>'Data Sheet'!F16</f>
        <v>43555</v>
      </c>
      <c r="H3" s="23">
        <f>'Data Sheet'!G16</f>
        <v>43921</v>
      </c>
      <c r="I3" s="23">
        <f>'Data Sheet'!H16</f>
        <v>44286</v>
      </c>
      <c r="J3" s="23">
        <f>'Data Sheet'!I16</f>
        <v>44651</v>
      </c>
      <c r="K3" s="23">
        <f>'Data Sheet'!J16</f>
        <v>45016</v>
      </c>
      <c r="L3" s="23">
        <f>'Data Sheet'!K16</f>
        <v>45382</v>
      </c>
      <c r="M3" s="24" t="s">
        <v>82</v>
      </c>
    </row>
    <row r="4" spans="1:13" x14ac:dyDescent="0.3">
      <c r="A4" s="31" t="s">
        <v>84</v>
      </c>
      <c r="B4" s="31" t="s">
        <v>83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</row>
    <row r="5" spans="1:13" s="34" customFormat="1" x14ac:dyDescent="0.3">
      <c r="A5" s="33"/>
      <c r="B5" s="33"/>
    </row>
    <row r="6" spans="1:13" x14ac:dyDescent="0.3">
      <c r="B6" t="s">
        <v>6</v>
      </c>
      <c r="C6" s="40">
        <f>IFERROR('Data Sheet'!B17,0)</f>
        <v>374372</v>
      </c>
      <c r="D6" s="40">
        <f>IFERROR('Data Sheet'!C17,0)</f>
        <v>272583</v>
      </c>
      <c r="E6" s="40">
        <f>IFERROR('Data Sheet'!D17,0)</f>
        <v>303954</v>
      </c>
      <c r="F6" s="40">
        <f>IFERROR('Data Sheet'!E17,0)</f>
        <v>390823</v>
      </c>
      <c r="G6" s="40">
        <f>IFERROR('Data Sheet'!F17,0)</f>
        <v>568337</v>
      </c>
      <c r="H6" s="40">
        <f>IFERROR('Data Sheet'!G17,0)</f>
        <v>596679</v>
      </c>
      <c r="I6" s="40">
        <f>IFERROR('Data Sheet'!H17,0)</f>
        <v>466307</v>
      </c>
      <c r="J6" s="40">
        <f>IFERROR('Data Sheet'!I17,0)</f>
        <v>694673</v>
      </c>
      <c r="K6" s="40">
        <f>IFERROR('Data Sheet'!J17,0)</f>
        <v>876396</v>
      </c>
      <c r="L6" s="40">
        <f>IFERROR('Data Sheet'!K17,0)</f>
        <v>899041</v>
      </c>
      <c r="M6" s="40">
        <f>IFERROR(SUM('Data Sheet'!H42:K42),0)</f>
        <v>939838</v>
      </c>
    </row>
    <row r="7" spans="1:13" x14ac:dyDescent="0.3">
      <c r="B7" s="25" t="s">
        <v>85</v>
      </c>
      <c r="C7" s="25" t="s">
        <v>86</v>
      </c>
      <c r="D7" s="26">
        <f>D6/C6-1</f>
        <v>-0.27189266291282466</v>
      </c>
      <c r="E7" s="26">
        <f t="shared" ref="E7:M7" si="0">E6/D6-1</f>
        <v>0.11508788148930793</v>
      </c>
      <c r="F7" s="26">
        <f t="shared" si="0"/>
        <v>0.28579653500200686</v>
      </c>
      <c r="G7" s="26">
        <f t="shared" si="0"/>
        <v>0.45420561225925793</v>
      </c>
      <c r="H7" s="26">
        <f t="shared" si="0"/>
        <v>4.9868299969912266E-2</v>
      </c>
      <c r="I7" s="26">
        <f t="shared" si="0"/>
        <v>-0.21849604226057895</v>
      </c>
      <c r="J7" s="26">
        <f t="shared" si="0"/>
        <v>0.48973315862725619</v>
      </c>
      <c r="K7" s="26">
        <f t="shared" si="0"/>
        <v>0.26159502384575184</v>
      </c>
      <c r="L7" s="26">
        <f t="shared" si="0"/>
        <v>2.5838776078393799E-2</v>
      </c>
      <c r="M7" s="26">
        <f t="shared" si="0"/>
        <v>4.5378353156307671E-2</v>
      </c>
    </row>
    <row r="8" spans="1:13" x14ac:dyDescent="0.3">
      <c r="B8" s="25"/>
      <c r="C8" s="25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3" x14ac:dyDescent="0.3">
      <c r="B9" t="s">
        <v>87</v>
      </c>
      <c r="C9" s="28">
        <f>IFERROR(SUM('Data Sheet'!B18,'Data Sheet'!B20,'Data Sheet'!B21,'Data Sheet'!B22)-1*'Data Sheet'!B19,0)</f>
        <v>322483</v>
      </c>
      <c r="D9" s="28">
        <f>IFERROR(SUM('Data Sheet'!C18,'Data Sheet'!C20,'Data Sheet'!C21,'Data Sheet'!C22)-1*'Data Sheet'!C19,0)</f>
        <v>215234</v>
      </c>
      <c r="E9" s="28">
        <f>IFERROR(SUM('Data Sheet'!D18,'Data Sheet'!D20,'Data Sheet'!D21,'Data Sheet'!D22)-1*'Data Sheet'!D19,0)</f>
        <v>241848</v>
      </c>
      <c r="F9" s="28">
        <f>IFERROR(SUM('Data Sheet'!E18,'Data Sheet'!E20,'Data Sheet'!E21,'Data Sheet'!E22)-1*'Data Sheet'!E19,0)</f>
        <v>301249</v>
      </c>
      <c r="G9" s="28">
        <f>IFERROR(SUM('Data Sheet'!F18,'Data Sheet'!F20,'Data Sheet'!F21,'Data Sheet'!F22)-1*'Data Sheet'!F19,0)</f>
        <v>436202</v>
      </c>
      <c r="H9" s="28">
        <f>IFERROR(SUM('Data Sheet'!G18,'Data Sheet'!G20,'Data Sheet'!G21,'Data Sheet'!G22)-1*'Data Sheet'!G19,0)</f>
        <v>445847</v>
      </c>
      <c r="I9" s="28">
        <f>IFERROR(SUM('Data Sheet'!H18,'Data Sheet'!H20,'Data Sheet'!H21,'Data Sheet'!H22)-1*'Data Sheet'!H19,0)</f>
        <v>328419</v>
      </c>
      <c r="J9" s="28">
        <f>IFERROR(SUM('Data Sheet'!I18,'Data Sheet'!I20,'Data Sheet'!I21,'Data Sheet'!I22)-1*'Data Sheet'!I19,0)</f>
        <v>521826</v>
      </c>
      <c r="K9" s="28">
        <f>IFERROR(SUM('Data Sheet'!J18,'Data Sheet'!J20,'Data Sheet'!J21,'Data Sheet'!J22)-1*'Data Sheet'!J19,0)</f>
        <v>658075</v>
      </c>
      <c r="L9" s="28">
        <f>IFERROR(SUM('Data Sheet'!K18,'Data Sheet'!K20,'Data Sheet'!K21,'Data Sheet'!K22)-1*'Data Sheet'!K19,0)</f>
        <v>651435</v>
      </c>
      <c r="M9" s="28">
        <f>IFERROR(SUM('Data Sheet'!H43:K43),0)</f>
        <v>775710</v>
      </c>
    </row>
    <row r="10" spans="1:13" x14ac:dyDescent="0.3">
      <c r="B10" s="25" t="s">
        <v>88</v>
      </c>
      <c r="C10" s="26">
        <f>C9/C6</f>
        <v>0.86139721987755491</v>
      </c>
      <c r="D10" s="26">
        <f t="shared" ref="D10:M10" si="1">D9/D6</f>
        <v>0.789609036513649</v>
      </c>
      <c r="E10" s="26">
        <f t="shared" si="1"/>
        <v>0.79567302947156482</v>
      </c>
      <c r="F10" s="26">
        <f t="shared" si="1"/>
        <v>0.77080673348293216</v>
      </c>
      <c r="G10" s="26">
        <f t="shared" si="1"/>
        <v>0.76750589878892272</v>
      </c>
      <c r="H10" s="26">
        <f t="shared" si="1"/>
        <v>0.7472141637295765</v>
      </c>
      <c r="I10" s="26">
        <f t="shared" si="1"/>
        <v>0.70429781238540279</v>
      </c>
      <c r="J10" s="26">
        <f t="shared" si="1"/>
        <v>0.75118221091074511</v>
      </c>
      <c r="K10" s="26">
        <f t="shared" si="1"/>
        <v>0.75088772655283686</v>
      </c>
      <c r="L10" s="26">
        <f t="shared" si="1"/>
        <v>0.72458875624137276</v>
      </c>
      <c r="M10" s="26">
        <f t="shared" si="1"/>
        <v>0.82536564812233593</v>
      </c>
    </row>
    <row r="11" spans="1:13" ht="15" thickBot="1" x14ac:dyDescent="0.35">
      <c r="B11" s="28"/>
    </row>
    <row r="12" spans="1:13" ht="15" thickBot="1" x14ac:dyDescent="0.35">
      <c r="B12" s="43" t="s">
        <v>89</v>
      </c>
      <c r="C12" s="44">
        <f>C6-C9</f>
        <v>51889</v>
      </c>
      <c r="D12" s="44">
        <f t="shared" ref="D12:M12" si="2">D6-D9</f>
        <v>57349</v>
      </c>
      <c r="E12" s="44">
        <f t="shared" si="2"/>
        <v>62106</v>
      </c>
      <c r="F12" s="44">
        <f t="shared" si="2"/>
        <v>89574</v>
      </c>
      <c r="G12" s="44">
        <f t="shared" si="2"/>
        <v>132135</v>
      </c>
      <c r="H12" s="44">
        <f t="shared" si="2"/>
        <v>150832</v>
      </c>
      <c r="I12" s="44">
        <f t="shared" si="2"/>
        <v>137888</v>
      </c>
      <c r="J12" s="44">
        <f t="shared" si="2"/>
        <v>172847</v>
      </c>
      <c r="K12" s="44">
        <f t="shared" si="2"/>
        <v>218321</v>
      </c>
      <c r="L12" s="44">
        <f t="shared" si="2"/>
        <v>247606</v>
      </c>
      <c r="M12" s="44">
        <f t="shared" si="2"/>
        <v>164128</v>
      </c>
    </row>
    <row r="13" spans="1:13" x14ac:dyDescent="0.3">
      <c r="B13" s="29" t="s">
        <v>98</v>
      </c>
      <c r="C13" s="30">
        <f>C12/C6</f>
        <v>0.13860278012244506</v>
      </c>
      <c r="D13" s="30">
        <f t="shared" ref="D13:M13" si="3">D12/D6</f>
        <v>0.21039096348635095</v>
      </c>
      <c r="E13" s="30">
        <f t="shared" si="3"/>
        <v>0.20432697052843524</v>
      </c>
      <c r="F13" s="30">
        <f t="shared" si="3"/>
        <v>0.22919326651706784</v>
      </c>
      <c r="G13" s="30">
        <f t="shared" si="3"/>
        <v>0.23249410121107722</v>
      </c>
      <c r="H13" s="30">
        <f t="shared" si="3"/>
        <v>0.25278583627042345</v>
      </c>
      <c r="I13" s="30">
        <f t="shared" si="3"/>
        <v>0.29570218761459727</v>
      </c>
      <c r="J13" s="30">
        <f t="shared" si="3"/>
        <v>0.24881778908925495</v>
      </c>
      <c r="K13" s="30">
        <f t="shared" si="3"/>
        <v>0.24911227344716316</v>
      </c>
      <c r="L13" s="30">
        <f t="shared" si="3"/>
        <v>0.27541124375862724</v>
      </c>
      <c r="M13" s="30">
        <f t="shared" si="3"/>
        <v>0.17463435187766402</v>
      </c>
    </row>
    <row r="15" spans="1:13" x14ac:dyDescent="0.3">
      <c r="B15" t="s">
        <v>90</v>
      </c>
      <c r="C15" s="35">
        <f>IFERROR(SUM('Data Sheet'!B23,'Data Sheet'!B24),0)</f>
        <v>14440</v>
      </c>
      <c r="D15" s="35">
        <f>IFERROR(SUM('Data Sheet'!C23,'Data Sheet'!C24),0)</f>
        <v>15568</v>
      </c>
      <c r="E15" s="35">
        <f>IFERROR(SUM('Data Sheet'!D23,'Data Sheet'!D24),0)</f>
        <v>15799</v>
      </c>
      <c r="F15" s="35">
        <f>IFERROR(SUM('Data Sheet'!E23,'Data Sheet'!E24),0)</f>
        <v>25259</v>
      </c>
      <c r="G15" s="35">
        <f>IFERROR(SUM('Data Sheet'!F23,'Data Sheet'!F24),0)</f>
        <v>47885</v>
      </c>
      <c r="H15" s="35">
        <f>IFERROR(SUM('Data Sheet'!G23,'Data Sheet'!G24),0)</f>
        <v>61566</v>
      </c>
      <c r="I15" s="35">
        <f>IFERROR(SUM('Data Sheet'!H23,'Data Sheet'!H24),0)</f>
        <v>57098</v>
      </c>
      <c r="J15" s="35">
        <f>IFERROR(SUM('Data Sheet'!I23,'Data Sheet'!I24),0)</f>
        <v>64266</v>
      </c>
      <c r="K15" s="35">
        <f>IFERROR(SUM('Data Sheet'!J23,'Data Sheet'!J24),0)</f>
        <v>76003</v>
      </c>
      <c r="L15" s="35">
        <f>IFERROR(SUM('Data Sheet'!K23,'Data Sheet'!K24),0)</f>
        <v>85108</v>
      </c>
    </row>
    <row r="16" spans="1:13" x14ac:dyDescent="0.3">
      <c r="B16" s="25" t="s">
        <v>91</v>
      </c>
      <c r="C16" s="26">
        <f>C15/C6</f>
        <v>3.857126067120404E-2</v>
      </c>
      <c r="D16" s="26">
        <f t="shared" ref="D16:M16" si="4">D15/D6</f>
        <v>5.7112879379858615E-2</v>
      </c>
      <c r="E16" s="26">
        <f t="shared" si="4"/>
        <v>5.1978259868269538E-2</v>
      </c>
      <c r="F16" s="26">
        <f t="shared" si="4"/>
        <v>6.4630280203570409E-2</v>
      </c>
      <c r="G16" s="26">
        <f t="shared" si="4"/>
        <v>8.425458838681979E-2</v>
      </c>
      <c r="H16" s="26">
        <f t="shared" si="4"/>
        <v>0.10318110742962296</v>
      </c>
      <c r="I16" s="26">
        <f t="shared" si="4"/>
        <v>0.12244722897147159</v>
      </c>
      <c r="J16" s="26">
        <f t="shared" si="4"/>
        <v>9.2512592255636822E-2</v>
      </c>
      <c r="K16" s="26">
        <f t="shared" si="4"/>
        <v>8.6722212333237486E-2</v>
      </c>
      <c r="L16" s="26">
        <f t="shared" si="4"/>
        <v>9.4665315597397673E-2</v>
      </c>
      <c r="M16" s="26">
        <f t="shared" si="4"/>
        <v>0</v>
      </c>
    </row>
    <row r="17" spans="2:13" ht="15" thickBot="1" x14ac:dyDescent="0.35"/>
    <row r="18" spans="2:13" ht="15" thickBot="1" x14ac:dyDescent="0.35">
      <c r="B18" s="43" t="s">
        <v>92</v>
      </c>
      <c r="C18" s="44">
        <f>C12-C15</f>
        <v>37449</v>
      </c>
      <c r="D18" s="44">
        <f t="shared" ref="D18:M18" si="5">D12-D15</f>
        <v>41781</v>
      </c>
      <c r="E18" s="44">
        <f t="shared" si="5"/>
        <v>46307</v>
      </c>
      <c r="F18" s="44">
        <f t="shared" si="5"/>
        <v>64315</v>
      </c>
      <c r="G18" s="44">
        <f t="shared" si="5"/>
        <v>84250</v>
      </c>
      <c r="H18" s="44">
        <f t="shared" si="5"/>
        <v>89266</v>
      </c>
      <c r="I18" s="44">
        <f t="shared" si="5"/>
        <v>80790</v>
      </c>
      <c r="J18" s="44">
        <f t="shared" si="5"/>
        <v>108581</v>
      </c>
      <c r="K18" s="44">
        <f t="shared" si="5"/>
        <v>142318</v>
      </c>
      <c r="L18" s="44">
        <f t="shared" si="5"/>
        <v>162498</v>
      </c>
      <c r="M18" s="44">
        <f t="shared" si="5"/>
        <v>164128</v>
      </c>
    </row>
    <row r="19" spans="2:13" x14ac:dyDescent="0.3">
      <c r="B19" s="25" t="s">
        <v>93</v>
      </c>
      <c r="C19" s="26">
        <f>C18/C6</f>
        <v>0.10003151945124102</v>
      </c>
      <c r="D19" s="26">
        <f t="shared" ref="D19:J19" si="6">D18/D6</f>
        <v>0.15327808410649232</v>
      </c>
      <c r="E19" s="26">
        <f t="shared" si="6"/>
        <v>0.15234871066016567</v>
      </c>
      <c r="F19" s="26">
        <f t="shared" si="6"/>
        <v>0.16456298631349742</v>
      </c>
      <c r="G19" s="26">
        <f t="shared" si="6"/>
        <v>0.14823951282425743</v>
      </c>
      <c r="H19" s="26">
        <f t="shared" si="6"/>
        <v>0.1496047288408005</v>
      </c>
      <c r="I19" s="26">
        <f t="shared" si="6"/>
        <v>0.17325495864312568</v>
      </c>
      <c r="J19" s="26">
        <f t="shared" si="6"/>
        <v>0.15630519683361813</v>
      </c>
      <c r="K19" s="26">
        <f>K18/K6</f>
        <v>0.16239006111392568</v>
      </c>
      <c r="L19" s="26">
        <f>L18/L6</f>
        <v>0.18074592816122959</v>
      </c>
      <c r="M19" s="26">
        <f>M18/M6</f>
        <v>0.17463435187766402</v>
      </c>
    </row>
    <row r="21" spans="2:13" x14ac:dyDescent="0.3">
      <c r="B21" s="35" t="s">
        <v>94</v>
      </c>
      <c r="C21" s="35">
        <f>IFERROR('Data Sheet'!B27,0)</f>
        <v>3316</v>
      </c>
      <c r="D21" s="35">
        <f>IFERROR('Data Sheet'!C27,0)</f>
        <v>3691</v>
      </c>
      <c r="E21" s="35">
        <f>IFERROR('Data Sheet'!D27,0)</f>
        <v>3849</v>
      </c>
      <c r="F21" s="35">
        <f>IFERROR('Data Sheet'!E27,0)</f>
        <v>8052</v>
      </c>
      <c r="G21" s="35">
        <f>IFERROR('Data Sheet'!F27,0)</f>
        <v>16495</v>
      </c>
      <c r="H21" s="35">
        <f>IFERROR('Data Sheet'!G27,0)</f>
        <v>22027</v>
      </c>
      <c r="I21" s="35">
        <f>IFERROR('Data Sheet'!H27,0)</f>
        <v>21189</v>
      </c>
      <c r="J21" s="35">
        <f>IFERROR('Data Sheet'!I27,0)</f>
        <v>14584</v>
      </c>
      <c r="K21" s="35">
        <f>IFERROR('Data Sheet'!J27,0)</f>
        <v>19571</v>
      </c>
      <c r="L21" s="35">
        <f>IFERROR('Data Sheet'!K27,0)</f>
        <v>23118</v>
      </c>
      <c r="M21" s="35">
        <f>IFERROR(SUM('Data Sheet'!H46:K46),0)</f>
        <v>23875</v>
      </c>
    </row>
    <row r="22" spans="2:13" x14ac:dyDescent="0.3">
      <c r="B22" s="25" t="s">
        <v>95</v>
      </c>
      <c r="C22" s="26">
        <f>C21/C6</f>
        <v>8.8575000267113995E-3</v>
      </c>
      <c r="D22" s="26">
        <f t="shared" ref="D22:M22" si="7">D21/D6</f>
        <v>1.3540829765612676E-2</v>
      </c>
      <c r="E22" s="26">
        <f t="shared" si="7"/>
        <v>1.2663100337551077E-2</v>
      </c>
      <c r="F22" s="26">
        <f t="shared" si="7"/>
        <v>2.0602676915125261E-2</v>
      </c>
      <c r="G22" s="26">
        <f t="shared" si="7"/>
        <v>2.902327316363355E-2</v>
      </c>
      <c r="H22" s="26">
        <f t="shared" si="7"/>
        <v>3.6915996708447925E-2</v>
      </c>
      <c r="I22" s="26">
        <f t="shared" si="7"/>
        <v>4.5440021273538675E-2</v>
      </c>
      <c r="J22" s="26">
        <f t="shared" si="7"/>
        <v>2.0994050438119805E-2</v>
      </c>
      <c r="K22" s="26">
        <f t="shared" si="7"/>
        <v>2.2331229261657971E-2</v>
      </c>
      <c r="L22" s="26">
        <f t="shared" si="7"/>
        <v>2.5714066433010285E-2</v>
      </c>
      <c r="M22" s="26">
        <f t="shared" si="7"/>
        <v>2.540331418818988E-2</v>
      </c>
    </row>
    <row r="24" spans="2:13" x14ac:dyDescent="0.3">
      <c r="B24" s="41" t="s">
        <v>96</v>
      </c>
      <c r="C24" s="42">
        <f>IFERROR('Data Sheet'!B26,0)</f>
        <v>11547</v>
      </c>
      <c r="D24" s="42">
        <f>IFERROR('Data Sheet'!C26,0)</f>
        <v>11565</v>
      </c>
      <c r="E24" s="42">
        <f>IFERROR('Data Sheet'!D26,0)</f>
        <v>11646</v>
      </c>
      <c r="F24" s="42">
        <f>IFERROR('Data Sheet'!E26,0)</f>
        <v>16706</v>
      </c>
      <c r="G24" s="42">
        <f>IFERROR('Data Sheet'!F26,0)</f>
        <v>20934</v>
      </c>
      <c r="H24" s="42">
        <f>IFERROR('Data Sheet'!G26,0)</f>
        <v>22203</v>
      </c>
      <c r="I24" s="42">
        <f>IFERROR('Data Sheet'!H26,0)</f>
        <v>26572</v>
      </c>
      <c r="J24" s="42">
        <f>IFERROR('Data Sheet'!I26,0)</f>
        <v>29782</v>
      </c>
      <c r="K24" s="42">
        <f>IFERROR('Data Sheet'!J26,0)</f>
        <v>40303</v>
      </c>
      <c r="L24" s="42">
        <f>IFERROR('Data Sheet'!K26,0)</f>
        <v>50832</v>
      </c>
      <c r="M24" s="42">
        <f>IFERROR(SUM('Data Sheet'!H45:K45),0)</f>
        <v>53226</v>
      </c>
    </row>
    <row r="25" spans="2:13" x14ac:dyDescent="0.3">
      <c r="B25" s="29" t="s">
        <v>97</v>
      </c>
      <c r="C25" s="30">
        <f>C24/C6</f>
        <v>3.0843652837284841E-2</v>
      </c>
      <c r="D25" s="30">
        <f t="shared" ref="D25:F25" si="8">D24/D6</f>
        <v>4.242744411793839E-2</v>
      </c>
      <c r="E25" s="30">
        <f t="shared" si="8"/>
        <v>3.8315008192029057E-2</v>
      </c>
      <c r="F25" s="30">
        <f t="shared" si="8"/>
        <v>4.2745693063100179E-2</v>
      </c>
      <c r="G25" s="30">
        <f t="shared" ref="G25" si="9">G24/G6</f>
        <v>3.6833779958017863E-2</v>
      </c>
      <c r="H25" s="30">
        <f t="shared" ref="H25" si="10">H24/H6</f>
        <v>3.721096267842508E-2</v>
      </c>
      <c r="I25" s="30">
        <f t="shared" ref="I25" si="11">I24/I6</f>
        <v>5.6983918319905125E-2</v>
      </c>
      <c r="J25" s="30">
        <f t="shared" ref="J25" si="12">J24/J6</f>
        <v>4.2871969977241089E-2</v>
      </c>
      <c r="K25" s="30">
        <f t="shared" ref="K25" si="13">K24/K6</f>
        <v>4.5987202132369384E-2</v>
      </c>
      <c r="L25" s="30">
        <f t="shared" ref="L25" si="14">L24/L6</f>
        <v>5.6540246774062587E-2</v>
      </c>
      <c r="M25" s="30">
        <f t="shared" ref="M25" si="15">M24/M6</f>
        <v>5.6633164438977784E-2</v>
      </c>
    </row>
    <row r="26" spans="2:13" ht="15" thickBot="1" x14ac:dyDescent="0.35"/>
    <row r="27" spans="2:13" ht="15" thickBot="1" x14ac:dyDescent="0.35">
      <c r="B27" s="45" t="s">
        <v>99</v>
      </c>
      <c r="C27" s="46">
        <f>IFERROR(C18-SUM(C21,C24),0)</f>
        <v>22586</v>
      </c>
      <c r="D27" s="46">
        <f t="shared" ref="D27:M27" si="16">IFERROR(D18-SUM(D21,D24),0)</f>
        <v>26525</v>
      </c>
      <c r="E27" s="46">
        <f t="shared" si="16"/>
        <v>30812</v>
      </c>
      <c r="F27" s="46">
        <f t="shared" si="16"/>
        <v>39557</v>
      </c>
      <c r="G27" s="46">
        <f t="shared" si="16"/>
        <v>46821</v>
      </c>
      <c r="H27" s="46">
        <f t="shared" si="16"/>
        <v>45036</v>
      </c>
      <c r="I27" s="46">
        <f t="shared" si="16"/>
        <v>33029</v>
      </c>
      <c r="J27" s="46">
        <f t="shared" si="16"/>
        <v>64215</v>
      </c>
      <c r="K27" s="46">
        <f t="shared" si="16"/>
        <v>82444</v>
      </c>
      <c r="L27" s="46">
        <f t="shared" si="16"/>
        <v>88548</v>
      </c>
      <c r="M27" s="46">
        <f t="shared" si="16"/>
        <v>87027</v>
      </c>
    </row>
    <row r="28" spans="2:13" x14ac:dyDescent="0.3">
      <c r="B28" s="29" t="s">
        <v>100</v>
      </c>
      <c r="C28" s="30">
        <f>C27/C6</f>
        <v>6.033036658724477E-2</v>
      </c>
      <c r="D28" s="30">
        <f t="shared" ref="D28:M28" si="17">D27/D6</f>
        <v>9.7309810222941273E-2</v>
      </c>
      <c r="E28" s="30">
        <f t="shared" si="17"/>
        <v>0.10137060213058555</v>
      </c>
      <c r="F28" s="30">
        <f t="shared" si="17"/>
        <v>0.10121461633527198</v>
      </c>
      <c r="G28" s="30">
        <f t="shared" si="17"/>
        <v>8.238245970260602E-2</v>
      </c>
      <c r="H28" s="30">
        <f t="shared" si="17"/>
        <v>7.5477769453927493E-2</v>
      </c>
      <c r="I28" s="30">
        <f t="shared" si="17"/>
        <v>7.0831019049681865E-2</v>
      </c>
      <c r="J28" s="30">
        <f t="shared" si="17"/>
        <v>9.2439176418257218E-2</v>
      </c>
      <c r="K28" s="30">
        <f t="shared" si="17"/>
        <v>9.4071629719898311E-2</v>
      </c>
      <c r="L28" s="30">
        <f t="shared" si="17"/>
        <v>9.8491614954156703E-2</v>
      </c>
      <c r="M28" s="30">
        <f t="shared" si="17"/>
        <v>9.2597873250496357E-2</v>
      </c>
    </row>
    <row r="30" spans="2:13" x14ac:dyDescent="0.3">
      <c r="B30" s="41" t="s">
        <v>101</v>
      </c>
      <c r="C30" s="42">
        <f>IFERROR('Data Sheet'!B29,0)</f>
        <v>7474</v>
      </c>
      <c r="D30" s="42">
        <f>IFERROR('Data Sheet'!C29,0)</f>
        <v>8876</v>
      </c>
      <c r="E30" s="42">
        <f>IFERROR('Data Sheet'!D29,0)</f>
        <v>10201</v>
      </c>
      <c r="F30" s="42">
        <f>IFERROR('Data Sheet'!E29,0)</f>
        <v>13346</v>
      </c>
      <c r="G30" s="42">
        <f>IFERROR('Data Sheet'!F29,0)</f>
        <v>15390</v>
      </c>
      <c r="H30" s="42">
        <f>IFERROR('Data Sheet'!G29,0)</f>
        <v>13726</v>
      </c>
      <c r="I30" s="42">
        <f>IFERROR('Data Sheet'!H29,0)</f>
        <v>1722</v>
      </c>
      <c r="J30" s="42">
        <f>IFERROR('Data Sheet'!I29,0)</f>
        <v>15970</v>
      </c>
      <c r="K30" s="42">
        <f>IFERROR('Data Sheet'!J29,0)</f>
        <v>20376</v>
      </c>
      <c r="L30" s="42">
        <f>IFERROR('Data Sheet'!K29,0)</f>
        <v>25707</v>
      </c>
      <c r="M30" s="42">
        <f>IFERROR(SUM('Data Sheet'!H48:K48),0)</f>
        <v>25138</v>
      </c>
    </row>
    <row r="31" spans="2:13" x14ac:dyDescent="0.3">
      <c r="B31" s="29" t="s">
        <v>102</v>
      </c>
      <c r="C31" s="30">
        <f>C30/C27</f>
        <v>0.3309129549278314</v>
      </c>
      <c r="D31" s="30">
        <f t="shared" ref="D31:M31" si="18">D30/D27</f>
        <v>0.3346277097078228</v>
      </c>
      <c r="E31" s="30">
        <f t="shared" si="18"/>
        <v>0.33107230948980915</v>
      </c>
      <c r="F31" s="30">
        <f t="shared" si="18"/>
        <v>0.33738655610890611</v>
      </c>
      <c r="G31" s="30">
        <f t="shared" si="18"/>
        <v>0.32869866085730765</v>
      </c>
      <c r="H31" s="30">
        <f t="shared" si="18"/>
        <v>0.30477839950262015</v>
      </c>
      <c r="I31" s="30">
        <f t="shared" si="18"/>
        <v>5.2136001695479731E-2</v>
      </c>
      <c r="J31" s="30">
        <f t="shared" si="18"/>
        <v>0.24869578758856964</v>
      </c>
      <c r="K31" s="30">
        <f t="shared" si="18"/>
        <v>0.24714958032118772</v>
      </c>
      <c r="L31" s="30">
        <f t="shared" si="18"/>
        <v>0.2903171161403984</v>
      </c>
      <c r="M31" s="30">
        <f t="shared" si="18"/>
        <v>0.28885288473692072</v>
      </c>
    </row>
    <row r="32" spans="2:13" ht="15" thickBot="1" x14ac:dyDescent="0.35"/>
    <row r="33" spans="1:13" ht="15" thickBot="1" x14ac:dyDescent="0.35">
      <c r="B33" s="45" t="s">
        <v>103</v>
      </c>
      <c r="C33" s="46">
        <f>C27-C30</f>
        <v>15112</v>
      </c>
      <c r="D33" s="46">
        <f t="shared" ref="D33:L33" si="19">D27-D30</f>
        <v>17649</v>
      </c>
      <c r="E33" s="46">
        <f t="shared" si="19"/>
        <v>20611</v>
      </c>
      <c r="F33" s="46">
        <f t="shared" si="19"/>
        <v>26211</v>
      </c>
      <c r="G33" s="46">
        <f t="shared" si="19"/>
        <v>31431</v>
      </c>
      <c r="H33" s="46">
        <f t="shared" si="19"/>
        <v>31310</v>
      </c>
      <c r="I33" s="46">
        <f t="shared" si="19"/>
        <v>31307</v>
      </c>
      <c r="J33" s="46">
        <f t="shared" si="19"/>
        <v>48245</v>
      </c>
      <c r="K33" s="46">
        <f t="shared" si="19"/>
        <v>62068</v>
      </c>
      <c r="L33" s="46">
        <f t="shared" si="19"/>
        <v>62841</v>
      </c>
      <c r="M33" s="46">
        <f>M27-M30</f>
        <v>61889</v>
      </c>
    </row>
    <row r="34" spans="1:13" x14ac:dyDescent="0.3">
      <c r="B34" s="29" t="s">
        <v>104</v>
      </c>
      <c r="C34" s="30">
        <f>C33/C6</f>
        <v>4.0366266707980297E-2</v>
      </c>
      <c r="D34" s="30">
        <f t="shared" ref="D34:M34" si="20">D33/D6</f>
        <v>6.4747251295935546E-2</v>
      </c>
      <c r="E34" s="30">
        <f t="shared" si="20"/>
        <v>6.7809602768840016E-2</v>
      </c>
      <c r="F34" s="30">
        <f t="shared" si="20"/>
        <v>6.7066165502030331E-2</v>
      </c>
      <c r="G34" s="30">
        <f t="shared" si="20"/>
        <v>5.5303455520228313E-2</v>
      </c>
      <c r="H34" s="30">
        <f t="shared" si="20"/>
        <v>5.247377568173172E-2</v>
      </c>
      <c r="I34" s="30">
        <f t="shared" si="20"/>
        <v>6.7138172920415087E-2</v>
      </c>
      <c r="J34" s="30">
        <f t="shared" si="20"/>
        <v>6.944994263488001E-2</v>
      </c>
      <c r="K34" s="30">
        <f t="shared" si="20"/>
        <v>7.0821865914495269E-2</v>
      </c>
      <c r="L34" s="30">
        <f t="shared" si="20"/>
        <v>6.9897813336655387E-2</v>
      </c>
      <c r="M34" s="30">
        <f t="shared" si="20"/>
        <v>6.5850710441586746E-2</v>
      </c>
    </row>
    <row r="36" spans="1:13" x14ac:dyDescent="0.3">
      <c r="B36" s="41" t="s">
        <v>105</v>
      </c>
      <c r="C36" s="47">
        <f>IFERROR('Data Sheet'!B93,0)</f>
        <v>1380.56</v>
      </c>
      <c r="D36" s="47">
        <f>IFERROR('Data Sheet'!C93,0)</f>
        <v>1382.58</v>
      </c>
      <c r="E36" s="47">
        <f>IFERROR('Data Sheet'!D93,0)</f>
        <v>1387.22</v>
      </c>
      <c r="F36" s="47">
        <f>IFERROR('Data Sheet'!E93,0)</f>
        <v>1351.39</v>
      </c>
      <c r="G36" s="47">
        <f>IFERROR('Data Sheet'!F93,0)</f>
        <v>1352.26</v>
      </c>
      <c r="H36" s="47">
        <f>IFERROR('Data Sheet'!G93,0)</f>
        <v>1352.37</v>
      </c>
      <c r="I36" s="47">
        <f>IFERROR('Data Sheet'!H93,0)</f>
        <v>1267.8900000000001</v>
      </c>
      <c r="J36" s="47">
        <f>IFERROR('Data Sheet'!I93,0)</f>
        <v>1352.98</v>
      </c>
      <c r="K36" s="47">
        <f>IFERROR('Data Sheet'!J93,0)</f>
        <v>1353.12</v>
      </c>
      <c r="L36" s="47">
        <f>IFERROR('Data Sheet'!K93,0)</f>
        <v>1353.14</v>
      </c>
      <c r="M36" s="47">
        <f>IFERROR('Data Sheet'!L93,0)</f>
        <v>0</v>
      </c>
    </row>
    <row r="38" spans="1:13" x14ac:dyDescent="0.3">
      <c r="B38" s="41" t="s">
        <v>191</v>
      </c>
      <c r="C38" s="42">
        <f t="shared" ref="C38:H38" si="21">IFERROR(C33/C36,0)</f>
        <v>10.94628266790288</v>
      </c>
      <c r="D38" s="42">
        <f t="shared" si="21"/>
        <v>12.765264939461009</v>
      </c>
      <c r="E38" s="42">
        <f t="shared" si="21"/>
        <v>14.857773100157148</v>
      </c>
      <c r="F38" s="42">
        <f t="shared" si="21"/>
        <v>19.395585286260811</v>
      </c>
      <c r="G38" s="42">
        <f t="shared" si="21"/>
        <v>23.243311197550767</v>
      </c>
      <c r="H38" s="42">
        <f t="shared" si="21"/>
        <v>23.151948061551206</v>
      </c>
      <c r="I38" s="42">
        <f t="shared" ref="I38:M38" si="22">IFERROR(I33/I36,0)</f>
        <v>24.692205159753605</v>
      </c>
      <c r="J38" s="42">
        <f t="shared" si="22"/>
        <v>35.658324587207495</v>
      </c>
      <c r="K38" s="42">
        <f t="shared" si="22"/>
        <v>45.870284971029918</v>
      </c>
      <c r="L38" s="42">
        <f t="shared" si="22"/>
        <v>46.440870863325301</v>
      </c>
      <c r="M38" s="42">
        <f t="shared" si="22"/>
        <v>0</v>
      </c>
    </row>
    <row r="39" spans="1:13" x14ac:dyDescent="0.3">
      <c r="B39" s="41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</row>
    <row r="41" spans="1:13" x14ac:dyDescent="0.3">
      <c r="B41" s="41" t="s">
        <v>106</v>
      </c>
      <c r="C41" s="42">
        <f>IFERROR('Data Sheet'!B31/'historical fs'!C36,0)</f>
        <v>2.1317436402619228</v>
      </c>
      <c r="D41" s="42">
        <f>IFERROR('Data Sheet'!C31/'historical fs'!D36,0)</f>
        <v>2.2388577876144602</v>
      </c>
      <c r="E41" s="42">
        <f>IFERROR('Data Sheet'!D31/'historical fs'!E36,0)</f>
        <v>2.346347371000995</v>
      </c>
      <c r="F41" s="42">
        <f>IFERROR('Data Sheet'!E31/'historical fs'!F36,0)</f>
        <v>2.6292928022258559</v>
      </c>
      <c r="G41" s="42">
        <f>IFERROR('Data Sheet'!F31/'historical fs'!G36,0)</f>
        <v>2.8484906748702175</v>
      </c>
      <c r="H41" s="42">
        <f>IFERROR('Data Sheet'!G31/'historical fs'!H36,0)</f>
        <v>3.0467623505401633</v>
      </c>
      <c r="I41" s="42">
        <f>IFERROR('Data Sheet'!H31/'historical fs'!I36,0)</f>
        <v>3.5582739827587564</v>
      </c>
      <c r="J41" s="42">
        <f>IFERROR('Data Sheet'!I31/'historical fs'!J36,0)</f>
        <v>4.0000591287380445</v>
      </c>
      <c r="K41" s="42">
        <f>IFERROR('Data Sheet'!J31/'historical fs'!K36,0)</f>
        <v>4.5002660517914155</v>
      </c>
      <c r="L41" s="42">
        <f>IFERROR('Data Sheet'!K31/'historical fs'!L36,0)</f>
        <v>5.0002217065492109</v>
      </c>
      <c r="M41" s="42">
        <f>IFERROR('Data Sheet'!L31/'historical fs'!M36,0)</f>
        <v>0</v>
      </c>
    </row>
    <row r="43" spans="1:13" x14ac:dyDescent="0.3">
      <c r="B43" s="29" t="s">
        <v>107</v>
      </c>
      <c r="C43" s="30">
        <f t="shared" ref="C43:H43" si="23">IFERROR(C41/C38,0)</f>
        <v>0.19474589730015882</v>
      </c>
      <c r="D43" s="30">
        <f t="shared" si="23"/>
        <v>0.17538670746217916</v>
      </c>
      <c r="E43" s="30">
        <f t="shared" si="23"/>
        <v>0.15792052787346564</v>
      </c>
      <c r="F43" s="30">
        <f t="shared" si="23"/>
        <v>0.13556140551676776</v>
      </c>
      <c r="G43" s="30">
        <f t="shared" si="23"/>
        <v>0.12255098469663708</v>
      </c>
      <c r="H43" s="30">
        <f t="shared" si="23"/>
        <v>0.13159853082082401</v>
      </c>
      <c r="I43" s="30">
        <f t="shared" ref="I43:M43" si="24">IFERROR(I41/I38,0)</f>
        <v>0.14410515220238285</v>
      </c>
      <c r="J43" s="30">
        <f t="shared" si="24"/>
        <v>0.11217742771271634</v>
      </c>
      <c r="K43" s="30">
        <f t="shared" si="24"/>
        <v>9.8108526132628729E-2</v>
      </c>
      <c r="L43" s="30">
        <f t="shared" si="24"/>
        <v>0.10766856033481326</v>
      </c>
      <c r="M43" s="30">
        <f t="shared" si="24"/>
        <v>0</v>
      </c>
    </row>
    <row r="44" spans="1:13" x14ac:dyDescent="0.3">
      <c r="B44" t="s">
        <v>108</v>
      </c>
      <c r="C44" s="48">
        <f>IFERROR(1-C43,0)</f>
        <v>0.80525410269984121</v>
      </c>
      <c r="D44" s="48">
        <f t="shared" ref="D44:L44" si="25">IFERROR(1-D43,0)</f>
        <v>0.8246132925378209</v>
      </c>
      <c r="E44" s="48">
        <f t="shared" si="25"/>
        <v>0.84207947212653433</v>
      </c>
      <c r="F44" s="48">
        <f t="shared" si="25"/>
        <v>0.86443859448323224</v>
      </c>
      <c r="G44" s="48">
        <f t="shared" si="25"/>
        <v>0.87744901530336294</v>
      </c>
      <c r="H44" s="48">
        <f t="shared" si="25"/>
        <v>0.86840146917917593</v>
      </c>
      <c r="I44" s="48">
        <f t="shared" si="25"/>
        <v>0.85589484779761715</v>
      </c>
      <c r="J44" s="48">
        <f t="shared" si="25"/>
        <v>0.88782257228728367</v>
      </c>
      <c r="K44" s="48">
        <f t="shared" si="25"/>
        <v>0.90189147386737123</v>
      </c>
      <c r="L44" s="48">
        <f t="shared" si="25"/>
        <v>0.89233143966518669</v>
      </c>
      <c r="M44" s="48"/>
    </row>
    <row r="46" spans="1:13" x14ac:dyDescent="0.3">
      <c r="A46" s="36" t="s">
        <v>84</v>
      </c>
      <c r="B46" s="36" t="s">
        <v>109</v>
      </c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</row>
    <row r="47" spans="1:13" x14ac:dyDescent="0.3">
      <c r="B47" t="s">
        <v>24</v>
      </c>
      <c r="C47" s="35">
        <f>IFERROR('Data Sheet'!B57,0)</f>
        <v>2943</v>
      </c>
      <c r="D47" s="35">
        <f>IFERROR('Data Sheet'!C57,0)</f>
        <v>2948</v>
      </c>
      <c r="E47" s="35">
        <f>IFERROR('Data Sheet'!D57,0)</f>
        <v>2959</v>
      </c>
      <c r="F47" s="35">
        <f>IFERROR('Data Sheet'!E57,0)</f>
        <v>5922</v>
      </c>
      <c r="G47" s="35">
        <f>IFERROR('Data Sheet'!F57,0)</f>
        <v>5926</v>
      </c>
      <c r="H47" s="35">
        <f>IFERROR('Data Sheet'!G57,0)</f>
        <v>6339</v>
      </c>
      <c r="I47" s="35">
        <f>IFERROR('Data Sheet'!H57,0)</f>
        <v>6445</v>
      </c>
      <c r="J47" s="35">
        <f>IFERROR('Data Sheet'!I57,0)</f>
        <v>6765</v>
      </c>
      <c r="K47" s="35">
        <f>IFERROR('Data Sheet'!J57,0)</f>
        <v>6766</v>
      </c>
      <c r="L47" s="35">
        <f>IFERROR('Data Sheet'!K57,0)</f>
        <v>6766</v>
      </c>
      <c r="M47" s="35">
        <f>IFERROR('Data Sheet'!L57,0)</f>
        <v>0</v>
      </c>
    </row>
    <row r="48" spans="1:13" x14ac:dyDescent="0.3">
      <c r="B48" t="s">
        <v>25</v>
      </c>
      <c r="C48" s="35" cm="1">
        <f t="array" ref="C48:C51">IFERROR('Data Sheet'!B58:B61,0)</f>
        <v>215556</v>
      </c>
      <c r="D48" s="35" cm="1">
        <f t="array" ref="D48:D51">IFERROR('Data Sheet'!C58:C61,0)</f>
        <v>228608</v>
      </c>
      <c r="E48" s="35" cm="1">
        <f t="array" ref="E48:E51">IFERROR('Data Sheet'!D58:D61,0)</f>
        <v>260750</v>
      </c>
      <c r="F48" s="35" cm="1">
        <f t="array" ref="F48:F51">IFERROR('Data Sheet'!E58:E61,0)</f>
        <v>287584</v>
      </c>
      <c r="G48" s="35" cm="1">
        <f t="array" ref="G48:G51">IFERROR('Data Sheet'!F58:F61,0)</f>
        <v>381186</v>
      </c>
      <c r="H48" s="35" cm="1">
        <f t="array" ref="H48:H51">IFERROR('Data Sheet'!G58:G61,0)</f>
        <v>442827</v>
      </c>
      <c r="I48" s="35" cm="1">
        <f t="array" ref="I48:I51">IFERROR('Data Sheet'!H58:H61,0)</f>
        <v>693727</v>
      </c>
      <c r="J48" s="35" cm="1">
        <f t="array" ref="J48:J51">IFERROR('Data Sheet'!I58:I61,0)</f>
        <v>772720</v>
      </c>
      <c r="K48" s="35" cm="1">
        <f t="array" ref="K48:K51">IFERROR('Data Sheet'!J58:J61,0)</f>
        <v>709106</v>
      </c>
      <c r="L48" s="35" cm="1">
        <f t="array" ref="L48:L51">IFERROR('Data Sheet'!K58:K61,0)</f>
        <v>786715</v>
      </c>
      <c r="M48" s="35" cm="1">
        <f t="array" ref="M48:M51">IFERROR('Data Sheet'!L58:L61,0)</f>
        <v>0</v>
      </c>
    </row>
    <row r="49" spans="2:13" x14ac:dyDescent="0.3">
      <c r="B49" t="s">
        <v>62</v>
      </c>
      <c r="C49" s="35">
        <v>168251</v>
      </c>
      <c r="D49" s="35">
        <v>194714</v>
      </c>
      <c r="E49" s="35">
        <v>217475</v>
      </c>
      <c r="F49" s="35">
        <v>239843</v>
      </c>
      <c r="G49" s="35">
        <v>307714</v>
      </c>
      <c r="H49" s="35">
        <v>355133</v>
      </c>
      <c r="I49" s="35">
        <v>278962</v>
      </c>
      <c r="J49" s="35">
        <v>319158</v>
      </c>
      <c r="K49" s="35">
        <v>451664</v>
      </c>
      <c r="L49" s="35">
        <v>458991</v>
      </c>
      <c r="M49" s="35">
        <v>0</v>
      </c>
    </row>
    <row r="50" spans="2:13" ht="15" thickBot="1" x14ac:dyDescent="0.35">
      <c r="B50" t="s">
        <v>63</v>
      </c>
      <c r="C50" s="35">
        <v>117736</v>
      </c>
      <c r="D50" s="35">
        <v>172727</v>
      </c>
      <c r="E50" s="35">
        <v>225618</v>
      </c>
      <c r="F50" s="35">
        <v>277924</v>
      </c>
      <c r="G50" s="35">
        <v>302804</v>
      </c>
      <c r="H50" s="35">
        <v>358716</v>
      </c>
      <c r="I50" s="35">
        <v>340931</v>
      </c>
      <c r="J50" s="35">
        <v>399979</v>
      </c>
      <c r="K50" s="35">
        <v>438346</v>
      </c>
      <c r="L50" s="35">
        <v>502576</v>
      </c>
      <c r="M50" s="35">
        <v>0</v>
      </c>
    </row>
    <row r="51" spans="2:13" ht="15" thickBot="1" x14ac:dyDescent="0.35">
      <c r="B51" s="43" t="s">
        <v>110</v>
      </c>
      <c r="C51" s="44">
        <v>504486</v>
      </c>
      <c r="D51" s="44">
        <v>598997</v>
      </c>
      <c r="E51" s="44">
        <v>706802</v>
      </c>
      <c r="F51" s="44">
        <v>811273</v>
      </c>
      <c r="G51" s="44">
        <v>997630</v>
      </c>
      <c r="H51" s="44">
        <v>1163015</v>
      </c>
      <c r="I51" s="44">
        <v>1320065</v>
      </c>
      <c r="J51" s="44">
        <v>1498622</v>
      </c>
      <c r="K51" s="44">
        <v>1605882</v>
      </c>
      <c r="L51" s="44">
        <v>1755048</v>
      </c>
      <c r="M51" s="44">
        <v>0</v>
      </c>
    </row>
    <row r="53" spans="2:13" x14ac:dyDescent="0.3">
      <c r="B53" t="s">
        <v>111</v>
      </c>
      <c r="C53" s="35" cm="1">
        <f t="array" ref="C53:C55">IFERROR('Data Sheet'!B62:B64,0)</f>
        <v>156458</v>
      </c>
      <c r="D53" s="35" cm="1">
        <f t="array" ref="D53:D55">IFERROR('Data Sheet'!C62:C64,0)</f>
        <v>184910</v>
      </c>
      <c r="E53" s="35" cm="1">
        <f t="array" ref="E53:E55">IFERROR('Data Sheet'!D62:D64,0)</f>
        <v>198526</v>
      </c>
      <c r="F53" s="35" cm="1">
        <f t="array" ref="F53:F55">IFERROR('Data Sheet'!E62:E64,0)</f>
        <v>403885</v>
      </c>
      <c r="G53" s="35" cm="1">
        <f t="array" ref="G53:G55">IFERROR('Data Sheet'!F62:F64,0)</f>
        <v>398374</v>
      </c>
      <c r="H53" s="35" cm="1">
        <f t="array" ref="H53:H55">IFERROR('Data Sheet'!G62:G64,0)</f>
        <v>532658</v>
      </c>
      <c r="I53" s="35" cm="1">
        <f t="array" ref="I53:I55">IFERROR('Data Sheet'!H62:H64,0)</f>
        <v>541258</v>
      </c>
      <c r="J53" s="35" cm="1">
        <f t="array" ref="J53:J55">IFERROR('Data Sheet'!I62:I64,0)</f>
        <v>627798</v>
      </c>
      <c r="K53" s="35" cm="1">
        <f t="array" ref="K53:K55">IFERROR('Data Sheet'!J62:J64,0)</f>
        <v>724805</v>
      </c>
      <c r="L53" s="35" cm="1">
        <f t="array" ref="L53:L55">IFERROR('Data Sheet'!K62:K64,0)</f>
        <v>779985</v>
      </c>
      <c r="M53" s="35" cm="1">
        <f t="array" ref="M53:M55">IFERROR('Data Sheet'!L62:L64,0)</f>
        <v>0</v>
      </c>
    </row>
    <row r="54" spans="2:13" x14ac:dyDescent="0.3">
      <c r="B54" t="s">
        <v>112</v>
      </c>
      <c r="C54" s="35">
        <v>166462</v>
      </c>
      <c r="D54" s="35">
        <v>228697</v>
      </c>
      <c r="E54" s="35">
        <v>324837</v>
      </c>
      <c r="F54" s="35">
        <v>187022</v>
      </c>
      <c r="G54" s="35">
        <v>179463</v>
      </c>
      <c r="H54" s="35">
        <v>109106</v>
      </c>
      <c r="I54" s="35">
        <v>125953</v>
      </c>
      <c r="J54" s="35">
        <v>172506</v>
      </c>
      <c r="K54" s="35">
        <v>293752</v>
      </c>
      <c r="L54" s="35">
        <v>338855</v>
      </c>
      <c r="M54" s="35">
        <v>0</v>
      </c>
    </row>
    <row r="55" spans="2:13" x14ac:dyDescent="0.3">
      <c r="B55" t="s">
        <v>29</v>
      </c>
      <c r="C55" s="35">
        <v>76451</v>
      </c>
      <c r="D55" s="35">
        <v>84015</v>
      </c>
      <c r="E55" s="35">
        <v>82899</v>
      </c>
      <c r="F55" s="35">
        <v>82862</v>
      </c>
      <c r="G55" s="35">
        <v>235635</v>
      </c>
      <c r="H55" s="35">
        <v>276767</v>
      </c>
      <c r="I55" s="35">
        <v>364828</v>
      </c>
      <c r="J55" s="35">
        <v>394264</v>
      </c>
      <c r="K55" s="35">
        <v>235560</v>
      </c>
      <c r="L55" s="35">
        <v>225672</v>
      </c>
      <c r="M55" s="35">
        <v>0</v>
      </c>
    </row>
    <row r="56" spans="2:13" ht="15" thickBot="1" x14ac:dyDescent="0.35">
      <c r="B56" t="s">
        <v>64</v>
      </c>
      <c r="C56" s="35">
        <f>IFERROR('Data Sheet'!B65-(SUM('Data Sheet'!B67:B69)),0)</f>
        <v>34007</v>
      </c>
      <c r="D56" s="35">
        <f>IFERROR('Data Sheet'!C65-(SUM('Data Sheet'!C67:C69)),0)</f>
        <v>39396</v>
      </c>
      <c r="E56" s="35">
        <f>IFERROR('Data Sheet'!D65-(SUM('Data Sheet'!D67:D69)),0)</f>
        <v>40389</v>
      </c>
      <c r="F56" s="35">
        <f>IFERROR('Data Sheet'!E65-(SUM('Data Sheet'!E67:E69)),0)</f>
        <v>54857</v>
      </c>
      <c r="G56" s="35">
        <f>IFERROR('Data Sheet'!F65-(SUM('Data Sheet'!F67:F69)),0)</f>
        <v>75427</v>
      </c>
      <c r="H56" s="35">
        <f>IFERROR('Data Sheet'!G65-(SUM('Data Sheet'!G67:G69)),0)</f>
        <v>120005</v>
      </c>
      <c r="I56" s="35">
        <f>IFERROR('Data Sheet'!H65-(SUM('Data Sheet'!H67:H69)),0)</f>
        <v>169943</v>
      </c>
      <c r="J56" s="35">
        <f>IFERROR('Data Sheet'!I65-(SUM('Data Sheet'!I67:I69)),0)</f>
        <v>136458</v>
      </c>
      <c r="K56" s="35">
        <f>IFERROR('Data Sheet'!J65-(SUM('Data Sheet'!J67:J69)),0)</f>
        <v>114645</v>
      </c>
      <c r="L56" s="35">
        <f>IFERROR('Data Sheet'!K65-(SUM('Data Sheet'!K67:K69)),0)</f>
        <v>128913</v>
      </c>
      <c r="M56" s="35">
        <f>IFERROR('Data Sheet'!L65-(SUM('Data Sheet'!L67:L69)),0)</f>
        <v>0</v>
      </c>
    </row>
    <row r="57" spans="2:13" ht="15" thickBot="1" x14ac:dyDescent="0.35">
      <c r="B57" s="43" t="s">
        <v>113</v>
      </c>
      <c r="C57" s="44">
        <f>IFERROR(SUM(C53:C56),0)</f>
        <v>433378</v>
      </c>
      <c r="D57" s="44">
        <f t="shared" ref="D57:M57" si="26">IFERROR(SUM(D53:D56),0)</f>
        <v>537018</v>
      </c>
      <c r="E57" s="44">
        <f t="shared" si="26"/>
        <v>646651</v>
      </c>
      <c r="F57" s="44">
        <f t="shared" si="26"/>
        <v>728626</v>
      </c>
      <c r="G57" s="44">
        <f t="shared" si="26"/>
        <v>888899</v>
      </c>
      <c r="H57" s="44">
        <f t="shared" si="26"/>
        <v>1038536</v>
      </c>
      <c r="I57" s="44">
        <f t="shared" si="26"/>
        <v>1201982</v>
      </c>
      <c r="J57" s="44">
        <f t="shared" si="26"/>
        <v>1331026</v>
      </c>
      <c r="K57" s="44">
        <f t="shared" si="26"/>
        <v>1368762</v>
      </c>
      <c r="L57" s="44">
        <f t="shared" si="26"/>
        <v>1473425</v>
      </c>
      <c r="M57" s="44">
        <f t="shared" si="26"/>
        <v>0</v>
      </c>
    </row>
    <row r="59" spans="2:13" x14ac:dyDescent="0.3">
      <c r="B59" t="s">
        <v>69</v>
      </c>
      <c r="C59" s="35" cm="1">
        <f t="array" ref="C59:C61">IFERROR('Data Sheet'!B67:B69,0)</f>
        <v>5315</v>
      </c>
      <c r="D59" s="35" cm="1">
        <f t="array" ref="D59:D61">IFERROR('Data Sheet'!C67:C69,0)</f>
        <v>4465</v>
      </c>
      <c r="E59" s="35" cm="1">
        <f t="array" ref="E59:E61">IFERROR('Data Sheet'!D67:D69,0)</f>
        <v>8177</v>
      </c>
      <c r="F59" s="35" cm="1">
        <f t="array" ref="F59:F61">IFERROR('Data Sheet'!E67:E69,0)</f>
        <v>17555</v>
      </c>
      <c r="G59" s="35" cm="1">
        <f t="array" ref="G59:G61">IFERROR('Data Sheet'!F67:F69,0)</f>
        <v>30089</v>
      </c>
      <c r="H59" s="35" cm="1">
        <f t="array" ref="H59:H61">IFERROR('Data Sheet'!G67:G69,0)</f>
        <v>19656</v>
      </c>
      <c r="I59" s="35" cm="1">
        <f t="array" ref="I59:I61">IFERROR('Data Sheet'!H67:H69,0)</f>
        <v>19014</v>
      </c>
      <c r="J59" s="35" cm="1">
        <f t="array" ref="J59:J61">IFERROR('Data Sheet'!I67:I69,0)</f>
        <v>23640</v>
      </c>
      <c r="K59" s="35" cm="1">
        <f t="array" ref="K59:K61">IFERROR('Data Sheet'!J67:J69,0)</f>
        <v>28448</v>
      </c>
      <c r="L59" s="35" cm="1">
        <f t="array" ref="L59:L61">IFERROR('Data Sheet'!K67:K69,0)</f>
        <v>31628</v>
      </c>
      <c r="M59" s="35" cm="1">
        <f t="array" ref="M59:M61">IFERROR('Data Sheet'!L67:L69,0)</f>
        <v>0</v>
      </c>
    </row>
    <row r="60" spans="2:13" x14ac:dyDescent="0.3">
      <c r="B60" t="s">
        <v>45</v>
      </c>
      <c r="C60" s="35">
        <v>53248</v>
      </c>
      <c r="D60" s="35">
        <v>46486</v>
      </c>
      <c r="E60" s="35">
        <v>48951</v>
      </c>
      <c r="F60" s="35">
        <v>60837</v>
      </c>
      <c r="G60" s="35">
        <v>67561</v>
      </c>
      <c r="H60" s="35">
        <v>73903</v>
      </c>
      <c r="I60" s="35">
        <v>81672</v>
      </c>
      <c r="J60" s="35">
        <v>107778</v>
      </c>
      <c r="K60" s="35">
        <v>140008</v>
      </c>
      <c r="L60" s="35">
        <v>152770</v>
      </c>
      <c r="M60" s="35">
        <v>0</v>
      </c>
    </row>
    <row r="61" spans="2:13" ht="15" thickBot="1" x14ac:dyDescent="0.35">
      <c r="B61" t="s">
        <v>114</v>
      </c>
      <c r="C61" s="35">
        <v>12545</v>
      </c>
      <c r="D61" s="35">
        <v>11028</v>
      </c>
      <c r="E61" s="35">
        <v>3023</v>
      </c>
      <c r="F61" s="35">
        <v>4255</v>
      </c>
      <c r="G61" s="35">
        <v>11081</v>
      </c>
      <c r="H61" s="35">
        <v>30920</v>
      </c>
      <c r="I61" s="35">
        <v>17397</v>
      </c>
      <c r="J61" s="35">
        <v>36178</v>
      </c>
      <c r="K61" s="35">
        <v>68664</v>
      </c>
      <c r="L61" s="35">
        <v>97225</v>
      </c>
      <c r="M61" s="35">
        <v>0</v>
      </c>
    </row>
    <row r="62" spans="2:13" ht="15" thickBot="1" x14ac:dyDescent="0.35">
      <c r="B62" s="43" t="s">
        <v>115</v>
      </c>
      <c r="C62" s="44">
        <f>IFERROR(SUM(_xlfn.ANCHORARRAY(C59)),0)</f>
        <v>71108</v>
      </c>
      <c r="D62" s="44">
        <f t="shared" ref="D62:M62" si="27">IFERROR(SUM(_xlfn.ANCHORARRAY(D59)),0)</f>
        <v>61979</v>
      </c>
      <c r="E62" s="44">
        <f t="shared" si="27"/>
        <v>60151</v>
      </c>
      <c r="F62" s="44">
        <f t="shared" si="27"/>
        <v>82647</v>
      </c>
      <c r="G62" s="44">
        <f t="shared" si="27"/>
        <v>108731</v>
      </c>
      <c r="H62" s="44">
        <f t="shared" si="27"/>
        <v>124479</v>
      </c>
      <c r="I62" s="44">
        <f t="shared" si="27"/>
        <v>118083</v>
      </c>
      <c r="J62" s="44">
        <f t="shared" si="27"/>
        <v>167596</v>
      </c>
      <c r="K62" s="44">
        <f t="shared" si="27"/>
        <v>237120</v>
      </c>
      <c r="L62" s="44">
        <f t="shared" si="27"/>
        <v>281623</v>
      </c>
      <c r="M62" s="44">
        <f t="shared" si="27"/>
        <v>0</v>
      </c>
    </row>
    <row r="64" spans="2:13" x14ac:dyDescent="0.3">
      <c r="B64" s="2" t="s">
        <v>116</v>
      </c>
      <c r="C64" s="27">
        <f>IFERROR(SUM(C57,C62),0)</f>
        <v>504486</v>
      </c>
      <c r="D64" s="27">
        <f t="shared" ref="D64:M64" si="28">IFERROR(SUM(D57,D62),0)</f>
        <v>598997</v>
      </c>
      <c r="E64" s="27">
        <f t="shared" si="28"/>
        <v>706802</v>
      </c>
      <c r="F64" s="27">
        <f t="shared" si="28"/>
        <v>811273</v>
      </c>
      <c r="G64" s="27">
        <f t="shared" si="28"/>
        <v>997630</v>
      </c>
      <c r="H64" s="27">
        <f t="shared" si="28"/>
        <v>1163015</v>
      </c>
      <c r="I64" s="27">
        <f t="shared" si="28"/>
        <v>1320065</v>
      </c>
      <c r="J64" s="27">
        <f t="shared" si="28"/>
        <v>1498622</v>
      </c>
      <c r="K64" s="27">
        <f t="shared" si="28"/>
        <v>1605882</v>
      </c>
      <c r="L64" s="27">
        <f t="shared" si="28"/>
        <v>1755048</v>
      </c>
      <c r="M64" s="27">
        <f t="shared" si="28"/>
        <v>0</v>
      </c>
    </row>
    <row r="66" spans="1:14" x14ac:dyDescent="0.3">
      <c r="B66" s="2" t="s">
        <v>117</v>
      </c>
      <c r="C66" s="2" t="b">
        <f>C64=C51</f>
        <v>1</v>
      </c>
      <c r="D66" s="2" t="b">
        <f t="shared" ref="D66:M66" si="29">D64=D51</f>
        <v>1</v>
      </c>
      <c r="E66" s="2" t="b">
        <f t="shared" si="29"/>
        <v>1</v>
      </c>
      <c r="F66" s="2" t="b">
        <f t="shared" si="29"/>
        <v>1</v>
      </c>
      <c r="G66" s="2" t="b">
        <f t="shared" si="29"/>
        <v>1</v>
      </c>
      <c r="H66" s="2" t="b">
        <f t="shared" si="29"/>
        <v>1</v>
      </c>
      <c r="I66" s="2" t="b">
        <f t="shared" si="29"/>
        <v>1</v>
      </c>
      <c r="J66" s="2" t="b">
        <f t="shared" si="29"/>
        <v>1</v>
      </c>
      <c r="K66" s="2" t="b">
        <f t="shared" si="29"/>
        <v>1</v>
      </c>
      <c r="L66" s="2" t="b">
        <f t="shared" si="29"/>
        <v>1</v>
      </c>
      <c r="M66" s="2" t="b">
        <f t="shared" si="29"/>
        <v>1</v>
      </c>
    </row>
    <row r="68" spans="1:14" x14ac:dyDescent="0.3">
      <c r="A68" s="36" t="s">
        <v>84</v>
      </c>
      <c r="B68" s="36" t="s">
        <v>141</v>
      </c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</row>
    <row r="69" spans="1:14" x14ac:dyDescent="0.3">
      <c r="B69" s="2" t="s">
        <v>142</v>
      </c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</row>
    <row r="70" spans="1:14" x14ac:dyDescent="0.3">
      <c r="B70" t="s">
        <v>119</v>
      </c>
      <c r="C70" s="49" cm="1">
        <f t="array" ref="C70:C76">IFERROR(CFS!E4:E10,0)</f>
        <v>38994</v>
      </c>
      <c r="D70" s="49" cm="1">
        <f t="array" ref="D70:D76">IFERROR(CFS!F4:F10,0)</f>
        <v>38887</v>
      </c>
      <c r="E70" s="49" cm="1">
        <f t="array" ref="E70:E76">IFERROR(CFS!G4:G10,0)</f>
        <v>44170</v>
      </c>
      <c r="F70" s="49" cm="1">
        <f t="array" ref="F70:F76">IFERROR(CFS!H4:H10,0)</f>
        <v>62765</v>
      </c>
      <c r="G70" s="49" cm="1">
        <f t="array" ref="G70:G76">IFERROR(CFS!I4:I10,0)</f>
        <v>83319</v>
      </c>
      <c r="H70" s="49" cm="1">
        <f t="array" ref="H70:H76">IFERROR(CFS!J4:J10,0)</f>
        <v>85347</v>
      </c>
      <c r="I70" s="49" cm="1">
        <f t="array" ref="I70:I76">IFERROR(CFS!K4:K10,0)</f>
        <v>80129</v>
      </c>
      <c r="J70" s="49" cm="1">
        <f t="array" ref="J70:J76">IFERROR(CFS!L4:L10,0)</f>
        <v>113726</v>
      </c>
      <c r="K70" s="49" cm="1">
        <f t="array" ref="K70:K76">IFERROR(CFS!M4:M10,0)</f>
        <v>140963</v>
      </c>
      <c r="L70" s="49" cm="1">
        <f t="array" ref="L70:L76">IFERROR(CFS!N4:N10,0)</f>
        <v>164383</v>
      </c>
      <c r="M70" s="49" cm="1">
        <f t="array" ref="M70:M76">IFERROR(CFS!O4:O10,0)</f>
        <v>0</v>
      </c>
      <c r="N70" s="35"/>
    </row>
    <row r="71" spans="1:14" x14ac:dyDescent="0.3">
      <c r="B71" t="s">
        <v>69</v>
      </c>
      <c r="C71" s="49">
        <v>1097</v>
      </c>
      <c r="D71" s="49">
        <v>-6880</v>
      </c>
      <c r="E71" s="49">
        <v>-8511</v>
      </c>
      <c r="F71" s="49">
        <v>-21991</v>
      </c>
      <c r="G71" s="49">
        <v>-40136</v>
      </c>
      <c r="H71" s="49">
        <v>-13792</v>
      </c>
      <c r="I71" s="49">
        <v>959</v>
      </c>
      <c r="J71" s="49">
        <v>-14180</v>
      </c>
      <c r="K71" s="49">
        <v>13194</v>
      </c>
      <c r="L71" s="49">
        <v>-15674</v>
      </c>
      <c r="M71" s="49">
        <v>0</v>
      </c>
      <c r="N71" s="35"/>
    </row>
    <row r="72" spans="1:14" x14ac:dyDescent="0.3">
      <c r="B72" t="s">
        <v>45</v>
      </c>
      <c r="C72" s="49">
        <v>3472</v>
      </c>
      <c r="D72" s="49">
        <v>6758</v>
      </c>
      <c r="E72" s="49">
        <v>-6899</v>
      </c>
      <c r="F72" s="49">
        <v>-10474</v>
      </c>
      <c r="G72" s="49">
        <v>-6724</v>
      </c>
      <c r="H72" s="49">
        <v>-6342</v>
      </c>
      <c r="I72" s="49">
        <v>-7769</v>
      </c>
      <c r="J72" s="49">
        <v>-24983</v>
      </c>
      <c r="K72" s="49">
        <v>-32228</v>
      </c>
      <c r="L72" s="49">
        <v>-12756</v>
      </c>
      <c r="M72" s="49">
        <v>0</v>
      </c>
      <c r="N72" s="35"/>
    </row>
    <row r="73" spans="1:14" x14ac:dyDescent="0.3">
      <c r="B73" t="s">
        <v>120</v>
      </c>
      <c r="C73" s="49">
        <v>-2754</v>
      </c>
      <c r="D73" s="49">
        <v>7951</v>
      </c>
      <c r="E73" s="49">
        <v>30873</v>
      </c>
      <c r="F73" s="49">
        <v>51003</v>
      </c>
      <c r="G73" s="49">
        <v>18078</v>
      </c>
      <c r="H73" s="49">
        <v>38050</v>
      </c>
      <c r="I73" s="49">
        <v>-43148</v>
      </c>
      <c r="J73" s="49">
        <v>39888</v>
      </c>
      <c r="K73" s="49">
        <v>-600</v>
      </c>
      <c r="L73" s="49">
        <v>34796</v>
      </c>
      <c r="M73" s="49">
        <v>0</v>
      </c>
      <c r="N73" s="35"/>
    </row>
    <row r="74" spans="1:14" x14ac:dyDescent="0.3">
      <c r="B74" t="s">
        <v>121</v>
      </c>
      <c r="C74" s="49">
        <v>1815</v>
      </c>
      <c r="D74" s="49">
        <v>7829</v>
      </c>
      <c r="E74" s="49">
        <v>15463</v>
      </c>
      <c r="F74" s="49">
        <v>18538</v>
      </c>
      <c r="G74" s="49">
        <v>-28782</v>
      </c>
      <c r="H74" s="49">
        <v>17916</v>
      </c>
      <c r="I74" s="49">
        <v>-49958</v>
      </c>
      <c r="J74" s="49">
        <v>725</v>
      </c>
      <c r="K74" s="49">
        <v>-19634</v>
      </c>
      <c r="L74" s="49">
        <v>6366</v>
      </c>
      <c r="M74" s="49">
        <v>0</v>
      </c>
      <c r="N74" s="35"/>
    </row>
    <row r="75" spans="1:14" x14ac:dyDescent="0.3">
      <c r="B75" t="s">
        <v>122</v>
      </c>
      <c r="C75" s="49">
        <v>-6435</v>
      </c>
      <c r="D75" s="49">
        <v>-8582</v>
      </c>
      <c r="E75" s="49">
        <v>-10083</v>
      </c>
      <c r="F75" s="49">
        <v>-9844</v>
      </c>
      <c r="G75" s="49">
        <v>-12191</v>
      </c>
      <c r="H75" s="49">
        <v>-8386</v>
      </c>
      <c r="I75" s="49">
        <v>-3213</v>
      </c>
      <c r="J75" s="49">
        <v>-3797</v>
      </c>
      <c r="K75" s="49">
        <v>-6297</v>
      </c>
      <c r="L75" s="49">
        <v>-11961</v>
      </c>
      <c r="M75" s="49">
        <v>0</v>
      </c>
      <c r="N75" s="35"/>
    </row>
    <row r="76" spans="1:14" ht="15" thickBot="1" x14ac:dyDescent="0.35">
      <c r="B76" t="s">
        <v>123</v>
      </c>
      <c r="C76" s="49">
        <v>0</v>
      </c>
      <c r="D76" s="49">
        <v>0</v>
      </c>
      <c r="E76" s="49">
        <v>0</v>
      </c>
      <c r="F76" s="49">
        <v>0</v>
      </c>
      <c r="G76" s="49">
        <v>0</v>
      </c>
      <c r="H76" s="49">
        <v>0</v>
      </c>
      <c r="I76" s="49">
        <v>0</v>
      </c>
      <c r="J76" s="49">
        <v>0</v>
      </c>
      <c r="K76" s="49">
        <v>0</v>
      </c>
      <c r="L76" s="49">
        <v>0</v>
      </c>
      <c r="M76" s="49">
        <v>0</v>
      </c>
      <c r="N76" s="35"/>
    </row>
    <row r="77" spans="1:14" ht="15" thickBot="1" x14ac:dyDescent="0.35">
      <c r="B77" s="43" t="s">
        <v>32</v>
      </c>
      <c r="C77" s="50">
        <f>SUM(_xlfn.ANCHORARRAY(C70))</f>
        <v>36189</v>
      </c>
      <c r="D77" s="50">
        <f t="shared" ref="D77:M77" si="30">SUM(_xlfn.ANCHORARRAY(D70))</f>
        <v>45963</v>
      </c>
      <c r="E77" s="50">
        <f t="shared" si="30"/>
        <v>65013</v>
      </c>
      <c r="F77" s="50">
        <f t="shared" si="30"/>
        <v>89997</v>
      </c>
      <c r="G77" s="50">
        <f t="shared" si="30"/>
        <v>13564</v>
      </c>
      <c r="H77" s="50">
        <f t="shared" si="30"/>
        <v>112793</v>
      </c>
      <c r="I77" s="50">
        <f t="shared" si="30"/>
        <v>-23000</v>
      </c>
      <c r="J77" s="50">
        <f t="shared" si="30"/>
        <v>111379</v>
      </c>
      <c r="K77" s="50">
        <f t="shared" si="30"/>
        <v>95398</v>
      </c>
      <c r="L77" s="50">
        <f t="shared" si="30"/>
        <v>165154</v>
      </c>
      <c r="M77" s="50">
        <f t="shared" si="30"/>
        <v>0</v>
      </c>
    </row>
    <row r="78" spans="1:14" x14ac:dyDescent="0.3"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</row>
    <row r="79" spans="1:14" x14ac:dyDescent="0.3">
      <c r="B79" s="2" t="s">
        <v>143</v>
      </c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</row>
    <row r="80" spans="1:14" x14ac:dyDescent="0.3">
      <c r="B80" t="s">
        <v>125</v>
      </c>
      <c r="C80" s="49" cm="1">
        <f t="array" ref="C80:C86">IFERROR(CFS!E12:E18,0)</f>
        <v>-63364</v>
      </c>
      <c r="D80" s="49" cm="1">
        <f t="array" ref="D80:D86">IFERROR(CFS!F12:F18,0)</f>
        <v>-46898</v>
      </c>
      <c r="E80" s="49" cm="1">
        <f t="array" ref="E80:E86">IFERROR(CFS!G12:G18,0)</f>
        <v>-78109</v>
      </c>
      <c r="F80" s="49" cm="1">
        <f t="array" ref="F80:F86">IFERROR(CFS!H12:H18,0)</f>
        <v>-73953</v>
      </c>
      <c r="G80" s="49" cm="1">
        <f t="array" ref="G80:G86">IFERROR(CFS!I12:I18,0)</f>
        <v>-93626</v>
      </c>
      <c r="H80" s="49" cm="1">
        <f t="array" ref="H80:H86">IFERROR(CFS!J12:J18,0)</f>
        <v>-76517</v>
      </c>
      <c r="I80" s="49" cm="1">
        <f t="array" ref="I80:I86">IFERROR(CFS!K12:K18,0)</f>
        <v>-105837</v>
      </c>
      <c r="J80" s="49" cm="1">
        <f t="array" ref="J80:J86">IFERROR(CFS!L12:L18,0)</f>
        <v>-100145</v>
      </c>
      <c r="K80" s="49" cm="1">
        <f t="array" ref="K80:K86">IFERROR(CFS!M12:M18,0)</f>
        <v>-140988</v>
      </c>
      <c r="L80" s="49" cm="1">
        <f t="array" ref="L80:L86">IFERROR(CFS!N12:N18,0)</f>
        <v>-152883</v>
      </c>
      <c r="M80" s="49" cm="1">
        <f t="array" ref="M80:M86">IFERROR(CFS!O12:O18,0)</f>
        <v>0</v>
      </c>
    </row>
    <row r="81" spans="2:13" x14ac:dyDescent="0.3">
      <c r="B81" t="s">
        <v>126</v>
      </c>
      <c r="C81" s="49">
        <v>402</v>
      </c>
      <c r="D81" s="49">
        <v>344</v>
      </c>
      <c r="E81" s="49">
        <v>1482</v>
      </c>
      <c r="F81" s="49">
        <v>999</v>
      </c>
      <c r="G81" s="49">
        <v>849</v>
      </c>
      <c r="H81" s="49">
        <v>964</v>
      </c>
      <c r="I81" s="49">
        <v>2319</v>
      </c>
      <c r="J81" s="49">
        <v>3137</v>
      </c>
      <c r="K81" s="49">
        <v>9186</v>
      </c>
      <c r="L81" s="49">
        <v>15307</v>
      </c>
      <c r="M81" s="49">
        <v>0</v>
      </c>
    </row>
    <row r="82" spans="2:13" x14ac:dyDescent="0.3">
      <c r="B82" t="s">
        <v>127</v>
      </c>
      <c r="C82" s="49">
        <v>-678241</v>
      </c>
      <c r="D82" s="49">
        <v>-715334</v>
      </c>
      <c r="E82" s="49">
        <v>-654760</v>
      </c>
      <c r="F82" s="49">
        <v>-533984</v>
      </c>
      <c r="G82" s="49">
        <v>-1107439</v>
      </c>
      <c r="H82" s="49">
        <v>-1156843</v>
      </c>
      <c r="I82" s="49">
        <v>-689866</v>
      </c>
      <c r="J82" s="49">
        <v>-667878</v>
      </c>
      <c r="K82" s="49">
        <v>-471822</v>
      </c>
      <c r="L82" s="49">
        <v>-514380</v>
      </c>
      <c r="M82" s="49">
        <v>0</v>
      </c>
    </row>
    <row r="83" spans="2:13" x14ac:dyDescent="0.3">
      <c r="B83" t="s">
        <v>128</v>
      </c>
      <c r="C83" s="49">
        <v>666383</v>
      </c>
      <c r="D83" s="49">
        <v>721182</v>
      </c>
      <c r="E83" s="49">
        <v>663990</v>
      </c>
      <c r="F83" s="49">
        <v>537504</v>
      </c>
      <c r="G83" s="49">
        <v>1103615</v>
      </c>
      <c r="H83" s="49">
        <v>1174796</v>
      </c>
      <c r="I83" s="49">
        <v>642551</v>
      </c>
      <c r="J83" s="49">
        <v>668137</v>
      </c>
      <c r="K83" s="49">
        <v>501266</v>
      </c>
      <c r="L83" s="49">
        <v>531355</v>
      </c>
      <c r="M83" s="49">
        <v>0</v>
      </c>
    </row>
    <row r="84" spans="2:13" x14ac:dyDescent="0.3">
      <c r="B84" t="s">
        <v>129</v>
      </c>
      <c r="C84" s="49">
        <v>6055</v>
      </c>
      <c r="D84" s="49">
        <v>2942</v>
      </c>
      <c r="E84" s="49">
        <v>1110</v>
      </c>
      <c r="F84" s="49">
        <v>1310</v>
      </c>
      <c r="G84" s="49">
        <v>972</v>
      </c>
      <c r="H84" s="49">
        <v>1441</v>
      </c>
      <c r="I84" s="49">
        <v>8400</v>
      </c>
      <c r="J84" s="49">
        <v>5933</v>
      </c>
      <c r="K84" s="49">
        <v>11103</v>
      </c>
      <c r="L84" s="49">
        <v>10648</v>
      </c>
      <c r="M84" s="49">
        <v>0</v>
      </c>
    </row>
    <row r="85" spans="2:13" x14ac:dyDescent="0.3">
      <c r="B85" t="s">
        <v>130</v>
      </c>
      <c r="C85" s="49">
        <v>548</v>
      </c>
      <c r="D85" s="49">
        <v>732</v>
      </c>
      <c r="E85" s="49">
        <v>345</v>
      </c>
      <c r="F85" s="49">
        <v>1021</v>
      </c>
      <c r="G85" s="49">
        <v>501</v>
      </c>
      <c r="H85" s="49">
        <v>78</v>
      </c>
      <c r="I85" s="49">
        <v>26</v>
      </c>
      <c r="J85" s="49">
        <v>19</v>
      </c>
      <c r="K85" s="49">
        <v>20</v>
      </c>
      <c r="L85" s="49">
        <v>75</v>
      </c>
      <c r="M85" s="49">
        <v>0</v>
      </c>
    </row>
    <row r="86" spans="2:13" ht="15" thickBot="1" x14ac:dyDescent="0.35">
      <c r="B86" t="s">
        <v>131</v>
      </c>
      <c r="C86" s="49">
        <v>3511</v>
      </c>
      <c r="D86" s="49">
        <v>846</v>
      </c>
      <c r="E86" s="49">
        <v>-259</v>
      </c>
      <c r="F86" s="49">
        <v>-1089</v>
      </c>
      <c r="G86" s="49">
        <v>621</v>
      </c>
      <c r="H86" s="49">
        <v>-16416</v>
      </c>
      <c r="I86" s="49">
        <v>22</v>
      </c>
      <c r="J86" s="49">
        <v>-18365</v>
      </c>
      <c r="K86" s="49">
        <v>-1766</v>
      </c>
      <c r="L86" s="49">
        <v>-3703</v>
      </c>
      <c r="M86" s="49">
        <v>0</v>
      </c>
    </row>
    <row r="87" spans="2:13" ht="15" thickBot="1" x14ac:dyDescent="0.35">
      <c r="B87" s="43" t="s">
        <v>144</v>
      </c>
      <c r="C87" s="50">
        <f>SUM(_xlfn.ANCHORARRAY(C80))</f>
        <v>-64706</v>
      </c>
      <c r="D87" s="50">
        <f t="shared" ref="D87:M87" si="31">SUM(_xlfn.ANCHORARRAY(D80))</f>
        <v>-36186</v>
      </c>
      <c r="E87" s="50">
        <f t="shared" si="31"/>
        <v>-66201</v>
      </c>
      <c r="F87" s="50">
        <f t="shared" si="31"/>
        <v>-68192</v>
      </c>
      <c r="G87" s="50">
        <f t="shared" si="31"/>
        <v>-94507</v>
      </c>
      <c r="H87" s="50">
        <f t="shared" si="31"/>
        <v>-72497</v>
      </c>
      <c r="I87" s="50">
        <f t="shared" si="31"/>
        <v>-142385</v>
      </c>
      <c r="J87" s="50">
        <f t="shared" si="31"/>
        <v>-109162</v>
      </c>
      <c r="K87" s="50">
        <f t="shared" si="31"/>
        <v>-93001</v>
      </c>
      <c r="L87" s="50">
        <f t="shared" si="31"/>
        <v>-113581</v>
      </c>
      <c r="M87" s="50">
        <f t="shared" si="31"/>
        <v>0</v>
      </c>
    </row>
    <row r="88" spans="2:13" x14ac:dyDescent="0.3"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</row>
    <row r="89" spans="2:13" x14ac:dyDescent="0.3">
      <c r="B89" s="2" t="s">
        <v>145</v>
      </c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</row>
    <row r="90" spans="2:13" x14ac:dyDescent="0.3">
      <c r="B90" t="s">
        <v>133</v>
      </c>
      <c r="C90" s="49" cm="1">
        <f t="array" ref="C90:C97">IFERROR(CFS!E20:E27,0)</f>
        <v>343</v>
      </c>
      <c r="D90" s="49" cm="1">
        <f t="array" ref="D90:D97">IFERROR(CFS!F20:F27,0)</f>
        <v>288</v>
      </c>
      <c r="E90" s="49" cm="1">
        <f t="array" ref="E90:E97">IFERROR(CFS!G20:G27,0)</f>
        <v>811</v>
      </c>
      <c r="F90" s="49" cm="1">
        <f t="array" ref="F90:F97">IFERROR(CFS!H20:H27,0)</f>
        <v>406</v>
      </c>
      <c r="G90" s="49" cm="1">
        <f t="array" ref="G90:G97">IFERROR(CFS!I20:I27,0)</f>
        <v>230</v>
      </c>
      <c r="H90" s="49" cm="1">
        <f t="array" ref="H90:H97">IFERROR(CFS!J20:J27,0)</f>
        <v>129</v>
      </c>
      <c r="I90" s="49" cm="1">
        <f t="array" ref="I90:I97">IFERROR(CFS!K20:K27,0)</f>
        <v>5</v>
      </c>
      <c r="J90" s="49" cm="1">
        <f t="array" ref="J90:J97">IFERROR(CFS!L20:L27,0)</f>
        <v>455</v>
      </c>
      <c r="K90" s="49" cm="1">
        <f t="array" ref="K90:K97">IFERROR(CFS!M20:M27,0)</f>
        <v>479</v>
      </c>
      <c r="L90" s="49" cm="1">
        <f t="array" ref="L90:L97">IFERROR(CFS!N20:N27,0)</f>
        <v>20915</v>
      </c>
      <c r="M90" s="49" cm="1">
        <f t="array" ref="M90:M97">IFERROR(CFS!O20:O27,0)</f>
        <v>0</v>
      </c>
    </row>
    <row r="91" spans="2:13" x14ac:dyDescent="0.3">
      <c r="B91" t="s">
        <v>134</v>
      </c>
      <c r="C91" s="49">
        <v>29413</v>
      </c>
      <c r="D91" s="49">
        <v>34673</v>
      </c>
      <c r="E91" s="49">
        <v>31728</v>
      </c>
      <c r="F91" s="49">
        <v>36970</v>
      </c>
      <c r="G91" s="49">
        <v>106701</v>
      </c>
      <c r="H91" s="49">
        <v>53760</v>
      </c>
      <c r="I91" s="49">
        <v>46421</v>
      </c>
      <c r="J91" s="49">
        <v>59343</v>
      </c>
      <c r="K91" s="49">
        <v>67134</v>
      </c>
      <c r="L91" s="49">
        <v>69610</v>
      </c>
      <c r="M91" s="49">
        <v>0</v>
      </c>
    </row>
    <row r="92" spans="2:13" x14ac:dyDescent="0.3">
      <c r="B92" t="s">
        <v>135</v>
      </c>
      <c r="C92" s="49">
        <v>-11909</v>
      </c>
      <c r="D92" s="49">
        <v>-21693</v>
      </c>
      <c r="E92" s="49">
        <v>-18542</v>
      </c>
      <c r="F92" s="49">
        <v>-19813</v>
      </c>
      <c r="G92" s="49">
        <v>-20245</v>
      </c>
      <c r="H92" s="49">
        <v>-18179</v>
      </c>
      <c r="I92" s="49">
        <v>-116921</v>
      </c>
      <c r="J92" s="49">
        <v>-49493</v>
      </c>
      <c r="K92" s="49">
        <v>-29059</v>
      </c>
      <c r="L92" s="49">
        <v>-60348</v>
      </c>
      <c r="M92" s="49">
        <v>0</v>
      </c>
    </row>
    <row r="93" spans="2:13" x14ac:dyDescent="0.3">
      <c r="B93" t="s">
        <v>136</v>
      </c>
      <c r="C93" s="49">
        <v>-6149</v>
      </c>
      <c r="D93" s="49">
        <v>-9224</v>
      </c>
      <c r="E93" s="49">
        <v>-12920</v>
      </c>
      <c r="F93" s="49">
        <v>-17669</v>
      </c>
      <c r="G93" s="49">
        <v>-23338</v>
      </c>
      <c r="H93" s="49">
        <v>-28508</v>
      </c>
      <c r="I93" s="49">
        <v>-18340</v>
      </c>
      <c r="J93" s="49">
        <v>-26349</v>
      </c>
      <c r="K93" s="49">
        <v>-21650</v>
      </c>
      <c r="L93" s="49">
        <v>-37173</v>
      </c>
      <c r="M93" s="49">
        <v>0</v>
      </c>
    </row>
    <row r="94" spans="2:13" x14ac:dyDescent="0.3">
      <c r="B94" t="s">
        <v>137</v>
      </c>
      <c r="C94" s="49">
        <v>-3268</v>
      </c>
      <c r="D94" s="49">
        <v>-7259</v>
      </c>
      <c r="E94" s="49">
        <v>-53</v>
      </c>
      <c r="F94" s="49">
        <v>-3916</v>
      </c>
      <c r="G94" s="49">
        <v>-4282</v>
      </c>
      <c r="H94" s="49">
        <v>-4592</v>
      </c>
      <c r="I94" s="49">
        <v>-3921</v>
      </c>
      <c r="J94" s="49">
        <v>-4297</v>
      </c>
      <c r="K94" s="49">
        <v>-5083</v>
      </c>
      <c r="L94" s="49">
        <v>-6089</v>
      </c>
      <c r="M94" s="49">
        <v>0</v>
      </c>
    </row>
    <row r="95" spans="2:13" x14ac:dyDescent="0.3">
      <c r="B95" t="s">
        <v>138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-1062</v>
      </c>
      <c r="I95" s="49">
        <v>-1022</v>
      </c>
      <c r="J95" s="49">
        <v>-2132</v>
      </c>
      <c r="K95" s="49">
        <v>-1406</v>
      </c>
      <c r="L95" s="49">
        <v>-2483</v>
      </c>
      <c r="M95" s="49">
        <v>0</v>
      </c>
    </row>
    <row r="96" spans="2:13" x14ac:dyDescent="0.3">
      <c r="B96" t="s">
        <v>139</v>
      </c>
      <c r="C96" s="49">
        <v>17</v>
      </c>
      <c r="D96" s="49">
        <v>8</v>
      </c>
      <c r="E96" s="49">
        <v>4</v>
      </c>
      <c r="F96" s="49">
        <v>15</v>
      </c>
      <c r="G96" s="49">
        <v>2</v>
      </c>
      <c r="H96" s="49">
        <v>1</v>
      </c>
      <c r="I96" s="49">
        <v>0</v>
      </c>
      <c r="J96" s="49">
        <v>0</v>
      </c>
      <c r="K96" s="49">
        <v>0</v>
      </c>
      <c r="L96" s="49">
        <v>0</v>
      </c>
      <c r="M96" s="49">
        <v>0</v>
      </c>
    </row>
    <row r="97" spans="2:13" ht="15" thickBot="1" x14ac:dyDescent="0.35">
      <c r="B97" t="s">
        <v>140</v>
      </c>
      <c r="C97" s="49">
        <v>-3</v>
      </c>
      <c r="D97" s="49">
        <v>-3</v>
      </c>
      <c r="E97" s="49">
        <v>7589</v>
      </c>
      <c r="F97" s="49">
        <v>2006</v>
      </c>
      <c r="G97" s="49">
        <v>-3162</v>
      </c>
      <c r="H97" s="49">
        <v>-4090</v>
      </c>
      <c r="I97" s="49">
        <v>195682</v>
      </c>
      <c r="J97" s="49">
        <v>39762</v>
      </c>
      <c r="K97" s="49">
        <v>40</v>
      </c>
      <c r="L97" s="49">
        <v>-1078</v>
      </c>
      <c r="M97" s="49">
        <v>0</v>
      </c>
    </row>
    <row r="98" spans="2:13" ht="15" thickBot="1" x14ac:dyDescent="0.35">
      <c r="B98" s="43" t="s">
        <v>146</v>
      </c>
      <c r="C98" s="50">
        <f>SUM(_xlfn.ANCHORARRAY(C90))</f>
        <v>8444</v>
      </c>
      <c r="D98" s="50">
        <f t="shared" ref="D98:M98" si="32">SUM(_xlfn.ANCHORARRAY(D90))</f>
        <v>-3210</v>
      </c>
      <c r="E98" s="50" t="s">
        <v>148</v>
      </c>
      <c r="F98" s="50">
        <f t="shared" si="32"/>
        <v>-2001</v>
      </c>
      <c r="G98" s="50">
        <f t="shared" si="32"/>
        <v>55906</v>
      </c>
      <c r="H98" s="50">
        <f t="shared" si="32"/>
        <v>-2541</v>
      </c>
      <c r="I98" s="50">
        <f t="shared" si="32"/>
        <v>101904</v>
      </c>
      <c r="J98" s="50">
        <f t="shared" si="32"/>
        <v>17289</v>
      </c>
      <c r="K98" s="50">
        <f t="shared" si="32"/>
        <v>10455</v>
      </c>
      <c r="L98" s="50">
        <f t="shared" si="32"/>
        <v>-16646</v>
      </c>
      <c r="M98" s="50">
        <f t="shared" si="32"/>
        <v>0</v>
      </c>
    </row>
    <row r="99" spans="2:13" x14ac:dyDescent="0.3"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</row>
    <row r="100" spans="2:13" x14ac:dyDescent="0.3">
      <c r="B100" s="2" t="s">
        <v>147</v>
      </c>
      <c r="C100" s="51">
        <f>SUM(C77,C87,C98)</f>
        <v>-20073</v>
      </c>
      <c r="D100" s="51">
        <f t="shared" ref="D100:M100" si="33">SUM(D77,D87,D98)</f>
        <v>6567</v>
      </c>
      <c r="E100" s="51">
        <f t="shared" si="33"/>
        <v>-1188</v>
      </c>
      <c r="F100" s="51">
        <f t="shared" si="33"/>
        <v>19804</v>
      </c>
      <c r="G100" s="51">
        <f t="shared" si="33"/>
        <v>-25037</v>
      </c>
      <c r="H100" s="51">
        <f t="shared" si="33"/>
        <v>37755</v>
      </c>
      <c r="I100" s="51">
        <f t="shared" si="33"/>
        <v>-63481</v>
      </c>
      <c r="J100" s="51">
        <f t="shared" si="33"/>
        <v>19506</v>
      </c>
      <c r="K100" s="51">
        <f t="shared" si="33"/>
        <v>12852</v>
      </c>
      <c r="L100" s="51">
        <f t="shared" si="33"/>
        <v>34927</v>
      </c>
      <c r="M100" s="51">
        <f t="shared" si="33"/>
        <v>0</v>
      </c>
    </row>
  </sheetData>
  <pageMargins left="0.7" right="0.7" top="0.75" bottom="0.75" header="0.3" footer="0.3"/>
  <ignoredErrors>
    <ignoredError sqref="M6 M9 M21 M24 M30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267A-668D-4F33-A875-FEC19731CA9B}">
  <sheetPr>
    <tabColor rgb="FF00B050"/>
  </sheetPr>
  <dimension ref="B2:O52"/>
  <sheetViews>
    <sheetView showGridLines="0" topLeftCell="C6" zoomScaleNormal="100" workbookViewId="0">
      <selection activeCell="B49" sqref="B49"/>
    </sheetView>
  </sheetViews>
  <sheetFormatPr defaultRowHeight="14.4" x14ac:dyDescent="0.3"/>
  <cols>
    <col min="1" max="1" width="4.88671875" customWidth="1"/>
    <col min="2" max="2" width="47.109375" customWidth="1"/>
    <col min="3" max="3" width="13.88671875" bestFit="1" customWidth="1"/>
    <col min="4" max="4" width="10" customWidth="1"/>
    <col min="5" max="12" width="12.5546875" bestFit="1" customWidth="1"/>
    <col min="13" max="13" width="29.5546875" customWidth="1"/>
    <col min="14" max="14" width="12.33203125" bestFit="1" customWidth="1"/>
    <col min="15" max="15" width="11.44140625" customWidth="1"/>
  </cols>
  <sheetData>
    <row r="2" spans="2:15" x14ac:dyDescent="0.3">
      <c r="B2" s="22" t="str">
        <f xml:space="preserve"> "RATIO ANALYSIS OF  = " &amp; 'Data Sheet'!B1</f>
        <v>RATIO ANALYSIS OF  = RELIANCE INDUSTRIES LTD</v>
      </c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2:15" x14ac:dyDescent="0.3">
      <c r="B3" s="22" t="s">
        <v>81</v>
      </c>
      <c r="C3" s="23">
        <f>'Data Sheet'!B16</f>
        <v>42094</v>
      </c>
      <c r="D3" s="23">
        <f>'Data Sheet'!C16</f>
        <v>42460</v>
      </c>
      <c r="E3" s="23">
        <f>'Data Sheet'!D16</f>
        <v>42825</v>
      </c>
      <c r="F3" s="23">
        <f>'Data Sheet'!E16</f>
        <v>43190</v>
      </c>
      <c r="G3" s="23">
        <f>'Data Sheet'!F16</f>
        <v>43555</v>
      </c>
      <c r="H3" s="23">
        <f>'Data Sheet'!G16</f>
        <v>43921</v>
      </c>
      <c r="I3" s="23">
        <f>'Data Sheet'!H16</f>
        <v>44286</v>
      </c>
      <c r="J3" s="23">
        <f>'Data Sheet'!I16</f>
        <v>44651</v>
      </c>
      <c r="K3" s="23">
        <f>'Data Sheet'!J16</f>
        <v>45016</v>
      </c>
      <c r="L3" s="23">
        <f>'Data Sheet'!K16</f>
        <v>45382</v>
      </c>
      <c r="M3" s="71" t="s">
        <v>188</v>
      </c>
      <c r="N3" s="71" t="s">
        <v>186</v>
      </c>
      <c r="O3" s="71" t="s">
        <v>187</v>
      </c>
    </row>
    <row r="4" spans="2:15" s="34" customFormat="1" x14ac:dyDescent="0.3">
      <c r="B4" s="53"/>
      <c r="C4" s="54"/>
      <c r="D4" s="54"/>
      <c r="E4" s="54"/>
      <c r="F4" s="54"/>
      <c r="G4" s="54"/>
      <c r="H4" s="54"/>
      <c r="I4" s="54"/>
      <c r="J4" s="54"/>
      <c r="K4" s="54"/>
      <c r="L4" s="54"/>
    </row>
    <row r="5" spans="2:15" x14ac:dyDescent="0.3">
      <c r="B5" s="55" t="s">
        <v>22</v>
      </c>
      <c r="C5" s="56" t="str">
        <f>IFERROR('historical fs'!C7,0)</f>
        <v>-</v>
      </c>
      <c r="D5" s="57">
        <f>IFERROR('historical fs'!D7,0)</f>
        <v>-0.27189266291282466</v>
      </c>
      <c r="E5" s="57">
        <f>IFERROR('historical fs'!E7,0)</f>
        <v>0.11508788148930793</v>
      </c>
      <c r="F5" s="57">
        <f>IFERROR('historical fs'!F7,0)</f>
        <v>0.28579653500200686</v>
      </c>
      <c r="G5" s="57">
        <f>IFERROR('historical fs'!G7,0)</f>
        <v>0.45420561225925793</v>
      </c>
      <c r="H5" s="57">
        <f>IFERROR('historical fs'!H7,0)</f>
        <v>4.9868299969912266E-2</v>
      </c>
      <c r="I5" s="57">
        <f>IFERROR('historical fs'!I7,0)</f>
        <v>-0.21849604226057895</v>
      </c>
      <c r="J5" s="57">
        <f>IFERROR('historical fs'!J7,0)</f>
        <v>0.48973315862725619</v>
      </c>
      <c r="K5" s="57">
        <f>IFERROR('historical fs'!K7,0)</f>
        <v>0.26159502384575184</v>
      </c>
      <c r="L5" s="57">
        <f>IFERROR('historical fs'!L7,0)</f>
        <v>2.5838776078393799E-2</v>
      </c>
      <c r="M5" s="55"/>
      <c r="N5" s="57">
        <f>IFERROR((AVERAGE(D5:L5)),0)</f>
        <v>0.13241517578872036</v>
      </c>
      <c r="O5" s="57">
        <f>IFERROR(MEDIAN(C5:L5),0)</f>
        <v>0.11508788148930793</v>
      </c>
    </row>
    <row r="6" spans="2:15" x14ac:dyDescent="0.3">
      <c r="B6" t="s">
        <v>150</v>
      </c>
      <c r="C6" s="58" t="s">
        <v>86</v>
      </c>
      <c r="D6" s="5">
        <f>IFERROR('historical fs'!D18/'historical fs'!C18-1,0)</f>
        <v>0.11567732115677321</v>
      </c>
      <c r="E6" s="5">
        <f>IFERROR('historical fs'!E18/'historical fs'!D18-1,0)</f>
        <v>0.10832675139417436</v>
      </c>
      <c r="F6" s="5">
        <f>IFERROR('historical fs'!F18/'historical fs'!E18-1,0)</f>
        <v>0.38888289027576817</v>
      </c>
      <c r="G6" s="5">
        <f>IFERROR('historical fs'!G18/'historical fs'!F18-1,0)</f>
        <v>0.3099587965482391</v>
      </c>
      <c r="H6" s="5">
        <f>IFERROR('historical fs'!H18/'historical fs'!G18-1,0)</f>
        <v>5.9537091988130619E-2</v>
      </c>
      <c r="I6" s="5">
        <f>IFERROR('historical fs'!I18/'historical fs'!H18-1,0)</f>
        <v>-9.4952165438128788E-2</v>
      </c>
      <c r="J6" s="5">
        <f>IFERROR('historical fs'!J18/'historical fs'!I18-1,0)</f>
        <v>0.34399059289516032</v>
      </c>
      <c r="K6" s="5">
        <f>IFERROR('historical fs'!K18/'historical fs'!J18-1,0)</f>
        <v>0.31070813494073546</v>
      </c>
      <c r="L6" s="5">
        <f>IFERROR('historical fs'!L18/'historical fs'!K18-1,0)</f>
        <v>0.14179513483888195</v>
      </c>
      <c r="N6" s="5">
        <f t="shared" ref="N6:N9" si="0">IFERROR((AVERAGE(D6:L6)),0)</f>
        <v>0.18710272762219271</v>
      </c>
      <c r="O6" s="5">
        <f t="shared" ref="O6:O52" si="1">IFERROR(MEDIAN(C6:L6),0)</f>
        <v>0.14179513483888195</v>
      </c>
    </row>
    <row r="7" spans="2:15" x14ac:dyDescent="0.3">
      <c r="B7" t="s">
        <v>174</v>
      </c>
      <c r="C7" s="58" t="s">
        <v>86</v>
      </c>
      <c r="D7" s="5">
        <f>IFERROR('historical fs'!D27/'historical fs'!C27-1,0)</f>
        <v>0.17440007084034348</v>
      </c>
      <c r="E7" s="5">
        <f>IFERROR('historical fs'!E27/'historical fs'!D27-1,0)</f>
        <v>0.1616211121583413</v>
      </c>
      <c r="F7" s="5">
        <f>IFERROR('historical fs'!F27/'historical fs'!E27-1,0)</f>
        <v>0.28381799298974419</v>
      </c>
      <c r="G7" s="5">
        <f>IFERROR('historical fs'!G27/'historical fs'!F27-1,0)</f>
        <v>0.18363374371160601</v>
      </c>
      <c r="H7" s="5">
        <f>IFERROR('historical fs'!H27/'historical fs'!G27-1,0)</f>
        <v>-3.8123918754405128E-2</v>
      </c>
      <c r="I7" s="5">
        <f>IFERROR('historical fs'!I27/'historical fs'!H27-1,0)</f>
        <v>-0.26660893507416294</v>
      </c>
      <c r="J7" s="5">
        <f>IFERROR('historical fs'!J27/'historical fs'!I27-1,0)</f>
        <v>0.94420055103091216</v>
      </c>
      <c r="K7" s="5">
        <f>IFERROR('historical fs'!K27/'historical fs'!J27-1,0)</f>
        <v>0.28387448415479244</v>
      </c>
      <c r="L7" s="5">
        <f>IFERROR('historical fs'!L27/'historical fs'!K27-1,0)</f>
        <v>7.4038134976468939E-2</v>
      </c>
      <c r="N7" s="5">
        <f t="shared" si="0"/>
        <v>0.20009480400373783</v>
      </c>
      <c r="O7" s="5">
        <f t="shared" si="1"/>
        <v>0.17440007084034348</v>
      </c>
    </row>
    <row r="8" spans="2:15" x14ac:dyDescent="0.3">
      <c r="B8" t="s">
        <v>151</v>
      </c>
      <c r="C8" s="58" t="s">
        <v>86</v>
      </c>
      <c r="D8" s="5">
        <f>IFERROR('historical fs'!D33/'historical fs'!C33-1,0)</f>
        <v>0.16787983059820011</v>
      </c>
      <c r="E8" s="5">
        <f>IFERROR('historical fs'!E33/'historical fs'!D33-1,0)</f>
        <v>0.16782820556405453</v>
      </c>
      <c r="F8" s="5">
        <f>IFERROR('historical fs'!F33/'historical fs'!E33-1,0)</f>
        <v>0.27169957789529864</v>
      </c>
      <c r="G8" s="5">
        <f>IFERROR('historical fs'!G33/'historical fs'!F33-1,0)</f>
        <v>0.19915302735492735</v>
      </c>
      <c r="H8" s="5">
        <f>IFERROR('historical fs'!H33/'historical fs'!G33-1,0)</f>
        <v>-3.8497025229868864E-3</v>
      </c>
      <c r="I8" s="5">
        <f>IFERROR('historical fs'!I33/'historical fs'!H33-1,0)</f>
        <v>-9.5816033216178376E-5</v>
      </c>
      <c r="J8" s="5">
        <f>IFERROR('historical fs'!J33/'historical fs'!I33-1,0)</f>
        <v>0.54102916280704005</v>
      </c>
      <c r="K8" s="5">
        <f>IFERROR('historical fs'!K33/'historical fs'!J33-1,0)</f>
        <v>0.2865167374857498</v>
      </c>
      <c r="L8" s="5">
        <f>IFERROR('historical fs'!L33/'historical fs'!K33-1,0)</f>
        <v>1.2454082619062889E-2</v>
      </c>
      <c r="N8" s="5">
        <f t="shared" si="0"/>
        <v>0.18251278952979227</v>
      </c>
      <c r="O8" s="5">
        <f t="shared" si="1"/>
        <v>0.16787983059820011</v>
      </c>
    </row>
    <row r="9" spans="2:15" x14ac:dyDescent="0.3">
      <c r="B9" s="59" t="s">
        <v>152</v>
      </c>
      <c r="C9" s="60" t="s">
        <v>86</v>
      </c>
      <c r="D9" s="61">
        <f>IFERROR('historical fs'!D41/'historical fs'!C41-1,0)</f>
        <v>5.0247199207957616E-2</v>
      </c>
      <c r="E9" s="61">
        <f>IFERROR('historical fs'!E41/'historical fs'!D41-1,0)</f>
        <v>4.8010902693853774E-2</v>
      </c>
      <c r="F9" s="61">
        <f>IFERROR('historical fs'!F41/'historical fs'!E41-1,0)</f>
        <v>0.12058974503172193</v>
      </c>
      <c r="G9" s="61">
        <f>IFERROR('historical fs'!G41/'historical fs'!F41-1,0)</f>
        <v>8.3367615983582111E-2</v>
      </c>
      <c r="H9" s="61">
        <f>IFERROR('historical fs'!H41/'historical fs'!G41-1,0)</f>
        <v>6.9605871424865962E-2</v>
      </c>
      <c r="I9" s="61">
        <f>IFERROR('historical fs'!I41/'historical fs'!H41-1,0)</f>
        <v>0.16788694796885184</v>
      </c>
      <c r="J9" s="61">
        <f>IFERROR('historical fs'!J41/'historical fs'!I41-1,0)</f>
        <v>0.12415714701001423</v>
      </c>
      <c r="K9" s="61">
        <f>IFERROR('historical fs'!K41/'historical fs'!J41-1,0)</f>
        <v>0.12504988225291025</v>
      </c>
      <c r="L9" s="61">
        <f>IFERROR('historical fs'!L41/'historical fs'!K41-1,0)</f>
        <v>0.11109468840376202</v>
      </c>
      <c r="M9" s="59"/>
      <c r="N9" s="61">
        <f t="shared" si="0"/>
        <v>0.1000011111086133</v>
      </c>
      <c r="O9" s="61">
        <f t="shared" si="1"/>
        <v>0.11109468840376202</v>
      </c>
    </row>
    <row r="10" spans="2:15" x14ac:dyDescent="0.3">
      <c r="O10" s="5"/>
    </row>
    <row r="11" spans="2:15" x14ac:dyDescent="0.3">
      <c r="B11" s="55" t="s">
        <v>149</v>
      </c>
      <c r="C11" s="57">
        <f>IFERROR('historical fs'!C13,0)</f>
        <v>0.13860278012244506</v>
      </c>
      <c r="D11" s="57">
        <f>IFERROR('historical fs'!D13,0)</f>
        <v>0.21039096348635095</v>
      </c>
      <c r="E11" s="57">
        <f>IFERROR('historical fs'!E13,0)</f>
        <v>0.20432697052843524</v>
      </c>
      <c r="F11" s="57">
        <f>IFERROR('historical fs'!F13,0)</f>
        <v>0.22919326651706784</v>
      </c>
      <c r="G11" s="57">
        <f>IFERROR('historical fs'!G13,0)</f>
        <v>0.23249410121107722</v>
      </c>
      <c r="H11" s="57">
        <f>IFERROR('historical fs'!H13,0)</f>
        <v>0.25278583627042345</v>
      </c>
      <c r="I11" s="57">
        <f>IFERROR('historical fs'!I13,0)</f>
        <v>0.29570218761459727</v>
      </c>
      <c r="J11" s="57">
        <f>IFERROR('historical fs'!J13,0)</f>
        <v>0.24881778908925495</v>
      </c>
      <c r="K11" s="57">
        <f>IFERROR('historical fs'!K13,0)</f>
        <v>0.24911227344716316</v>
      </c>
      <c r="L11" s="57">
        <f>IFERROR('historical fs'!L13,0)</f>
        <v>0.27541124375862724</v>
      </c>
      <c r="M11" s="55"/>
      <c r="N11" s="57">
        <f>IFERROR(AVERAGE(C11:L11),0)</f>
        <v>0.23368374120454422</v>
      </c>
      <c r="O11" s="57">
        <f t="shared" si="1"/>
        <v>0.24065594515016608</v>
      </c>
    </row>
    <row r="12" spans="2:15" x14ac:dyDescent="0.3">
      <c r="B12" t="s">
        <v>153</v>
      </c>
      <c r="C12" s="5">
        <f>IFERROR('historical fs'!C19,0)</f>
        <v>0.10003151945124102</v>
      </c>
      <c r="D12" s="5">
        <f>IFERROR('historical fs'!D19,0)</f>
        <v>0.15327808410649232</v>
      </c>
      <c r="E12" s="5">
        <f>IFERROR('historical fs'!E19,0)</f>
        <v>0.15234871066016567</v>
      </c>
      <c r="F12" s="5">
        <f>IFERROR('historical fs'!F19,0)</f>
        <v>0.16456298631349742</v>
      </c>
      <c r="G12" s="5">
        <f>IFERROR('historical fs'!G19,0)</f>
        <v>0.14823951282425743</v>
      </c>
      <c r="H12" s="5">
        <f>IFERROR('historical fs'!H19,0)</f>
        <v>0.1496047288408005</v>
      </c>
      <c r="I12" s="5">
        <f>IFERROR('historical fs'!I19,0)</f>
        <v>0.17325495864312568</v>
      </c>
      <c r="J12" s="5">
        <f>IFERROR('historical fs'!J19,0)</f>
        <v>0.15630519683361813</v>
      </c>
      <c r="K12" s="5">
        <f>IFERROR('historical fs'!K19,0)</f>
        <v>0.16239006111392568</v>
      </c>
      <c r="L12" s="5">
        <f>IFERROR('historical fs'!L19,0)</f>
        <v>0.18074592816122959</v>
      </c>
      <c r="N12" s="5">
        <f t="shared" ref="N12:N52" si="2">IFERROR(AVERAGE(C12:L12),0)</f>
        <v>0.15407616869483534</v>
      </c>
      <c r="O12" s="5">
        <f t="shared" si="1"/>
        <v>0.15479164047005523</v>
      </c>
    </row>
    <row r="13" spans="2:15" x14ac:dyDescent="0.3">
      <c r="B13" t="s">
        <v>154</v>
      </c>
      <c r="C13" s="5">
        <f>IFERROR(('historical fs'!C18-'historical fs'!C24)/'historical fs'!C6,0)</f>
        <v>6.9187866613956178E-2</v>
      </c>
      <c r="D13" s="5">
        <f>IFERROR(('historical fs'!D18-'historical fs'!D24)/'historical fs'!D6,0)</f>
        <v>0.11085063998855395</v>
      </c>
      <c r="E13" s="5">
        <f>IFERROR(('historical fs'!E18-'historical fs'!E24)/'historical fs'!E6,0)</f>
        <v>0.11403370246813663</v>
      </c>
      <c r="F13" s="5">
        <f>IFERROR(('historical fs'!F18-'historical fs'!F24)/'historical fs'!F6,0)</f>
        <v>0.12181729325039724</v>
      </c>
      <c r="G13" s="5">
        <f>IFERROR(('historical fs'!G18-'historical fs'!G24)/'historical fs'!G6,0)</f>
        <v>0.11140573286623957</v>
      </c>
      <c r="H13" s="5">
        <f>IFERROR(('historical fs'!H18-'historical fs'!H24)/'historical fs'!H6,0)</f>
        <v>0.11239376616237541</v>
      </c>
      <c r="I13" s="5">
        <f>IFERROR(('historical fs'!I18-'historical fs'!I24)/'historical fs'!I6,0)</f>
        <v>0.11627104032322054</v>
      </c>
      <c r="J13" s="5">
        <f>IFERROR(('historical fs'!J18-'historical fs'!J24)/'historical fs'!J6,0)</f>
        <v>0.11343322685637702</v>
      </c>
      <c r="K13" s="5">
        <f>IFERROR(('historical fs'!K18-'historical fs'!K24)/'historical fs'!K6,0)</f>
        <v>0.11640285898155628</v>
      </c>
      <c r="L13" s="5">
        <f>IFERROR(('historical fs'!L18-'historical fs'!L24)/'historical fs'!L6,0)</f>
        <v>0.12420568138716699</v>
      </c>
      <c r="N13" s="5">
        <f t="shared" si="2"/>
        <v>0.11100018088979799</v>
      </c>
      <c r="O13" s="5">
        <f t="shared" si="1"/>
        <v>0.11373346466225683</v>
      </c>
    </row>
    <row r="14" spans="2:15" x14ac:dyDescent="0.3">
      <c r="B14" t="s">
        <v>155</v>
      </c>
      <c r="C14" s="5">
        <f>IFERROR('historical fs'!C28,0)</f>
        <v>6.033036658724477E-2</v>
      </c>
      <c r="D14" s="5">
        <f>IFERROR('historical fs'!D28,0)</f>
        <v>9.7309810222941273E-2</v>
      </c>
      <c r="E14" s="5">
        <f>IFERROR('historical fs'!E28,0)</f>
        <v>0.10137060213058555</v>
      </c>
      <c r="F14" s="5">
        <f>IFERROR('historical fs'!F28,0)</f>
        <v>0.10121461633527198</v>
      </c>
      <c r="G14" s="5">
        <f>IFERROR('historical fs'!G28,0)</f>
        <v>8.238245970260602E-2</v>
      </c>
      <c r="H14" s="5">
        <f>IFERROR('historical fs'!H28,0)</f>
        <v>7.5477769453927493E-2</v>
      </c>
      <c r="I14" s="5">
        <f>IFERROR('historical fs'!I28,0)</f>
        <v>7.0831019049681865E-2</v>
      </c>
      <c r="J14" s="5">
        <f>IFERROR('historical fs'!J28,0)</f>
        <v>9.2439176418257218E-2</v>
      </c>
      <c r="K14" s="5">
        <f>IFERROR('historical fs'!K28,0)</f>
        <v>9.4071629719898311E-2</v>
      </c>
      <c r="L14" s="5">
        <f>IFERROR('historical fs'!L28,0)</f>
        <v>9.8491614954156703E-2</v>
      </c>
      <c r="N14" s="5">
        <f t="shared" si="2"/>
        <v>8.7391906457457133E-2</v>
      </c>
      <c r="O14" s="5">
        <f t="shared" si="1"/>
        <v>9.3255403069077758E-2</v>
      </c>
    </row>
    <row r="15" spans="2:15" x14ac:dyDescent="0.3">
      <c r="B15" s="59" t="s">
        <v>156</v>
      </c>
      <c r="C15" s="61">
        <f>IFERROR('historical fs'!C34,0)</f>
        <v>4.0366266707980297E-2</v>
      </c>
      <c r="D15" s="61">
        <f>IFERROR('historical fs'!D34,0)</f>
        <v>6.4747251295935546E-2</v>
      </c>
      <c r="E15" s="61">
        <f>IFERROR('historical fs'!E34,0)</f>
        <v>6.7809602768840016E-2</v>
      </c>
      <c r="F15" s="61">
        <f>IFERROR('historical fs'!F34,0)</f>
        <v>6.7066165502030331E-2</v>
      </c>
      <c r="G15" s="61">
        <f>IFERROR('historical fs'!G34,0)</f>
        <v>5.5303455520228313E-2</v>
      </c>
      <c r="H15" s="61">
        <f>IFERROR('historical fs'!H34,0)</f>
        <v>5.247377568173172E-2</v>
      </c>
      <c r="I15" s="61">
        <f>IFERROR('historical fs'!I34,0)</f>
        <v>6.7138172920415087E-2</v>
      </c>
      <c r="J15" s="61">
        <f>IFERROR('historical fs'!J34,0)</f>
        <v>6.944994263488001E-2</v>
      </c>
      <c r="K15" s="61">
        <f>IFERROR('historical fs'!K34,0)</f>
        <v>7.0821865914495269E-2</v>
      </c>
      <c r="L15" s="61">
        <f>IFERROR('historical fs'!L34,0)</f>
        <v>6.9897813336655387E-2</v>
      </c>
      <c r="M15" s="59"/>
      <c r="N15" s="61">
        <f t="shared" si="2"/>
        <v>6.2507431228319185E-2</v>
      </c>
      <c r="O15" s="61">
        <f t="shared" si="1"/>
        <v>6.7102169211222709E-2</v>
      </c>
    </row>
    <row r="16" spans="2:15" x14ac:dyDescent="0.3">
      <c r="N16" s="5"/>
      <c r="O16" s="5"/>
    </row>
    <row r="17" spans="2:15" x14ac:dyDescent="0.3">
      <c r="B17" s="55" t="s">
        <v>157</v>
      </c>
      <c r="C17" s="57">
        <f>IFERROR('historical fs'!C16,0)</f>
        <v>3.857126067120404E-2</v>
      </c>
      <c r="D17" s="57">
        <f>IFERROR('historical fs'!D16,0)</f>
        <v>5.7112879379858615E-2</v>
      </c>
      <c r="E17" s="57">
        <f>IFERROR('historical fs'!E16,0)</f>
        <v>5.1978259868269538E-2</v>
      </c>
      <c r="F17" s="57">
        <f>IFERROR('historical fs'!F16,0)</f>
        <v>6.4630280203570409E-2</v>
      </c>
      <c r="G17" s="57">
        <f>IFERROR('historical fs'!G16,0)</f>
        <v>8.425458838681979E-2</v>
      </c>
      <c r="H17" s="57">
        <f>IFERROR('historical fs'!H16,0)</f>
        <v>0.10318110742962296</v>
      </c>
      <c r="I17" s="57">
        <f>IFERROR('historical fs'!I16,0)</f>
        <v>0.12244722897147159</v>
      </c>
      <c r="J17" s="57">
        <f>IFERROR('historical fs'!J16,0)</f>
        <v>9.2512592255636822E-2</v>
      </c>
      <c r="K17" s="57">
        <f>IFERROR('historical fs'!K16,0)</f>
        <v>8.6722212333237486E-2</v>
      </c>
      <c r="L17" s="57">
        <f>IFERROR('historical fs'!L16,0)</f>
        <v>9.4665315597397673E-2</v>
      </c>
      <c r="M17" s="55"/>
      <c r="N17" s="57">
        <f t="shared" si="2"/>
        <v>7.9607572509708874E-2</v>
      </c>
      <c r="O17" s="57">
        <f t="shared" si="1"/>
        <v>8.5488400360028638E-2</v>
      </c>
    </row>
    <row r="18" spans="2:15" x14ac:dyDescent="0.3">
      <c r="B18" t="s">
        <v>158</v>
      </c>
      <c r="C18" s="5">
        <f>IFERROR('historical fs'!C25,0)</f>
        <v>3.0843652837284841E-2</v>
      </c>
      <c r="D18" s="5">
        <f>IFERROR('historical fs'!D25,0)</f>
        <v>4.242744411793839E-2</v>
      </c>
      <c r="E18" s="5">
        <f>IFERROR('historical fs'!E25,0)</f>
        <v>3.8315008192029057E-2</v>
      </c>
      <c r="F18" s="5">
        <f>IFERROR('historical fs'!F25,0)</f>
        <v>4.2745693063100179E-2</v>
      </c>
      <c r="G18" s="5">
        <f>IFERROR('historical fs'!G25,0)</f>
        <v>3.6833779958017863E-2</v>
      </c>
      <c r="H18" s="5">
        <f>IFERROR('historical fs'!H25,0)</f>
        <v>3.721096267842508E-2</v>
      </c>
      <c r="I18" s="5">
        <f>IFERROR('historical fs'!I25,0)</f>
        <v>5.6983918319905125E-2</v>
      </c>
      <c r="J18" s="5">
        <f>IFERROR('historical fs'!J25,0)</f>
        <v>4.2871969977241089E-2</v>
      </c>
      <c r="K18" s="5">
        <f>IFERROR('historical fs'!K25,0)</f>
        <v>4.5987202132369384E-2</v>
      </c>
      <c r="L18" s="5">
        <f>IFERROR('historical fs'!L25,0)</f>
        <v>5.6540246774062587E-2</v>
      </c>
      <c r="N18" s="5">
        <f t="shared" si="2"/>
        <v>4.3075987805037366E-2</v>
      </c>
      <c r="O18" s="5">
        <f t="shared" si="1"/>
        <v>4.2586568590519285E-2</v>
      </c>
    </row>
    <row r="19" spans="2:15" x14ac:dyDescent="0.3">
      <c r="B19" s="59" t="s">
        <v>175</v>
      </c>
      <c r="C19" s="61">
        <f>IFERROR(C13,0)</f>
        <v>6.9187866613956178E-2</v>
      </c>
      <c r="D19" s="61">
        <f t="shared" ref="D19:L19" si="3">IFERROR(D13,0)</f>
        <v>0.11085063998855395</v>
      </c>
      <c r="E19" s="61">
        <f t="shared" si="3"/>
        <v>0.11403370246813663</v>
      </c>
      <c r="F19" s="61">
        <f t="shared" si="3"/>
        <v>0.12181729325039724</v>
      </c>
      <c r="G19" s="61">
        <f t="shared" si="3"/>
        <v>0.11140573286623957</v>
      </c>
      <c r="H19" s="61">
        <f t="shared" si="3"/>
        <v>0.11239376616237541</v>
      </c>
      <c r="I19" s="61">
        <f t="shared" si="3"/>
        <v>0.11627104032322054</v>
      </c>
      <c r="J19" s="61">
        <f t="shared" si="3"/>
        <v>0.11343322685637702</v>
      </c>
      <c r="K19" s="61">
        <f t="shared" si="3"/>
        <v>0.11640285898155628</v>
      </c>
      <c r="L19" s="61">
        <f t="shared" si="3"/>
        <v>0.12420568138716699</v>
      </c>
      <c r="M19" s="59"/>
      <c r="N19" s="61">
        <f t="shared" si="2"/>
        <v>0.11100018088979799</v>
      </c>
      <c r="O19" s="61">
        <f t="shared" si="1"/>
        <v>0.11373346466225683</v>
      </c>
    </row>
    <row r="20" spans="2:15" x14ac:dyDescent="0.3">
      <c r="N20" s="5"/>
      <c r="O20" s="5"/>
    </row>
    <row r="21" spans="2:15" x14ac:dyDescent="0.3">
      <c r="B21" s="55" t="s">
        <v>159</v>
      </c>
      <c r="C21" s="57">
        <f>IFERROR(('historical fs'!C18-'historical fs'!C24)/(SUM('historical fs'!C47:C49)),0)</f>
        <v>6.6973497091144155E-2</v>
      </c>
      <c r="D21" s="57">
        <f>IFERROR(('historical fs'!D18-'historical fs'!D24)/(SUM('historical fs'!D47:D49)),0)</f>
        <v>7.0884650573580121E-2</v>
      </c>
      <c r="E21" s="57">
        <f>IFERROR(('historical fs'!E18-'historical fs'!E24)/(SUM('historical fs'!E47:E49)),0)</f>
        <v>7.203273591806876E-2</v>
      </c>
      <c r="F21" s="57">
        <f>IFERROR(('historical fs'!F18-'historical fs'!F24)/(SUM('historical fs'!F47:F49)),0)</f>
        <v>8.9264252862572169E-2</v>
      </c>
      <c r="G21" s="57">
        <f>IFERROR(('historical fs'!G18-'historical fs'!G24)/(SUM('historical fs'!G47:G49)),0)</f>
        <v>9.1124972295222109E-2</v>
      </c>
      <c r="H21" s="57">
        <f>IFERROR(('historical fs'!H18-'historical fs'!H24)/(SUM('historical fs'!H47:H49)),0)</f>
        <v>8.3380683054436217E-2</v>
      </c>
      <c r="I21" s="57">
        <f>IFERROR(('historical fs'!I18-'historical fs'!I24)/(SUM('historical fs'!I47:I49)),0)</f>
        <v>5.5373421819689642E-2</v>
      </c>
      <c r="J21" s="57">
        <f>IFERROR(('historical fs'!J18-'historical fs'!J24)/(SUM('historical fs'!J47:J49)),0)</f>
        <v>7.1723935800801539E-2</v>
      </c>
      <c r="K21" s="57">
        <f>IFERROR(('historical fs'!K18-'historical fs'!K24)/(SUM('historical fs'!K47:K49)),0)</f>
        <v>8.737632073015307E-2</v>
      </c>
      <c r="L21" s="57">
        <f>IFERROR(('historical fs'!L18-'historical fs'!L24)/(SUM('historical fs'!L47:L49)),0)</f>
        <v>8.9156484136970721E-2</v>
      </c>
      <c r="M21" s="55"/>
      <c r="N21" s="57">
        <f t="shared" si="2"/>
        <v>7.7729095428263853E-2</v>
      </c>
      <c r="O21" s="57">
        <f t="shared" si="1"/>
        <v>7.7706709486252495E-2</v>
      </c>
    </row>
    <row r="22" spans="2:15" x14ac:dyDescent="0.3">
      <c r="B22" t="s">
        <v>176</v>
      </c>
      <c r="C22" s="5">
        <f>IFERROR('historical fs'!C44,0)</f>
        <v>0.80525410269984121</v>
      </c>
      <c r="D22" s="5">
        <f>IFERROR('historical fs'!D44,0)</f>
        <v>0.8246132925378209</v>
      </c>
      <c r="E22" s="5">
        <f>IFERROR('historical fs'!E44,0)</f>
        <v>0.84207947212653433</v>
      </c>
      <c r="F22" s="5">
        <f>IFERROR('historical fs'!F44,0)</f>
        <v>0.86443859448323224</v>
      </c>
      <c r="G22" s="5">
        <f>IFERROR('historical fs'!G44,0)</f>
        <v>0.87744901530336294</v>
      </c>
      <c r="H22" s="5">
        <f>IFERROR('historical fs'!H44,0)</f>
        <v>0.86840146917917593</v>
      </c>
      <c r="I22" s="5">
        <f>IFERROR('historical fs'!I44,0)</f>
        <v>0.85589484779761715</v>
      </c>
      <c r="J22" s="5">
        <f>IFERROR('historical fs'!J44,0)</f>
        <v>0.88782257228728367</v>
      </c>
      <c r="K22" s="5">
        <f>IFERROR('historical fs'!K44,0)</f>
        <v>0.90189147386737123</v>
      </c>
      <c r="L22" s="5">
        <f>IFERROR('historical fs'!L44,0)</f>
        <v>0.89233143966518669</v>
      </c>
      <c r="N22" s="5">
        <f t="shared" si="2"/>
        <v>0.86201762799474257</v>
      </c>
      <c r="O22" s="5">
        <f t="shared" si="1"/>
        <v>0.86642003183120408</v>
      </c>
    </row>
    <row r="23" spans="2:15" x14ac:dyDescent="0.3">
      <c r="B23" t="s">
        <v>160</v>
      </c>
      <c r="C23" s="5">
        <f>IFERROR('historical fs'!C33/('historical fs'!C47+'historical fs'!C48),0)</f>
        <v>6.9162787930379541E-2</v>
      </c>
      <c r="D23" s="5">
        <f>IFERROR('historical fs'!D33/('historical fs'!D47+'historical fs'!D48),0)</f>
        <v>7.6219143533313757E-2</v>
      </c>
      <c r="E23" s="5">
        <f>IFERROR('historical fs'!E33/('historical fs'!E47+'historical fs'!E48),0)</f>
        <v>7.8158121262452168E-2</v>
      </c>
      <c r="F23" s="5">
        <f>IFERROR('historical fs'!F33/('historical fs'!F47+'historical fs'!F48),0)</f>
        <v>8.9303114757449592E-2</v>
      </c>
      <c r="G23" s="5">
        <f>IFERROR('historical fs'!G33/('historical fs'!G47+'historical fs'!G48),0)</f>
        <v>8.119355638678212E-2</v>
      </c>
      <c r="H23" s="5">
        <f>IFERROR('historical fs'!H33/('historical fs'!H47+'historical fs'!H48),0)</f>
        <v>6.970696802518446E-2</v>
      </c>
      <c r="I23" s="5">
        <f>IFERROR('historical fs'!I33/('historical fs'!I47+'historical fs'!I48),0)</f>
        <v>4.4713299017955586E-2</v>
      </c>
      <c r="J23" s="5">
        <f>IFERROR('historical fs'!J33/('historical fs'!J47+'historical fs'!J48),0)</f>
        <v>6.1893429636234183E-2</v>
      </c>
      <c r="K23" s="5">
        <f>IFERROR('historical fs'!K33/('historical fs'!K47+'historical fs'!K48),0)</f>
        <v>8.670265075320728E-2</v>
      </c>
      <c r="L23" s="5">
        <f>IFERROR('historical fs'!L33/('historical fs'!L47+'historical fs'!L48),0)</f>
        <v>7.9196603321314563E-2</v>
      </c>
      <c r="N23" s="5">
        <f t="shared" si="2"/>
        <v>7.3624967462427332E-2</v>
      </c>
      <c r="O23" s="5">
        <f t="shared" si="1"/>
        <v>7.7188632397882956E-2</v>
      </c>
    </row>
    <row r="24" spans="2:15" x14ac:dyDescent="0.3">
      <c r="B24" t="s">
        <v>161</v>
      </c>
      <c r="C24" s="5">
        <f>IFERROR(C22*C23,0)</f>
        <v>5.5693618735097185E-2</v>
      </c>
      <c r="D24" s="5">
        <f t="shared" ref="D24:L24" si="4">IFERROR(D22*D23,0)</f>
        <v>6.2851318903418621E-2</v>
      </c>
      <c r="E24" s="5">
        <f t="shared" si="4"/>
        <v>6.5815349495087383E-2</v>
      </c>
      <c r="F24" s="5">
        <f t="shared" si="4"/>
        <v>7.7197059003904514E-2</v>
      </c>
      <c r="G24" s="5">
        <f t="shared" si="4"/>
        <v>7.124320610056005E-2</v>
      </c>
      <c r="H24" s="5">
        <f t="shared" si="4"/>
        <v>6.0533633445096026E-2</v>
      </c>
      <c r="I24" s="5">
        <f t="shared" si="4"/>
        <v>3.8269882257502441E-2</v>
      </c>
      <c r="J24" s="5">
        <f t="shared" si="4"/>
        <v>5.495038390732343E-2</v>
      </c>
      <c r="K24" s="5">
        <f t="shared" si="4"/>
        <v>7.8196381476018054E-2</v>
      </c>
      <c r="L24" s="5">
        <f t="shared" si="4"/>
        <v>7.0669619058301325E-2</v>
      </c>
      <c r="N24" s="5">
        <f t="shared" si="2"/>
        <v>6.3542045238230899E-2</v>
      </c>
      <c r="O24" s="5">
        <f t="shared" si="1"/>
        <v>6.4333334199252995E-2</v>
      </c>
    </row>
    <row r="25" spans="2:15" x14ac:dyDescent="0.3">
      <c r="B25" s="59" t="s">
        <v>162</v>
      </c>
      <c r="C25" s="62">
        <f>IFERROR(('historical fs'!C18-'historical fs'!C24)/'historical fs'!C21,0)</f>
        <v>7.8112183353437876</v>
      </c>
      <c r="D25" s="62">
        <f>IFERROR(('historical fs'!D18-'historical fs'!D24)/'historical fs'!D21,0)</f>
        <v>8.1863993497697098</v>
      </c>
      <c r="E25" s="62">
        <f>IFERROR(('historical fs'!E18-'historical fs'!E24)/'historical fs'!E21,0)</f>
        <v>9.0051961548454145</v>
      </c>
      <c r="F25" s="62">
        <f>IFERROR(('historical fs'!F18-'historical fs'!F24)/'historical fs'!F21,0)</f>
        <v>5.9126924987580729</v>
      </c>
      <c r="G25" s="62">
        <f>IFERROR(('historical fs'!G18-'historical fs'!G24)/'historical fs'!G21,0)</f>
        <v>3.8384965140951803</v>
      </c>
      <c r="H25" s="62">
        <f>IFERROR(('historical fs'!H18-'historical fs'!H24)/'historical fs'!H21,0)</f>
        <v>3.0445816497934355</v>
      </c>
      <c r="I25" s="62">
        <f>IFERROR(('historical fs'!I18-'historical fs'!I24)/'historical fs'!I21,0)</f>
        <v>2.5587804993156826</v>
      </c>
      <c r="J25" s="62">
        <f>IFERROR(('historical fs'!J18-'historical fs'!J24)/'historical fs'!J21,0)</f>
        <v>5.4031130005485464</v>
      </c>
      <c r="K25" s="62">
        <f>IFERROR(('historical fs'!K18-'historical fs'!K24)/'historical fs'!K21,0)</f>
        <v>5.2125593991109298</v>
      </c>
      <c r="L25" s="62">
        <f>IFERROR(('historical fs'!L18-'historical fs'!L24)/'historical fs'!L21,0)</f>
        <v>4.8302621334025435</v>
      </c>
      <c r="M25" s="59"/>
      <c r="N25" s="62">
        <f t="shared" si="2"/>
        <v>5.5803299534983299</v>
      </c>
      <c r="O25" s="62">
        <f t="shared" si="1"/>
        <v>5.3078361998297385</v>
      </c>
    </row>
    <row r="26" spans="2:15" x14ac:dyDescent="0.3">
      <c r="N26" s="52"/>
    </row>
    <row r="27" spans="2:15" x14ac:dyDescent="0.3">
      <c r="B27" s="63" t="s">
        <v>163</v>
      </c>
      <c r="C27" s="64">
        <f>IFERROR('historical fs'!C6/'historical fs'!C59,0)</f>
        <v>70.43687676387583</v>
      </c>
      <c r="D27" s="64">
        <f>IFERROR('historical fs'!D6/'historical fs'!D59,0)</f>
        <v>61.048824188129899</v>
      </c>
      <c r="E27" s="64">
        <f>IFERROR('historical fs'!E6/'historical fs'!E59,0)</f>
        <v>37.171823407117522</v>
      </c>
      <c r="F27" s="64">
        <f>IFERROR('historical fs'!F6/'historical fs'!F59,0)</f>
        <v>22.262774138422103</v>
      </c>
      <c r="G27" s="64">
        <f>IFERROR('historical fs'!G6/'historical fs'!G59,0)</f>
        <v>18.88853069227957</v>
      </c>
      <c r="H27" s="64">
        <f>IFERROR('historical fs'!H6/'historical fs'!H59,0)</f>
        <v>30.356074481074479</v>
      </c>
      <c r="I27" s="64">
        <f>IFERROR('historical fs'!I6/'historical fs'!I59,0)</f>
        <v>24.524403071421059</v>
      </c>
      <c r="J27" s="64">
        <f>IFERROR('historical fs'!J6/'historical fs'!J59,0)</f>
        <v>29.385490693739424</v>
      </c>
      <c r="K27" s="64">
        <f>IFERROR('historical fs'!K6/'historical fs'!K59,0)</f>
        <v>30.806946006749158</v>
      </c>
      <c r="L27" s="64">
        <f>IFERROR('historical fs'!L6/'historical fs'!L59,0)</f>
        <v>28.425477425066397</v>
      </c>
      <c r="M27" s="55"/>
      <c r="N27" s="72">
        <f t="shared" si="2"/>
        <v>35.330722086787546</v>
      </c>
      <c r="O27" s="72">
        <f t="shared" si="1"/>
        <v>29.87078258740695</v>
      </c>
    </row>
    <row r="28" spans="2:15" x14ac:dyDescent="0.3">
      <c r="B28" t="s">
        <v>164</v>
      </c>
      <c r="C28" s="52">
        <f>IFERROR('historical fs'!C6/'historical fs'!C50,0)</f>
        <v>3.179758102874227</v>
      </c>
      <c r="D28" s="52">
        <f>IFERROR('historical fs'!D6/'historical fs'!D50,0)</f>
        <v>1.5781145970230479</v>
      </c>
      <c r="E28" s="52">
        <f>IFERROR('historical fs'!E6/'historical fs'!E50,0)</f>
        <v>1.3472063399196872</v>
      </c>
      <c r="F28" s="52">
        <f>IFERROR('historical fs'!F6/'historical fs'!F50,0)</f>
        <v>1.4062225644420776</v>
      </c>
      <c r="G28" s="52">
        <f>IFERROR('historical fs'!G6/'historical fs'!G50,0)</f>
        <v>1.8769137792103143</v>
      </c>
      <c r="H28" s="52">
        <f>IFERROR('historical fs'!H6/'historical fs'!H50,0)</f>
        <v>1.6633743685812732</v>
      </c>
      <c r="I28" s="52">
        <f>IFERROR('historical fs'!I6/'historical fs'!I50,0)</f>
        <v>1.3677459661925726</v>
      </c>
      <c r="J28" s="52">
        <f>IFERROR('historical fs'!J6/'historical fs'!J50,0)</f>
        <v>1.7367736806182326</v>
      </c>
      <c r="K28" s="52">
        <f>IFERROR('historical fs'!K6/'historical fs'!K50,0)</f>
        <v>1.9993247343422775</v>
      </c>
      <c r="L28" s="52">
        <f>IFERROR('historical fs'!L6/'historical fs'!L50,0)</f>
        <v>1.7888657635860048</v>
      </c>
      <c r="N28" s="52">
        <f t="shared" si="2"/>
        <v>1.7944299896789719</v>
      </c>
      <c r="O28" s="52">
        <f t="shared" si="1"/>
        <v>1.7000740245997528</v>
      </c>
    </row>
    <row r="29" spans="2:15" x14ac:dyDescent="0.3">
      <c r="B29" t="s">
        <v>165</v>
      </c>
      <c r="C29" s="52">
        <f>IFERROR('historical fs'!C6/'historical fs'!C60,0)</f>
        <v>7.0307241586538458</v>
      </c>
      <c r="D29" s="52">
        <f>IFERROR('historical fs'!D6/'historical fs'!D60,0)</f>
        <v>5.8637654347545496</v>
      </c>
      <c r="E29" s="52">
        <f>IFERROR('historical fs'!E6/'historical fs'!E60,0)</f>
        <v>6.2093522093522093</v>
      </c>
      <c r="F29" s="52">
        <f>IFERROR('historical fs'!F6/'historical fs'!F60,0)</f>
        <v>6.4241004651774416</v>
      </c>
      <c r="G29" s="52">
        <f>IFERROR('historical fs'!G6/'historical fs'!G60,0)</f>
        <v>8.41220526635189</v>
      </c>
      <c r="H29" s="52">
        <f>IFERROR('historical fs'!H6/'historical fs'!H60,0)</f>
        <v>8.0738129710566557</v>
      </c>
      <c r="I29" s="52">
        <f>IFERROR('historical fs'!I6/'historical fs'!I60,0)</f>
        <v>5.7095087667744151</v>
      </c>
      <c r="J29" s="52">
        <f>IFERROR('historical fs'!J6/'historical fs'!J60,0)</f>
        <v>6.4454062981313438</v>
      </c>
      <c r="K29" s="52">
        <f>IFERROR('historical fs'!K6/'historical fs'!K60,0)</f>
        <v>6.2596137363579221</v>
      </c>
      <c r="L29" s="52">
        <f>IFERROR('historical fs'!L6/'historical fs'!L60,0)</f>
        <v>5.8849315965176405</v>
      </c>
      <c r="N29" s="52">
        <f t="shared" si="2"/>
        <v>6.6313420903127902</v>
      </c>
      <c r="O29" s="52">
        <f t="shared" si="1"/>
        <v>6.3418571007676814</v>
      </c>
    </row>
    <row r="30" spans="2:15" x14ac:dyDescent="0.3">
      <c r="B30" t="s">
        <v>166</v>
      </c>
      <c r="C30" s="52">
        <f>IFERROR('historical fs'!C6/'historical fs'!C53,0)</f>
        <v>2.3927955106162675</v>
      </c>
      <c r="D30" s="52">
        <f>IFERROR('historical fs'!D6/'historical fs'!D53,0)</f>
        <v>1.4741387702125359</v>
      </c>
      <c r="E30" s="52">
        <f>IFERROR('historical fs'!E6/'historical fs'!E53,0)</f>
        <v>1.5310538669997884</v>
      </c>
      <c r="F30" s="52">
        <f>IFERROR('historical fs'!F6/'historical fs'!F53,0)</f>
        <v>0.96765911088552437</v>
      </c>
      <c r="G30" s="52">
        <f>IFERROR('historical fs'!G6/'historical fs'!G53,0)</f>
        <v>1.4266417989125797</v>
      </c>
      <c r="H30" s="52">
        <f>IFERROR('historical fs'!H6/'historical fs'!H53,0)</f>
        <v>1.1201915675724385</v>
      </c>
      <c r="I30" s="52">
        <f>IFERROR('historical fs'!I6/'historical fs'!I53,0)</f>
        <v>0.86152444859937405</v>
      </c>
      <c r="J30" s="52">
        <f>IFERROR('historical fs'!J6/'historical fs'!J53,0)</f>
        <v>1.1065231173084336</v>
      </c>
      <c r="K30" s="52">
        <f>IFERROR('historical fs'!K6/'historical fs'!K53,0)</f>
        <v>1.2091472878912259</v>
      </c>
      <c r="L30" s="52">
        <f>IFERROR('historical fs'!L6/'historical fs'!L53,0)</f>
        <v>1.1526388327980666</v>
      </c>
      <c r="N30" s="52">
        <f t="shared" si="2"/>
        <v>1.3242314311796233</v>
      </c>
      <c r="O30" s="52">
        <f t="shared" si="1"/>
        <v>1.1808930603446464</v>
      </c>
    </row>
    <row r="31" spans="2:15" x14ac:dyDescent="0.3">
      <c r="B31" s="65" t="s">
        <v>167</v>
      </c>
      <c r="C31" s="66">
        <f>IFERROR('historical fs'!C6/(SUM('historical fs'!C47,'historical fs'!C48)),0)</f>
        <v>1.7133808392715757</v>
      </c>
      <c r="D31" s="66">
        <f>IFERROR('historical fs'!D6/(SUM('historical fs'!D47,'historical fs'!D48)),0)</f>
        <v>1.1771796023424139</v>
      </c>
      <c r="E31" s="66">
        <f>IFERROR('historical fs'!E6/(SUM('historical fs'!E47,'historical fs'!E48)),0)</f>
        <v>1.1526114012035995</v>
      </c>
      <c r="F31" s="66">
        <f>IFERROR('historical fs'!F6/(SUM('historical fs'!F47,'historical fs'!F48)),0)</f>
        <v>1.3315673274140905</v>
      </c>
      <c r="G31" s="66">
        <f>IFERROR('historical fs'!G6/(SUM('historical fs'!G47,'historical fs'!G48)),0)</f>
        <v>1.4681461695839964</v>
      </c>
      <c r="H31" s="66">
        <f>IFERROR('historical fs'!H6/(SUM('historical fs'!H47,'historical fs'!H48)),0)</f>
        <v>1.3284153297444596</v>
      </c>
      <c r="I31" s="66">
        <f>IFERROR('historical fs'!I6/(SUM('historical fs'!I47,'historical fs'!I48)),0)</f>
        <v>0.66598921407882639</v>
      </c>
      <c r="J31" s="66">
        <f>IFERROR('historical fs'!J6/(SUM('historical fs'!J47,'historical fs'!J48)),0)</f>
        <v>0.89119482735395805</v>
      </c>
      <c r="K31" s="66">
        <f>IFERROR('historical fs'!K6/(SUM('historical fs'!K47,'historical fs'!K48)),0)</f>
        <v>1.224235617540566</v>
      </c>
      <c r="L31" s="66">
        <f>IFERROR('historical fs'!L6/(SUM('historical fs'!L47,'historical fs'!L48)),0)</f>
        <v>1.133034061307076</v>
      </c>
      <c r="M31" s="59"/>
      <c r="N31" s="62">
        <f t="shared" si="2"/>
        <v>1.2085754389840564</v>
      </c>
      <c r="O31" s="62">
        <f t="shared" si="1"/>
        <v>1.20070760994149</v>
      </c>
    </row>
    <row r="32" spans="2:15" x14ac:dyDescent="0.3">
      <c r="N32" s="5"/>
    </row>
    <row r="33" spans="2:15" x14ac:dyDescent="0.3">
      <c r="B33" s="55" t="s">
        <v>46</v>
      </c>
      <c r="C33" s="67">
        <f>IFERROR(365/C27,0)</f>
        <v>5.1819446967187712</v>
      </c>
      <c r="D33" s="67">
        <f t="shared" ref="D33:L33" si="5">IFERROR(365/D27,0)</f>
        <v>5.9788211297109504</v>
      </c>
      <c r="E33" s="67">
        <f t="shared" si="5"/>
        <v>9.8192654151615049</v>
      </c>
      <c r="F33" s="67">
        <f t="shared" si="5"/>
        <v>16.395081661007669</v>
      </c>
      <c r="G33" s="67">
        <f t="shared" si="5"/>
        <v>19.323895857563382</v>
      </c>
      <c r="H33" s="67">
        <f t="shared" si="5"/>
        <v>12.023952577516555</v>
      </c>
      <c r="I33" s="67">
        <f t="shared" si="5"/>
        <v>14.883134930421374</v>
      </c>
      <c r="J33" s="67">
        <f t="shared" si="5"/>
        <v>12.421095968894718</v>
      </c>
      <c r="K33" s="67">
        <f t="shared" si="5"/>
        <v>11.847977398345041</v>
      </c>
      <c r="L33" s="67">
        <f t="shared" si="5"/>
        <v>12.840593476826974</v>
      </c>
      <c r="M33" s="55"/>
      <c r="N33" s="73">
        <f t="shared" si="2"/>
        <v>12.071576311216694</v>
      </c>
      <c r="O33" s="73">
        <f t="shared" si="1"/>
        <v>12.222524273205636</v>
      </c>
    </row>
    <row r="34" spans="2:15" x14ac:dyDescent="0.3">
      <c r="B34" t="s">
        <v>168</v>
      </c>
      <c r="C34" s="68">
        <f>IFERROR(365/C28,0)</f>
        <v>114.78860598549038</v>
      </c>
      <c r="D34" s="68">
        <f t="shared" ref="D34:L34" si="6">IFERROR(365/D28,0)</f>
        <v>231.28865336429638</v>
      </c>
      <c r="E34" s="68">
        <f t="shared" si="6"/>
        <v>270.93102903728857</v>
      </c>
      <c r="F34" s="68">
        <f t="shared" si="6"/>
        <v>259.56061951318117</v>
      </c>
      <c r="G34" s="68">
        <f t="shared" si="6"/>
        <v>194.46817645164751</v>
      </c>
      <c r="H34" s="68">
        <f t="shared" si="6"/>
        <v>219.43346422448252</v>
      </c>
      <c r="I34" s="68">
        <f t="shared" si="6"/>
        <v>266.86242110884035</v>
      </c>
      <c r="J34" s="68">
        <f t="shared" si="6"/>
        <v>210.15979460839847</v>
      </c>
      <c r="K34" s="68">
        <f t="shared" si="6"/>
        <v>182.56163880255045</v>
      </c>
      <c r="L34" s="68">
        <f t="shared" si="6"/>
        <v>204.03990474294278</v>
      </c>
      <c r="N34" s="74">
        <f t="shared" si="2"/>
        <v>215.40943078391183</v>
      </c>
      <c r="O34" s="74">
        <f t="shared" si="1"/>
        <v>214.79662941644051</v>
      </c>
    </row>
    <row r="35" spans="2:15" x14ac:dyDescent="0.3">
      <c r="B35" t="s">
        <v>169</v>
      </c>
      <c r="C35" s="68">
        <f>IFERROR(365/C29,0)</f>
        <v>51.914993642686959</v>
      </c>
      <c r="D35" s="68">
        <f t="shared" ref="D35:L35" si="7">IFERROR(365/D29,0)</f>
        <v>62.246691833313157</v>
      </c>
      <c r="E35" s="68">
        <f t="shared" si="7"/>
        <v>58.782299295288105</v>
      </c>
      <c r="F35" s="68">
        <f t="shared" si="7"/>
        <v>56.817293250397235</v>
      </c>
      <c r="G35" s="68">
        <f t="shared" si="7"/>
        <v>43.389335904577742</v>
      </c>
      <c r="H35" s="68">
        <f t="shared" si="7"/>
        <v>45.207883971113446</v>
      </c>
      <c r="I35" s="68">
        <f t="shared" si="7"/>
        <v>63.928441992078177</v>
      </c>
      <c r="J35" s="68">
        <f t="shared" si="7"/>
        <v>56.629478905902495</v>
      </c>
      <c r="K35" s="68">
        <f t="shared" si="7"/>
        <v>58.310307212721192</v>
      </c>
      <c r="L35" s="68">
        <f t="shared" si="7"/>
        <v>62.022810973025706</v>
      </c>
      <c r="N35" s="74">
        <f t="shared" si="2"/>
        <v>55.924953698110428</v>
      </c>
      <c r="O35" s="74">
        <f t="shared" si="1"/>
        <v>57.563800231559213</v>
      </c>
    </row>
    <row r="36" spans="2:15" x14ac:dyDescent="0.3">
      <c r="B36" s="59" t="s">
        <v>170</v>
      </c>
      <c r="C36" s="69">
        <f>IFERROR((SUM(C33,C35))-C34,0)</f>
        <v>-57.691667646084646</v>
      </c>
      <c r="D36" s="69">
        <f t="shared" ref="D36:L36" si="8">IFERROR((SUM(D33,D35))-D34,0)</f>
        <v>-163.06314040127228</v>
      </c>
      <c r="E36" s="69">
        <f t="shared" si="8"/>
        <v>-202.32946432683894</v>
      </c>
      <c r="F36" s="69">
        <f t="shared" si="8"/>
        <v>-186.34824460177626</v>
      </c>
      <c r="G36" s="69">
        <f t="shared" si="8"/>
        <v>-131.75494468950637</v>
      </c>
      <c r="H36" s="69">
        <f t="shared" si="8"/>
        <v>-162.20162767585254</v>
      </c>
      <c r="I36" s="69">
        <f t="shared" si="8"/>
        <v>-188.05084418634078</v>
      </c>
      <c r="J36" s="69">
        <f t="shared" si="8"/>
        <v>-141.10921973360126</v>
      </c>
      <c r="K36" s="69">
        <f t="shared" si="8"/>
        <v>-112.40335419148421</v>
      </c>
      <c r="L36" s="69">
        <f t="shared" si="8"/>
        <v>-129.1765002930901</v>
      </c>
      <c r="M36" s="59"/>
      <c r="N36" s="75">
        <f t="shared" si="2"/>
        <v>-147.41290077458476</v>
      </c>
      <c r="O36" s="75">
        <f t="shared" si="1"/>
        <v>-151.6554237047269</v>
      </c>
    </row>
    <row r="37" spans="2:15" x14ac:dyDescent="0.3">
      <c r="N37" s="5"/>
    </row>
    <row r="38" spans="2:15" x14ac:dyDescent="0.3">
      <c r="B38" s="55" t="s">
        <v>171</v>
      </c>
      <c r="C38" s="57">
        <f>IFERROR('historical fs'!C77/'historical fs'!C6,0)</f>
        <v>9.6665883132285538E-2</v>
      </c>
      <c r="D38" s="57">
        <f>IFERROR('historical fs'!D77/'historical fs'!D6,0)</f>
        <v>0.16862020008584541</v>
      </c>
      <c r="E38" s="57">
        <f>IFERROR('historical fs'!E77/'historical fs'!E6,0)</f>
        <v>0.21389091770465268</v>
      </c>
      <c r="F38" s="57">
        <f>IFERROR('historical fs'!F77/'historical fs'!F6,0)</f>
        <v>0.23027559790493396</v>
      </c>
      <c r="G38" s="57">
        <f>IFERROR('historical fs'!G77/'historical fs'!G6,0)</f>
        <v>2.3866121684845434E-2</v>
      </c>
      <c r="H38" s="57">
        <f>IFERROR('historical fs'!H77/'historical fs'!H6,0)</f>
        <v>0.18903464006609919</v>
      </c>
      <c r="I38" s="57">
        <f>IFERROR('historical fs'!I77/'historical fs'!I6,0)</f>
        <v>-4.9323728788115986E-2</v>
      </c>
      <c r="J38" s="57">
        <f>IFERROR('historical fs'!J77/'historical fs'!J6,0)</f>
        <v>0.16033299120593431</v>
      </c>
      <c r="K38" s="57">
        <f>IFERROR('historical fs'!K77/'historical fs'!K6,0)</f>
        <v>0.10885261913564188</v>
      </c>
      <c r="L38" s="57">
        <f>IFERROR('historical fs'!L77/'historical fs'!L6,0)</f>
        <v>0.18370018719947143</v>
      </c>
      <c r="M38" s="55"/>
      <c r="N38" s="57">
        <f t="shared" si="2"/>
        <v>0.13259154293315939</v>
      </c>
      <c r="O38" s="57">
        <f t="shared" si="1"/>
        <v>0.16447659564588984</v>
      </c>
    </row>
    <row r="39" spans="2:15" x14ac:dyDescent="0.3">
      <c r="B39" t="s">
        <v>172</v>
      </c>
      <c r="C39" s="5">
        <f>IFERROR('historical fs'!C77/'historical fs'!C64,0)</f>
        <v>7.1734398972419455E-2</v>
      </c>
      <c r="D39" s="5">
        <f>IFERROR('historical fs'!D77/'historical fs'!D64,0)</f>
        <v>7.6733272453785251E-2</v>
      </c>
      <c r="E39" s="5">
        <f>IFERROR('historical fs'!E77/'historical fs'!E64,0)</f>
        <v>9.1981912897812962E-2</v>
      </c>
      <c r="F39" s="5">
        <f>IFERROR('historical fs'!F77/'historical fs'!F64,0)</f>
        <v>0.11093306445549156</v>
      </c>
      <c r="G39" s="5">
        <f>IFERROR('historical fs'!G77/'historical fs'!G64,0)</f>
        <v>1.3596223048625242E-2</v>
      </c>
      <c r="H39" s="5">
        <f>IFERROR('historical fs'!H77/'historical fs'!H64,0)</f>
        <v>9.6983271926845305E-2</v>
      </c>
      <c r="I39" s="5">
        <f>IFERROR('historical fs'!I77/'historical fs'!I64,0)</f>
        <v>-1.7423384454553374E-2</v>
      </c>
      <c r="J39" s="5">
        <f>IFERROR('historical fs'!J77/'historical fs'!J64,0)</f>
        <v>7.4320942839488549E-2</v>
      </c>
      <c r="K39" s="5">
        <f>IFERROR('historical fs'!K77/'historical fs'!K64,0)</f>
        <v>5.9405361041471288E-2</v>
      </c>
      <c r="L39" s="5">
        <f>IFERROR('historical fs'!L77/'historical fs'!L64,0)</f>
        <v>9.4102269567555991E-2</v>
      </c>
      <c r="N39" s="5">
        <f t="shared" si="2"/>
        <v>6.7236733274894225E-2</v>
      </c>
      <c r="O39" s="5">
        <f t="shared" si="1"/>
        <v>7.5527107646636893E-2</v>
      </c>
    </row>
    <row r="40" spans="2:15" x14ac:dyDescent="0.3">
      <c r="B40" s="59" t="s">
        <v>173</v>
      </c>
      <c r="C40" s="61">
        <f>IFERROR('historical fs'!C77/'historical fs'!C49,0)</f>
        <v>0.21508936053871894</v>
      </c>
      <c r="D40" s="61">
        <f>IFERROR('historical fs'!D77/'historical fs'!D49,0)</f>
        <v>0.23605390470125415</v>
      </c>
      <c r="E40" s="61">
        <f>IFERROR('historical fs'!E77/'historical fs'!E49,0)</f>
        <v>0.29894470628807907</v>
      </c>
      <c r="F40" s="61">
        <f>IFERROR('historical fs'!F77/'historical fs'!F49,0)</f>
        <v>0.37523296489787067</v>
      </c>
      <c r="G40" s="61">
        <f>IFERROR('historical fs'!G77/'historical fs'!G49,0)</f>
        <v>4.4079892367588087E-2</v>
      </c>
      <c r="H40" s="61">
        <f>IFERROR('historical fs'!H77/'historical fs'!H49,0)</f>
        <v>0.31760776948354558</v>
      </c>
      <c r="I40" s="61">
        <f>IFERROR('historical fs'!I77/'historical fs'!I49,0)</f>
        <v>-8.244850553121931E-2</v>
      </c>
      <c r="J40" s="61">
        <f>IFERROR('historical fs'!J77/'historical fs'!J49,0)</f>
        <v>0.34897762236885804</v>
      </c>
      <c r="K40" s="61">
        <f>IFERROR('historical fs'!K77/'historical fs'!K49,0)</f>
        <v>0.2112145311559035</v>
      </c>
      <c r="L40" s="61">
        <f>IFERROR('historical fs'!L77/'historical fs'!L49,0)</f>
        <v>0.35981969145364506</v>
      </c>
      <c r="M40" s="59"/>
      <c r="N40" s="61">
        <f t="shared" si="2"/>
        <v>0.23245719377242438</v>
      </c>
      <c r="O40" s="61">
        <f t="shared" si="1"/>
        <v>0.26749930549466661</v>
      </c>
    </row>
    <row r="41" spans="2:15" x14ac:dyDescent="0.3">
      <c r="N41" s="5"/>
      <c r="O41" s="5"/>
    </row>
    <row r="42" spans="2:15" x14ac:dyDescent="0.3">
      <c r="B42" s="55" t="s">
        <v>177</v>
      </c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5"/>
      <c r="N42" s="57"/>
      <c r="O42" s="57"/>
    </row>
    <row r="43" spans="2:15" x14ac:dyDescent="0.3">
      <c r="B43" t="s">
        <v>178</v>
      </c>
      <c r="C43" s="5">
        <f>IFERROR('historical fs'!C33/'historical fs'!C64,0)</f>
        <v>2.9955241572610539E-2</v>
      </c>
      <c r="D43" s="5">
        <f>IFERROR('historical fs'!D33/'historical fs'!D64,0)</f>
        <v>2.9464254411958657E-2</v>
      </c>
      <c r="E43" s="5">
        <f>IFERROR('historical fs'!E33/'historical fs'!E64,0)</f>
        <v>2.9160924841752003E-2</v>
      </c>
      <c r="F43" s="5">
        <f>IFERROR('historical fs'!F33/'historical fs'!F64,0)</f>
        <v>3.2308483087690583E-2</v>
      </c>
      <c r="G43" s="5">
        <f>IFERROR('historical fs'!G33/'historical fs'!G64,0)</f>
        <v>3.1505668434189026E-2</v>
      </c>
      <c r="H43" s="5">
        <f>IFERROR('historical fs'!H33/'historical fs'!H64,0)</f>
        <v>2.6921406860616587E-2</v>
      </c>
      <c r="I43" s="5">
        <f>IFERROR('historical fs'!I33/'historical fs'!I64,0)</f>
        <v>2.3716256396465324E-2</v>
      </c>
      <c r="J43" s="5">
        <f>IFERROR('historical fs'!J33/'historical fs'!J64,0)</f>
        <v>3.219290788471009E-2</v>
      </c>
      <c r="K43" s="5">
        <f>IFERROR('historical fs'!K33/'historical fs'!K64,0)</f>
        <v>3.8650411424998851E-2</v>
      </c>
      <c r="L43" s="5">
        <f>IFERROR('historical fs'!L33/'historical fs'!L64,0)</f>
        <v>3.5805858301311416E-2</v>
      </c>
      <c r="N43" s="5">
        <f t="shared" si="2"/>
        <v>3.0968141321630303E-2</v>
      </c>
      <c r="O43" s="5">
        <f t="shared" si="1"/>
        <v>3.0730455003399784E-2</v>
      </c>
    </row>
    <row r="44" spans="2:15" x14ac:dyDescent="0.3">
      <c r="B44" t="s">
        <v>179</v>
      </c>
      <c r="C44" s="5">
        <f>IFERROR(('historical fs'!C18-'historical fs'!C24)/'historical fs'!C64,0)</f>
        <v>5.1343347486352449E-2</v>
      </c>
      <c r="D44" s="5">
        <f>IFERROR(('historical fs'!D18-'historical fs'!D24)/'historical fs'!D64,0)</f>
        <v>5.0444326098461258E-2</v>
      </c>
      <c r="E44" s="5">
        <f>IFERROR(('historical fs'!E18-'historical fs'!E24)/'historical fs'!E64,0)</f>
        <v>4.9039193437483197E-2</v>
      </c>
      <c r="F44" s="5">
        <f>IFERROR(('historical fs'!F18-'historical fs'!F24)/'historical fs'!F64,0)</f>
        <v>5.868431465117168E-2</v>
      </c>
      <c r="G44" s="5">
        <f>IFERROR(('historical fs'!G18-'historical fs'!G24)/'historical fs'!G64,0)</f>
        <v>6.3466415404508689E-2</v>
      </c>
      <c r="H44" s="5">
        <f>IFERROR(('historical fs'!H18-'historical fs'!H24)/'historical fs'!H64,0)</f>
        <v>5.7663056796343988E-2</v>
      </c>
      <c r="I44" s="5">
        <f>IFERROR(('historical fs'!I18-'historical fs'!I24)/'historical fs'!I64,0)</f>
        <v>4.1072219928564122E-2</v>
      </c>
      <c r="J44" s="5">
        <f>IFERROR(('historical fs'!J18-'historical fs'!J24)/'historical fs'!J64,0)</f>
        <v>5.2580971052073169E-2</v>
      </c>
      <c r="K44" s="5">
        <f>IFERROR(('historical fs'!K18-'historical fs'!K24)/'historical fs'!K64,0)</f>
        <v>6.352583813754685E-2</v>
      </c>
      <c r="L44" s="5">
        <f>IFERROR(('historical fs'!L18-'historical fs'!L24)/'historical fs'!L64,0)</f>
        <v>6.3625610239719937E-2</v>
      </c>
      <c r="N44" s="5">
        <f t="shared" si="2"/>
        <v>5.5144529323222537E-2</v>
      </c>
      <c r="O44" s="5">
        <f t="shared" si="1"/>
        <v>5.5122013924208582E-2</v>
      </c>
    </row>
    <row r="45" spans="2:15" x14ac:dyDescent="0.3">
      <c r="B45" s="59" t="s">
        <v>180</v>
      </c>
      <c r="C45" s="61">
        <f>IFERROR((('historical fs'!C18-'historical fs'!C24)-('historical fs'!C21-('historical fs'!C21*'historical fs'!C31)))/'historical fs'!C64,0)</f>
        <v>4.694542040520587E-2</v>
      </c>
      <c r="D45" s="61">
        <f>IFERROR((('historical fs'!D18-'historical fs'!D24)-('historical fs'!D21-('historical fs'!D21*'historical fs'!D31)))/'historical fs'!D64,0)</f>
        <v>4.6344323722041302E-2</v>
      </c>
      <c r="E45" s="61">
        <f>IFERROR((('historical fs'!E18-'historical fs'!E24)-('historical fs'!E21-('historical fs'!E21*'historical fs'!E31)))/'historical fs'!E64,0)</f>
        <v>4.5396443868617062E-2</v>
      </c>
      <c r="F45" s="61">
        <f>IFERROR((('historical fs'!F18-'historical fs'!F24)-('historical fs'!F21-('historical fs'!F21*'historical fs'!F31)))/'historical fs'!F64,0)</f>
        <v>5.2107781905460816E-2</v>
      </c>
      <c r="G45" s="61">
        <f>IFERROR((('historical fs'!G18-'historical fs'!G24)-('historical fs'!G21-('historical fs'!G21*'historical fs'!G31)))/'historical fs'!G64,0)</f>
        <v>5.2366994187064635E-2</v>
      </c>
      <c r="H45" s="61">
        <f>IFERROR((('historical fs'!H18-'historical fs'!H24)-('historical fs'!H21-('historical fs'!H21*'historical fs'!H31)))/'historical fs'!H64,0)</f>
        <v>4.449586102143499E-2</v>
      </c>
      <c r="I45" s="61">
        <f>IFERROR((('historical fs'!I18-'historical fs'!I24)-('historical fs'!I21-('historical fs'!I21*'historical fs'!I31)))/'historical fs'!I64,0)</f>
        <v>2.5857597724298062E-2</v>
      </c>
      <c r="J45" s="61">
        <f>IFERROR((('historical fs'!J18-'historical fs'!J24)-('historical fs'!J21-('historical fs'!J21*'historical fs'!J31)))/'historical fs'!J64,0)</f>
        <v>4.5269573892677203E-2</v>
      </c>
      <c r="K45" s="61">
        <f>IFERROR((('historical fs'!K18-'historical fs'!K24)-('historical fs'!K21-('historical fs'!K21*'historical fs'!K31)))/'historical fs'!K64,0)</f>
        <v>5.4350795660245248E-2</v>
      </c>
      <c r="L45" s="61">
        <f>IFERROR((('historical fs'!L18-'historical fs'!L24)-('historical fs'!L21-('historical fs'!L21*'historical fs'!L31)))/'historical fs'!L64,0)</f>
        <v>5.4277461978779917E-2</v>
      </c>
      <c r="M45" s="59"/>
      <c r="N45" s="61">
        <f t="shared" si="2"/>
        <v>4.6741225436582517E-2</v>
      </c>
      <c r="O45" s="61">
        <f t="shared" si="1"/>
        <v>4.6644872063623583E-2</v>
      </c>
    </row>
    <row r="46" spans="2:15" x14ac:dyDescent="0.3">
      <c r="N46" s="5"/>
      <c r="O46" s="5"/>
    </row>
    <row r="47" spans="2:15" x14ac:dyDescent="0.3">
      <c r="B47" s="55" t="s">
        <v>181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7"/>
      <c r="O47" s="57"/>
    </row>
    <row r="48" spans="2:15" x14ac:dyDescent="0.3">
      <c r="B48" t="s">
        <v>48</v>
      </c>
      <c r="C48">
        <f>IFERROR('historical fs'!C38,0)</f>
        <v>10.94628266790288</v>
      </c>
      <c r="D48">
        <f>IFERROR('historical fs'!D38,0)</f>
        <v>12.765264939461009</v>
      </c>
      <c r="E48">
        <f>IFERROR('historical fs'!E38,0)</f>
        <v>14.857773100157148</v>
      </c>
      <c r="F48">
        <f>IFERROR('historical fs'!F38,0)</f>
        <v>19.395585286260811</v>
      </c>
      <c r="G48">
        <f>IFERROR('historical fs'!G38,0)</f>
        <v>23.243311197550767</v>
      </c>
      <c r="H48">
        <f>IFERROR('historical fs'!H38,0)</f>
        <v>23.151948061551206</v>
      </c>
      <c r="I48">
        <f>IFERROR('historical fs'!I38,0)</f>
        <v>24.692205159753605</v>
      </c>
      <c r="J48">
        <f>IFERROR('historical fs'!J38,0)</f>
        <v>35.658324587207495</v>
      </c>
      <c r="K48">
        <f>IFERROR('historical fs'!K38,0)</f>
        <v>45.870284971029918</v>
      </c>
      <c r="L48">
        <f>IFERROR('historical fs'!L38,0)</f>
        <v>46.440870863325301</v>
      </c>
      <c r="N48" s="5">
        <f t="shared" si="2"/>
        <v>25.702185083420012</v>
      </c>
      <c r="O48" s="5">
        <f t="shared" si="1"/>
        <v>23.197629629550988</v>
      </c>
    </row>
    <row r="49" spans="2:15" x14ac:dyDescent="0.3">
      <c r="B49" s="70" t="s">
        <v>182</v>
      </c>
      <c r="C49">
        <f>IFERROR((SUM('historical fs'!C33,'historical fs'!C24))/'historical fs'!C36,0)</f>
        <v>19.310279886422901</v>
      </c>
      <c r="D49">
        <f>IFERROR((SUM('historical fs'!D33,'historical fs'!D24))/'historical fs'!D36,0)</f>
        <v>21.130061189949227</v>
      </c>
      <c r="E49">
        <f>IFERROR((SUM('historical fs'!E33,'historical fs'!E24))/'historical fs'!E36,0)</f>
        <v>23.252980781707301</v>
      </c>
      <c r="F49">
        <f>IFERROR((SUM('historical fs'!F33,'historical fs'!F24))/'historical fs'!F36,0)</f>
        <v>31.757671730588502</v>
      </c>
      <c r="G49">
        <f>IFERROR((SUM('historical fs'!G33,'historical fs'!G24))/'historical fs'!G36,0)</f>
        <v>38.724061940751042</v>
      </c>
      <c r="H49">
        <f>IFERROR((SUM('historical fs'!H33,'historical fs'!H24))/'historical fs'!H36,0)</f>
        <v>39.569792290571371</v>
      </c>
      <c r="I49">
        <f>IFERROR((SUM('historical fs'!I33,'historical fs'!I24))/'historical fs'!I36,0)</f>
        <v>45.64985921491612</v>
      </c>
      <c r="J49">
        <f>IFERROR((SUM('historical fs'!J33,'historical fs'!J24))/'historical fs'!J36,0)</f>
        <v>57.670475542875728</v>
      </c>
      <c r="K49">
        <f>IFERROR((SUM('historical fs'!K33,'historical fs'!K24))/'historical fs'!K36,0)</f>
        <v>75.655522052737382</v>
      </c>
      <c r="L49">
        <f>IFERROR((SUM('historical fs'!L33,'historical fs'!L24))/'historical fs'!L36,0)</f>
        <v>84.006828561715707</v>
      </c>
      <c r="N49" s="5">
        <f t="shared" si="2"/>
        <v>43.672753319223524</v>
      </c>
      <c r="O49" s="5">
        <f t="shared" si="1"/>
        <v>39.146927115661207</v>
      </c>
    </row>
    <row r="50" spans="2:15" x14ac:dyDescent="0.3">
      <c r="B50" t="s">
        <v>183</v>
      </c>
      <c r="C50">
        <f>IFERROR('historical fs'!C41,0)</f>
        <v>2.1317436402619228</v>
      </c>
      <c r="D50">
        <f>IFERROR('historical fs'!D41,0)</f>
        <v>2.2388577876144602</v>
      </c>
      <c r="E50">
        <f>IFERROR('historical fs'!E41,0)</f>
        <v>2.346347371000995</v>
      </c>
      <c r="F50">
        <f>IFERROR('historical fs'!F41,0)</f>
        <v>2.6292928022258559</v>
      </c>
      <c r="G50">
        <f>IFERROR('historical fs'!G41,0)</f>
        <v>2.8484906748702175</v>
      </c>
      <c r="H50">
        <f>IFERROR('historical fs'!H41,0)</f>
        <v>3.0467623505401633</v>
      </c>
      <c r="I50">
        <f>IFERROR('historical fs'!I41,0)</f>
        <v>3.5582739827587564</v>
      </c>
      <c r="J50">
        <f>IFERROR('historical fs'!J41,0)</f>
        <v>4.0000591287380445</v>
      </c>
      <c r="K50">
        <f>IFERROR('historical fs'!K41,0)</f>
        <v>4.5002660517914155</v>
      </c>
      <c r="L50">
        <f>IFERROR('historical fs'!L41,0)</f>
        <v>5.0002217065492109</v>
      </c>
      <c r="N50" s="5">
        <f t="shared" si="2"/>
        <v>3.230031549635104</v>
      </c>
      <c r="O50" s="5">
        <f t="shared" si="1"/>
        <v>2.9476265127051904</v>
      </c>
    </row>
    <row r="51" spans="2:15" x14ac:dyDescent="0.3">
      <c r="B51" t="s">
        <v>184</v>
      </c>
      <c r="C51" s="5">
        <f>'historical fs'!C43</f>
        <v>0.19474589730015882</v>
      </c>
      <c r="D51" s="5">
        <f>'historical fs'!D43</f>
        <v>0.17538670746217916</v>
      </c>
      <c r="E51" s="5">
        <f>'historical fs'!E43</f>
        <v>0.15792052787346564</v>
      </c>
      <c r="F51" s="5">
        <f>'historical fs'!F43</f>
        <v>0.13556140551676776</v>
      </c>
      <c r="G51" s="5">
        <f>'historical fs'!G43</f>
        <v>0.12255098469663708</v>
      </c>
      <c r="H51" s="5">
        <f>'historical fs'!H43</f>
        <v>0.13159853082082401</v>
      </c>
      <c r="I51" s="5">
        <f>'historical fs'!I43</f>
        <v>0.14410515220238285</v>
      </c>
      <c r="J51" s="5">
        <f>'historical fs'!J43</f>
        <v>0.11217742771271634</v>
      </c>
      <c r="K51" s="5">
        <f>'historical fs'!K43</f>
        <v>9.8108526132628729E-2</v>
      </c>
      <c r="L51" s="5">
        <f>'historical fs'!L43</f>
        <v>0.10766856033481326</v>
      </c>
      <c r="N51" s="5">
        <f t="shared" si="2"/>
        <v>0.13798237200525737</v>
      </c>
      <c r="O51" s="5">
        <f t="shared" si="1"/>
        <v>0.13357996816879589</v>
      </c>
    </row>
    <row r="52" spans="2:15" x14ac:dyDescent="0.3">
      <c r="B52" s="59" t="s">
        <v>185</v>
      </c>
      <c r="C52" s="61">
        <f>IFERROR(C50/'Data Sheet'!B8,0)</f>
        <v>1.7512784064587577E-3</v>
      </c>
      <c r="D52" s="61">
        <f>IFERROR(D50/'Data Sheet'!C8,0)</f>
        <v>0</v>
      </c>
      <c r="E52" s="61">
        <f>IFERROR(E50/'Data Sheet'!D8,0)</f>
        <v>0</v>
      </c>
      <c r="F52" s="61">
        <f>IFERROR(F50/'Data Sheet'!E8,0)</f>
        <v>0</v>
      </c>
      <c r="G52" s="61">
        <f>IFERROR(G50/'Data Sheet'!F8,0)</f>
        <v>0</v>
      </c>
      <c r="H52" s="61">
        <f>IFERROR(H50/'Data Sheet'!G8,0)</f>
        <v>0</v>
      </c>
      <c r="I52" s="61">
        <f>IFERROR(I50/'Data Sheet'!H8,0)</f>
        <v>0</v>
      </c>
      <c r="J52" s="61">
        <f>IFERROR(J50/'Data Sheet'!I8,0)</f>
        <v>0</v>
      </c>
      <c r="K52" s="61">
        <f>IFERROR(K50/'Data Sheet'!J8,0)</f>
        <v>0</v>
      </c>
      <c r="L52" s="61">
        <f>IFERROR(L50/'Data Sheet'!K8,0)</f>
        <v>0</v>
      </c>
      <c r="M52" s="59"/>
      <c r="N52" s="61">
        <f t="shared" si="2"/>
        <v>1.7512784064587576E-4</v>
      </c>
      <c r="O52" s="61">
        <f t="shared" si="1"/>
        <v>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09353BAF-A685-4E42-93AE-6B615EC0DBE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  <x14:sparkline>
              <xm:f>'ratio analysis'!C41:L41</xm:f>
              <xm:sqref>M41</xm:sqref>
            </x14:sparkline>
            <x14:sparkline>
              <xm:f>'ratio analysis'!C42:L42</xm:f>
              <xm:sqref>M42</xm:sqref>
            </x14:sparkline>
            <x14:sparkline>
              <xm:f>'ratio analysis'!C43:L43</xm:f>
              <xm:sqref>M43</xm:sqref>
            </x14:sparkline>
            <x14:sparkline>
              <xm:f>'ratio analysis'!C44:L44</xm:f>
              <xm:sqref>M44</xm:sqref>
            </x14:sparkline>
            <x14:sparkline>
              <xm:f>'ratio analysis'!C45:L45</xm:f>
              <xm:sqref>M45</xm:sqref>
            </x14:sparkline>
            <x14:sparkline>
              <xm:f>'ratio analysis'!C46:L46</xm:f>
              <xm:sqref>M46</xm:sqref>
            </x14:sparkline>
            <x14:sparkline>
              <xm:f>'ratio analysis'!C47:L47</xm:f>
              <xm:sqref>M47</xm:sqref>
            </x14:sparkline>
            <x14:sparkline>
              <xm:f>'ratio analysis'!C48:L48</xm:f>
              <xm:sqref>M48</xm:sqref>
            </x14:sparkline>
            <x14:sparkline>
              <xm:f>'ratio analysis'!C49:L49</xm:f>
              <xm:sqref>M49</xm:sqref>
            </x14:sparkline>
            <x14:sparkline>
              <xm:f>'ratio analysis'!C50:L50</xm:f>
              <xm:sqref>M50</xm:sqref>
            </x14:sparkline>
            <x14:sparkline>
              <xm:f>'ratio analysis'!C51:L51</xm:f>
              <xm:sqref>M51</xm:sqref>
            </x14:sparkline>
            <x14:sparkline>
              <xm:f>'ratio analysis'!C52:L52</xm:f>
              <xm:sqref>M52</xm:sqref>
            </x14:sparkline>
          </x14:sparklines>
        </x14:sparklineGroup>
        <x14:sparklineGroup displayEmptyCellsAs="gap" markers="1" xr2:uid="{959CEF1E-6AC7-4C75-9C39-C476BE97A13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</x14:sparklineGroup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789B-CAC8-4CE2-9834-41E1411551E7}">
  <sheetPr>
    <tabColor rgb="FF00B050"/>
  </sheetPr>
  <dimension ref="B2:N28"/>
  <sheetViews>
    <sheetView showGridLines="0" workbookViewId="0">
      <selection activeCell="J12" sqref="J12"/>
    </sheetView>
  </sheetViews>
  <sheetFormatPr defaultRowHeight="14.4" x14ac:dyDescent="0.3"/>
  <cols>
    <col min="1" max="1" width="5.33203125" customWidth="1"/>
    <col min="2" max="2" width="34.5546875" customWidth="1"/>
    <col min="3" max="3" width="13.5546875" customWidth="1"/>
    <col min="4" max="4" width="14.6640625" customWidth="1"/>
    <col min="5" max="5" width="12.44140625" customWidth="1"/>
    <col min="6" max="6" width="14" customWidth="1"/>
    <col min="7" max="7" width="11.5546875" customWidth="1"/>
    <col min="8" max="8" width="12" customWidth="1"/>
    <col min="9" max="9" width="10.88671875" customWidth="1"/>
    <col min="10" max="10" width="11.88671875" customWidth="1"/>
  </cols>
  <sheetData>
    <row r="2" spans="2:14" x14ac:dyDescent="0.3">
      <c r="C2" s="38">
        <v>41334</v>
      </c>
      <c r="D2" s="38">
        <v>41699</v>
      </c>
      <c r="E2" s="38">
        <v>42064</v>
      </c>
      <c r="F2" s="38">
        <v>42430</v>
      </c>
      <c r="G2" s="38">
        <v>42795</v>
      </c>
      <c r="H2" s="38">
        <v>43160</v>
      </c>
      <c r="I2" s="38">
        <v>43525</v>
      </c>
      <c r="J2" s="157">
        <v>43891</v>
      </c>
      <c r="K2" s="157">
        <v>44256</v>
      </c>
      <c r="L2" s="157">
        <v>44621</v>
      </c>
      <c r="M2" s="157">
        <v>44986</v>
      </c>
      <c r="N2" s="157">
        <v>45352</v>
      </c>
    </row>
    <row r="3" spans="2:14" x14ac:dyDescent="0.3">
      <c r="B3" t="s">
        <v>118</v>
      </c>
      <c r="C3" s="39">
        <v>36918</v>
      </c>
      <c r="D3" s="39">
        <v>43261</v>
      </c>
      <c r="E3" s="39">
        <v>34374</v>
      </c>
      <c r="F3" s="39">
        <v>38134</v>
      </c>
      <c r="G3" s="39">
        <v>49550</v>
      </c>
      <c r="H3" s="39">
        <v>71459</v>
      </c>
      <c r="I3" s="39">
        <v>42346</v>
      </c>
      <c r="J3" s="39">
        <v>94877</v>
      </c>
      <c r="K3" s="39">
        <v>26958</v>
      </c>
      <c r="L3" s="39">
        <v>110654</v>
      </c>
      <c r="M3" s="39">
        <v>115032</v>
      </c>
      <c r="N3" s="39">
        <v>158788</v>
      </c>
    </row>
    <row r="4" spans="2:14" x14ac:dyDescent="0.3">
      <c r="B4" t="s">
        <v>119</v>
      </c>
      <c r="C4" s="39">
        <v>34373</v>
      </c>
      <c r="D4" s="39">
        <v>38444</v>
      </c>
      <c r="E4" s="39">
        <v>38994</v>
      </c>
      <c r="F4" s="39">
        <v>38887</v>
      </c>
      <c r="G4" s="39">
        <v>44170</v>
      </c>
      <c r="H4" s="39">
        <v>62765</v>
      </c>
      <c r="I4" s="39">
        <v>83319</v>
      </c>
      <c r="J4" s="39">
        <v>85347</v>
      </c>
      <c r="K4" s="39">
        <v>80129</v>
      </c>
      <c r="L4" s="39">
        <v>113726</v>
      </c>
      <c r="M4" s="39">
        <v>140963</v>
      </c>
      <c r="N4" s="39">
        <v>164383</v>
      </c>
    </row>
    <row r="5" spans="2:14" x14ac:dyDescent="0.3">
      <c r="B5" t="s">
        <v>69</v>
      </c>
      <c r="C5" s="39">
        <v>7289</v>
      </c>
      <c r="D5" s="39">
        <v>-1913</v>
      </c>
      <c r="E5" s="39">
        <v>1097</v>
      </c>
      <c r="F5" s="39">
        <v>-6880</v>
      </c>
      <c r="G5" s="39">
        <v>-8511</v>
      </c>
      <c r="H5" s="39">
        <v>-21991</v>
      </c>
      <c r="I5" s="39">
        <v>-40136</v>
      </c>
      <c r="J5" s="39">
        <v>-13792</v>
      </c>
      <c r="K5">
        <v>959</v>
      </c>
      <c r="L5" s="39">
        <v>-14180</v>
      </c>
      <c r="M5" s="39">
        <v>13194</v>
      </c>
      <c r="N5" s="39">
        <v>-15674</v>
      </c>
    </row>
    <row r="6" spans="2:14" x14ac:dyDescent="0.3">
      <c r="B6" t="s">
        <v>45</v>
      </c>
      <c r="C6" s="39">
        <v>-7525</v>
      </c>
      <c r="D6" s="39">
        <v>-1396</v>
      </c>
      <c r="E6" s="39">
        <v>3472</v>
      </c>
      <c r="F6" s="39">
        <v>6758</v>
      </c>
      <c r="G6" s="39">
        <v>-6899</v>
      </c>
      <c r="H6" s="39">
        <v>-10474</v>
      </c>
      <c r="I6" s="39">
        <v>-6724</v>
      </c>
      <c r="J6" s="39">
        <v>-6342</v>
      </c>
      <c r="K6" s="39">
        <v>-7769</v>
      </c>
      <c r="L6" s="39">
        <v>-24983</v>
      </c>
      <c r="M6" s="39">
        <v>-32228</v>
      </c>
      <c r="N6" s="39">
        <v>-12756</v>
      </c>
    </row>
    <row r="7" spans="2:14" x14ac:dyDescent="0.3">
      <c r="B7" t="s">
        <v>120</v>
      </c>
      <c r="C7" s="39">
        <v>7608</v>
      </c>
      <c r="D7" s="39">
        <v>14339</v>
      </c>
      <c r="E7" s="39">
        <v>-2754</v>
      </c>
      <c r="F7" s="39">
        <v>7951</v>
      </c>
      <c r="G7" s="39">
        <v>30873</v>
      </c>
      <c r="H7" s="39">
        <v>51003</v>
      </c>
      <c r="I7" s="39">
        <v>18078</v>
      </c>
      <c r="J7" s="39">
        <v>38050</v>
      </c>
      <c r="K7" s="39">
        <v>-43148</v>
      </c>
      <c r="L7" s="39">
        <v>39888</v>
      </c>
      <c r="M7">
        <v>-600</v>
      </c>
      <c r="N7" s="39">
        <v>34796</v>
      </c>
    </row>
    <row r="8" spans="2:14" x14ac:dyDescent="0.3">
      <c r="B8" t="s">
        <v>121</v>
      </c>
      <c r="C8" s="39">
        <v>7372</v>
      </c>
      <c r="D8" s="39">
        <v>11030</v>
      </c>
      <c r="E8" s="39">
        <v>1815</v>
      </c>
      <c r="F8" s="39">
        <v>7829</v>
      </c>
      <c r="G8" s="39">
        <v>15463</v>
      </c>
      <c r="H8" s="39">
        <v>18538</v>
      </c>
      <c r="I8" s="39">
        <v>-28782</v>
      </c>
      <c r="J8" s="39">
        <v>17916</v>
      </c>
      <c r="K8" s="39">
        <v>-49958</v>
      </c>
      <c r="L8">
        <v>725</v>
      </c>
      <c r="M8" s="39">
        <v>-19634</v>
      </c>
      <c r="N8" s="39">
        <v>6366</v>
      </c>
    </row>
    <row r="9" spans="2:14" x14ac:dyDescent="0.3">
      <c r="B9" t="s">
        <v>122</v>
      </c>
      <c r="C9" s="39">
        <v>-4824</v>
      </c>
      <c r="D9" s="39">
        <v>-6213</v>
      </c>
      <c r="E9" s="39">
        <v>-6435</v>
      </c>
      <c r="F9" s="39">
        <v>-8582</v>
      </c>
      <c r="G9" s="39">
        <v>-10083</v>
      </c>
      <c r="H9" s="39">
        <v>-9844</v>
      </c>
      <c r="I9" s="39">
        <v>-12191</v>
      </c>
      <c r="J9" s="39">
        <v>-8386</v>
      </c>
      <c r="K9" s="39">
        <v>-3213</v>
      </c>
      <c r="L9" s="39">
        <v>-3797</v>
      </c>
      <c r="M9" s="39">
        <v>-6297</v>
      </c>
      <c r="N9" s="39">
        <v>-11961</v>
      </c>
    </row>
    <row r="10" spans="2:14" x14ac:dyDescent="0.3">
      <c r="B10" t="s">
        <v>123</v>
      </c>
      <c r="C10">
        <v>-3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2:14" x14ac:dyDescent="0.3">
      <c r="B11" t="s">
        <v>124</v>
      </c>
      <c r="C11" s="39">
        <v>-27601</v>
      </c>
      <c r="D11" s="39">
        <v>-73070</v>
      </c>
      <c r="E11" s="39">
        <v>-64706</v>
      </c>
      <c r="F11" s="39">
        <v>-36186</v>
      </c>
      <c r="G11" s="39">
        <v>-66201</v>
      </c>
      <c r="H11" s="39">
        <v>-68192</v>
      </c>
      <c r="I11" s="39">
        <v>-94507</v>
      </c>
      <c r="J11" s="39">
        <v>-72497</v>
      </c>
      <c r="K11" s="39">
        <v>-142385</v>
      </c>
      <c r="L11" s="39">
        <v>-109162</v>
      </c>
      <c r="M11" s="39">
        <v>-93001</v>
      </c>
      <c r="N11" s="39">
        <v>-113581</v>
      </c>
    </row>
    <row r="12" spans="2:14" x14ac:dyDescent="0.3">
      <c r="B12" s="111" t="s">
        <v>125</v>
      </c>
      <c r="C12" s="158">
        <v>-30726</v>
      </c>
      <c r="D12" s="158">
        <v>-60087</v>
      </c>
      <c r="E12" s="158">
        <v>-63364</v>
      </c>
      <c r="F12" s="158">
        <v>-46898</v>
      </c>
      <c r="G12" s="158">
        <v>-78109</v>
      </c>
      <c r="H12" s="158">
        <v>-73953</v>
      </c>
      <c r="I12" s="158">
        <v>-93626</v>
      </c>
      <c r="J12" s="158">
        <v>-76517</v>
      </c>
      <c r="K12" s="158">
        <v>-105837</v>
      </c>
      <c r="L12" s="158">
        <v>-100145</v>
      </c>
      <c r="M12" s="158">
        <v>-140988</v>
      </c>
      <c r="N12" s="158">
        <v>-152883</v>
      </c>
    </row>
    <row r="13" spans="2:14" x14ac:dyDescent="0.3">
      <c r="B13" s="111" t="s">
        <v>126</v>
      </c>
      <c r="C13" s="158">
        <v>2138</v>
      </c>
      <c r="D13" s="111">
        <v>148</v>
      </c>
      <c r="E13" s="111">
        <v>402</v>
      </c>
      <c r="F13" s="111">
        <v>344</v>
      </c>
      <c r="G13" s="158">
        <v>1482</v>
      </c>
      <c r="H13" s="111">
        <v>999</v>
      </c>
      <c r="I13" s="111">
        <v>849</v>
      </c>
      <c r="J13" s="111">
        <v>964</v>
      </c>
      <c r="K13" s="158">
        <v>2319</v>
      </c>
      <c r="L13" s="158">
        <v>3137</v>
      </c>
      <c r="M13" s="158">
        <v>9186</v>
      </c>
      <c r="N13" s="158">
        <v>15307</v>
      </c>
    </row>
    <row r="14" spans="2:14" x14ac:dyDescent="0.3">
      <c r="B14" t="s">
        <v>127</v>
      </c>
      <c r="C14" s="39">
        <v>-484826</v>
      </c>
      <c r="D14" s="39">
        <v>-765659</v>
      </c>
      <c r="E14" s="39">
        <v>-678241</v>
      </c>
      <c r="F14" s="39">
        <v>-715334</v>
      </c>
      <c r="G14" s="39">
        <v>-654760</v>
      </c>
      <c r="H14" s="39">
        <v>-533984</v>
      </c>
      <c r="I14" s="39">
        <v>-1107439</v>
      </c>
      <c r="J14" s="39">
        <v>-1156843</v>
      </c>
      <c r="K14" s="39">
        <v>-689866</v>
      </c>
      <c r="L14" s="39">
        <v>-667878</v>
      </c>
      <c r="M14" s="39">
        <v>-471822</v>
      </c>
      <c r="N14" s="39">
        <v>-514380</v>
      </c>
    </row>
    <row r="15" spans="2:14" x14ac:dyDescent="0.3">
      <c r="B15" t="s">
        <v>128</v>
      </c>
      <c r="C15" s="39">
        <v>482102</v>
      </c>
      <c r="D15" s="39">
        <v>749849</v>
      </c>
      <c r="E15" s="39">
        <v>666383</v>
      </c>
      <c r="F15" s="39">
        <v>721182</v>
      </c>
      <c r="G15" s="39">
        <v>663990</v>
      </c>
      <c r="H15" s="39">
        <v>537504</v>
      </c>
      <c r="I15" s="39">
        <v>1103615</v>
      </c>
      <c r="J15" s="39">
        <v>1174796</v>
      </c>
      <c r="K15" s="39">
        <v>642551</v>
      </c>
      <c r="L15" s="39">
        <v>668137</v>
      </c>
      <c r="M15" s="39">
        <v>501266</v>
      </c>
      <c r="N15" s="39">
        <v>531355</v>
      </c>
    </row>
    <row r="16" spans="2:14" x14ac:dyDescent="0.3">
      <c r="B16" t="s">
        <v>129</v>
      </c>
      <c r="C16" s="39">
        <v>6144</v>
      </c>
      <c r="D16" s="39">
        <v>6413</v>
      </c>
      <c r="E16" s="39">
        <v>6055</v>
      </c>
      <c r="F16" s="39">
        <v>2942</v>
      </c>
      <c r="G16" s="39">
        <v>1110</v>
      </c>
      <c r="H16" s="39">
        <v>1310</v>
      </c>
      <c r="I16">
        <v>972</v>
      </c>
      <c r="J16" s="39">
        <v>1441</v>
      </c>
      <c r="K16" s="39">
        <v>8400</v>
      </c>
      <c r="L16" s="39">
        <v>5933</v>
      </c>
      <c r="M16" s="39">
        <v>11103</v>
      </c>
      <c r="N16" s="39">
        <v>10648</v>
      </c>
    </row>
    <row r="17" spans="2:14" x14ac:dyDescent="0.3">
      <c r="B17" t="s">
        <v>130</v>
      </c>
      <c r="C17">
        <v>128</v>
      </c>
      <c r="D17">
        <v>316</v>
      </c>
      <c r="E17">
        <v>548</v>
      </c>
      <c r="F17">
        <v>732</v>
      </c>
      <c r="G17">
        <v>345</v>
      </c>
      <c r="H17" s="39">
        <v>1021</v>
      </c>
      <c r="I17">
        <v>501</v>
      </c>
      <c r="J17">
        <v>78</v>
      </c>
      <c r="K17">
        <v>26</v>
      </c>
      <c r="L17">
        <v>19</v>
      </c>
      <c r="M17">
        <v>20</v>
      </c>
      <c r="N17">
        <v>75</v>
      </c>
    </row>
    <row r="18" spans="2:14" x14ac:dyDescent="0.3">
      <c r="B18" t="s">
        <v>131</v>
      </c>
      <c r="C18" s="39">
        <v>-2561</v>
      </c>
      <c r="D18" s="39">
        <v>-4050</v>
      </c>
      <c r="E18" s="39">
        <v>3511</v>
      </c>
      <c r="F18">
        <v>846</v>
      </c>
      <c r="G18">
        <v>-259</v>
      </c>
      <c r="H18" s="39">
        <v>-1089</v>
      </c>
      <c r="I18">
        <v>621</v>
      </c>
      <c r="J18" s="39">
        <v>-16416</v>
      </c>
      <c r="K18">
        <v>22</v>
      </c>
      <c r="L18" s="39">
        <v>-18365</v>
      </c>
      <c r="M18" s="39">
        <v>-1766</v>
      </c>
      <c r="N18" s="39">
        <v>-3703</v>
      </c>
    </row>
    <row r="19" spans="2:14" x14ac:dyDescent="0.3">
      <c r="B19" t="s">
        <v>132</v>
      </c>
      <c r="C19">
        <v>408</v>
      </c>
      <c r="D19" s="39">
        <v>13713</v>
      </c>
      <c r="E19" s="39">
        <v>8444</v>
      </c>
      <c r="F19" s="39">
        <v>-3210</v>
      </c>
      <c r="G19" s="39">
        <v>8617</v>
      </c>
      <c r="H19" s="39">
        <v>-2001</v>
      </c>
      <c r="I19" s="39">
        <v>55906</v>
      </c>
      <c r="J19" s="39">
        <v>-2541</v>
      </c>
      <c r="K19" s="39">
        <v>101904</v>
      </c>
      <c r="L19" s="39">
        <v>17289</v>
      </c>
      <c r="M19" s="39">
        <v>10455</v>
      </c>
      <c r="N19" s="39">
        <v>-16646</v>
      </c>
    </row>
    <row r="20" spans="2:14" x14ac:dyDescent="0.3">
      <c r="B20" t="s">
        <v>133</v>
      </c>
      <c r="C20">
        <v>12</v>
      </c>
      <c r="D20">
        <v>188</v>
      </c>
      <c r="E20">
        <v>343</v>
      </c>
      <c r="F20">
        <v>288</v>
      </c>
      <c r="G20">
        <v>811</v>
      </c>
      <c r="H20">
        <v>406</v>
      </c>
      <c r="I20">
        <v>230</v>
      </c>
      <c r="J20">
        <v>129</v>
      </c>
      <c r="K20">
        <v>5</v>
      </c>
      <c r="L20">
        <v>455</v>
      </c>
      <c r="M20">
        <v>479</v>
      </c>
      <c r="N20" s="39">
        <v>20915</v>
      </c>
    </row>
    <row r="21" spans="2:14" x14ac:dyDescent="0.3">
      <c r="B21" t="s">
        <v>134</v>
      </c>
      <c r="C21" s="39">
        <v>21186</v>
      </c>
      <c r="D21" s="39">
        <v>42152</v>
      </c>
      <c r="E21" s="39">
        <v>29413</v>
      </c>
      <c r="F21" s="39">
        <v>34673</v>
      </c>
      <c r="G21" s="39">
        <v>31728</v>
      </c>
      <c r="H21" s="39">
        <v>36970</v>
      </c>
      <c r="I21" s="39">
        <v>106701</v>
      </c>
      <c r="J21" s="39">
        <v>53760</v>
      </c>
      <c r="K21" s="39">
        <v>46421</v>
      </c>
      <c r="L21" s="39">
        <v>59343</v>
      </c>
      <c r="M21" s="39">
        <v>67134</v>
      </c>
      <c r="N21" s="39">
        <v>69610</v>
      </c>
    </row>
    <row r="22" spans="2:14" x14ac:dyDescent="0.3">
      <c r="B22" t="s">
        <v>135</v>
      </c>
      <c r="C22" s="39">
        <v>-10532</v>
      </c>
      <c r="D22" s="39">
        <v>-19835</v>
      </c>
      <c r="E22" s="39">
        <v>-11909</v>
      </c>
      <c r="F22" s="39">
        <v>-21693</v>
      </c>
      <c r="G22" s="39">
        <v>-18542</v>
      </c>
      <c r="H22" s="39">
        <v>-19813</v>
      </c>
      <c r="I22" s="39">
        <v>-20245</v>
      </c>
      <c r="J22" s="39">
        <v>-18179</v>
      </c>
      <c r="K22" s="39">
        <v>-116921</v>
      </c>
      <c r="L22" s="39">
        <v>-49493</v>
      </c>
      <c r="M22" s="39">
        <v>-29059</v>
      </c>
      <c r="N22" s="39">
        <v>-60348</v>
      </c>
    </row>
    <row r="23" spans="2:14" x14ac:dyDescent="0.3">
      <c r="B23" t="s">
        <v>136</v>
      </c>
      <c r="C23" s="39">
        <v>-4626</v>
      </c>
      <c r="D23" s="39">
        <v>-5619</v>
      </c>
      <c r="E23" s="39">
        <v>-6149</v>
      </c>
      <c r="F23" s="39">
        <v>-9224</v>
      </c>
      <c r="G23" s="39">
        <v>-12920</v>
      </c>
      <c r="H23" s="39">
        <v>-17669</v>
      </c>
      <c r="I23" s="39">
        <v>-23338</v>
      </c>
      <c r="J23" s="39">
        <v>-28508</v>
      </c>
      <c r="K23" s="39">
        <v>-18340</v>
      </c>
      <c r="L23" s="39">
        <v>-26349</v>
      </c>
      <c r="M23" s="39">
        <v>-21650</v>
      </c>
      <c r="N23" s="39">
        <v>-37173</v>
      </c>
    </row>
    <row r="24" spans="2:14" x14ac:dyDescent="0.3">
      <c r="B24" t="s">
        <v>137</v>
      </c>
      <c r="C24" s="39">
        <v>-2949</v>
      </c>
      <c r="D24" s="39">
        <v>-3123</v>
      </c>
      <c r="E24" s="39">
        <v>-3268</v>
      </c>
      <c r="F24" s="39">
        <v>-7259</v>
      </c>
      <c r="G24">
        <v>-53</v>
      </c>
      <c r="H24" s="39">
        <v>-3916</v>
      </c>
      <c r="I24" s="39">
        <v>-4282</v>
      </c>
      <c r="J24" s="39">
        <v>-4592</v>
      </c>
      <c r="K24" s="39">
        <v>-3921</v>
      </c>
      <c r="L24" s="39">
        <v>-4297</v>
      </c>
      <c r="M24" s="39">
        <v>-5083</v>
      </c>
      <c r="N24" s="39">
        <v>-6089</v>
      </c>
    </row>
    <row r="25" spans="2:14" x14ac:dyDescent="0.3">
      <c r="B25" t="s">
        <v>138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39">
        <v>-1062</v>
      </c>
      <c r="K25" s="39">
        <v>-1022</v>
      </c>
      <c r="L25" s="39">
        <v>-2132</v>
      </c>
      <c r="M25" s="39">
        <v>-1406</v>
      </c>
      <c r="N25" s="39">
        <v>-2483</v>
      </c>
    </row>
    <row r="26" spans="2:14" x14ac:dyDescent="0.3">
      <c r="B26" t="s">
        <v>139</v>
      </c>
      <c r="C26">
        <v>25</v>
      </c>
      <c r="D26">
        <v>17</v>
      </c>
      <c r="E26">
        <v>17</v>
      </c>
      <c r="F26">
        <v>8</v>
      </c>
      <c r="G26">
        <v>4</v>
      </c>
      <c r="H26">
        <v>15</v>
      </c>
      <c r="I26">
        <v>2</v>
      </c>
      <c r="J26">
        <v>1</v>
      </c>
      <c r="K26">
        <v>0</v>
      </c>
      <c r="L26">
        <v>0</v>
      </c>
      <c r="M26">
        <v>0</v>
      </c>
      <c r="N26">
        <v>0</v>
      </c>
    </row>
    <row r="27" spans="2:14" x14ac:dyDescent="0.3">
      <c r="B27" t="s">
        <v>140</v>
      </c>
      <c r="C27" s="39">
        <v>-2708</v>
      </c>
      <c r="D27">
        <v>-67</v>
      </c>
      <c r="E27">
        <v>-3</v>
      </c>
      <c r="F27">
        <v>-3</v>
      </c>
      <c r="G27" s="39">
        <v>7589</v>
      </c>
      <c r="H27" s="39">
        <v>2006</v>
      </c>
      <c r="I27" s="39">
        <v>-3162</v>
      </c>
      <c r="J27" s="39">
        <v>-4090</v>
      </c>
      <c r="K27" s="39">
        <v>195682</v>
      </c>
      <c r="L27" s="39">
        <v>39762</v>
      </c>
      <c r="M27">
        <v>40</v>
      </c>
      <c r="N27" s="39">
        <v>-1078</v>
      </c>
    </row>
    <row r="28" spans="2:14" x14ac:dyDescent="0.3">
      <c r="B28" t="s">
        <v>35</v>
      </c>
      <c r="C28" s="39">
        <v>9725</v>
      </c>
      <c r="D28" s="39">
        <v>-16096</v>
      </c>
      <c r="E28" s="39">
        <v>-21888</v>
      </c>
      <c r="F28" s="39">
        <v>-1262</v>
      </c>
      <c r="G28" s="39">
        <v>-8034</v>
      </c>
      <c r="H28" s="39">
        <v>1266</v>
      </c>
      <c r="I28" s="39">
        <v>3745</v>
      </c>
      <c r="J28" s="39">
        <v>19839</v>
      </c>
      <c r="K28" s="39">
        <v>-13523</v>
      </c>
      <c r="L28" s="39">
        <v>18781</v>
      </c>
      <c r="M28" s="39">
        <v>32486</v>
      </c>
      <c r="N28" s="39">
        <v>28561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C944-A1A6-41A3-B790-24DF5EE21374}">
  <sheetPr>
    <tabColor rgb="FF00B050"/>
  </sheetPr>
  <dimension ref="B2:O19"/>
  <sheetViews>
    <sheetView showGridLines="0" workbookViewId="0">
      <selection activeCell="F18" sqref="F18"/>
    </sheetView>
  </sheetViews>
  <sheetFormatPr defaultRowHeight="14.4" x14ac:dyDescent="0.3"/>
  <cols>
    <col min="1" max="1" width="4.33203125" customWidth="1"/>
    <col min="2" max="2" width="11.5546875" customWidth="1"/>
    <col min="3" max="3" width="10.6640625" customWidth="1"/>
    <col min="4" max="4" width="12.5546875" customWidth="1"/>
    <col min="5" max="5" width="13" customWidth="1"/>
    <col min="7" max="7" width="12.109375" customWidth="1"/>
    <col min="9" max="9" width="12.88671875" customWidth="1"/>
    <col min="10" max="10" width="13.5546875" customWidth="1"/>
    <col min="12" max="12" width="15.44140625" customWidth="1"/>
    <col min="13" max="13" width="12.33203125" customWidth="1"/>
    <col min="14" max="14" width="14.109375" customWidth="1"/>
    <col min="15" max="15" width="12.44140625" customWidth="1"/>
  </cols>
  <sheetData>
    <row r="2" spans="2:15" x14ac:dyDescent="0.3">
      <c r="B2" t="str">
        <f>'Data Sheet'!B1&amp;"-"&amp;'Data Sheet'!A17&amp;" Forcasting"</f>
        <v>RELIANCE INDUSTRIES LTD-Sales Forcasting</v>
      </c>
      <c r="G2" t="str">
        <f>'Data Sheet'!B1&amp;"-"&amp;'historical fs'!B18&amp;" Forcasting"</f>
        <v>RELIANCE INDUSTRIES LTD-EBITDA Forcasting</v>
      </c>
      <c r="L2" t="str">
        <f>'Data Sheet'!B1&amp;"-"&amp;'historical fs'!B38&amp;" Forcasting"</f>
        <v>RELIANCE INDUSTRIES LTD-earning per share (eps) Forcasting</v>
      </c>
    </row>
    <row r="3" spans="2:15" x14ac:dyDescent="0.3">
      <c r="B3" s="76" t="s">
        <v>189</v>
      </c>
      <c r="C3" s="76" t="s">
        <v>190</v>
      </c>
      <c r="D3" s="76" t="s">
        <v>6</v>
      </c>
      <c r="E3" s="76" t="s">
        <v>22</v>
      </c>
      <c r="G3" s="76" t="s">
        <v>189</v>
      </c>
      <c r="H3" s="76" t="s">
        <v>190</v>
      </c>
      <c r="I3" s="76" t="s">
        <v>92</v>
      </c>
      <c r="J3" s="76" t="s">
        <v>192</v>
      </c>
      <c r="L3" s="76" t="s">
        <v>189</v>
      </c>
      <c r="M3" s="76" t="s">
        <v>190</v>
      </c>
      <c r="N3" s="76" t="s">
        <v>48</v>
      </c>
      <c r="O3" s="76" t="s">
        <v>193</v>
      </c>
    </row>
    <row r="4" spans="2:15" x14ac:dyDescent="0.3">
      <c r="B4">
        <v>1</v>
      </c>
      <c r="C4" s="77">
        <v>2015</v>
      </c>
      <c r="D4" s="81" cm="1">
        <f t="array" ref="D4:D13">TRANSPOSE('Data Sheet'!B17:K17)</f>
        <v>374372</v>
      </c>
      <c r="G4">
        <v>1</v>
      </c>
      <c r="H4" s="77">
        <v>2015</v>
      </c>
      <c r="I4" s="81" cm="1">
        <f t="array" ref="I4:I13">TRANSPOSE('historical fs'!C18:L18)</f>
        <v>37449</v>
      </c>
      <c r="L4">
        <v>1</v>
      </c>
      <c r="M4" s="77">
        <v>2015</v>
      </c>
      <c r="N4" s="81" cm="1">
        <f t="array" ref="N4:N13">TRANSPOSE('historical fs'!C38:L38)</f>
        <v>10.94628266790288</v>
      </c>
    </row>
    <row r="5" spans="2:15" x14ac:dyDescent="0.3">
      <c r="B5">
        <v>2</v>
      </c>
      <c r="C5" s="77">
        <v>2016</v>
      </c>
      <c r="D5" s="81">
        <v>272583</v>
      </c>
      <c r="E5" s="5">
        <f>D5/D4-1</f>
        <v>-0.27189266291282466</v>
      </c>
      <c r="G5">
        <v>2</v>
      </c>
      <c r="H5" s="77">
        <v>2016</v>
      </c>
      <c r="I5" s="81">
        <v>41781</v>
      </c>
      <c r="J5" s="5">
        <f>I5/I4-1</f>
        <v>0.11567732115677321</v>
      </c>
      <c r="L5">
        <v>2</v>
      </c>
      <c r="M5" s="77">
        <v>2016</v>
      </c>
      <c r="N5" s="81">
        <v>12.765264939461009</v>
      </c>
      <c r="O5" s="5">
        <f>N5/N4-1</f>
        <v>0.1661735154064512</v>
      </c>
    </row>
    <row r="6" spans="2:15" x14ac:dyDescent="0.3">
      <c r="B6">
        <v>3</v>
      </c>
      <c r="C6" s="77">
        <v>2017</v>
      </c>
      <c r="D6" s="81">
        <v>303954</v>
      </c>
      <c r="E6" s="5">
        <f t="shared" ref="E6:E19" si="0">D6/D5-1</f>
        <v>0.11508788148930793</v>
      </c>
      <c r="G6">
        <v>3</v>
      </c>
      <c r="H6" s="77">
        <v>2017</v>
      </c>
      <c r="I6" s="81">
        <v>46307</v>
      </c>
      <c r="J6" s="5">
        <f t="shared" ref="J6:J19" si="1">I6/I5-1</f>
        <v>0.10832675139417436</v>
      </c>
      <c r="L6">
        <v>3</v>
      </c>
      <c r="M6" s="77">
        <v>2017</v>
      </c>
      <c r="N6" s="81">
        <v>14.857773100157148</v>
      </c>
      <c r="O6" s="5">
        <f t="shared" ref="O6:O19" si="2">N6/N5-1</f>
        <v>0.16392203143607387</v>
      </c>
    </row>
    <row r="7" spans="2:15" x14ac:dyDescent="0.3">
      <c r="B7">
        <v>4</v>
      </c>
      <c r="C7" s="77">
        <v>2018</v>
      </c>
      <c r="D7" s="81">
        <v>390823</v>
      </c>
      <c r="E7" s="5">
        <f t="shared" si="0"/>
        <v>0.28579653500200686</v>
      </c>
      <c r="G7">
        <v>4</v>
      </c>
      <c r="H7" s="77">
        <v>2018</v>
      </c>
      <c r="I7" s="81">
        <v>64315</v>
      </c>
      <c r="J7" s="5">
        <f t="shared" si="1"/>
        <v>0.38888289027576817</v>
      </c>
      <c r="L7">
        <v>4</v>
      </c>
      <c r="M7" s="77">
        <v>2018</v>
      </c>
      <c r="N7" s="81">
        <v>19.395585286260811</v>
      </c>
      <c r="O7" s="5">
        <f t="shared" si="2"/>
        <v>0.30541671053353658</v>
      </c>
    </row>
    <row r="8" spans="2:15" x14ac:dyDescent="0.3">
      <c r="B8">
        <v>5</v>
      </c>
      <c r="C8" s="77">
        <v>2019</v>
      </c>
      <c r="D8" s="81">
        <v>568337</v>
      </c>
      <c r="E8" s="5">
        <f t="shared" si="0"/>
        <v>0.45420561225925793</v>
      </c>
      <c r="G8">
        <v>5</v>
      </c>
      <c r="H8" s="77">
        <v>2019</v>
      </c>
      <c r="I8" s="81">
        <v>84250</v>
      </c>
      <c r="J8" s="5">
        <f t="shared" si="1"/>
        <v>0.3099587965482391</v>
      </c>
      <c r="L8">
        <v>5</v>
      </c>
      <c r="M8" s="77">
        <v>2019</v>
      </c>
      <c r="N8" s="81">
        <v>23.243311197550767</v>
      </c>
      <c r="O8" s="5">
        <f t="shared" si="2"/>
        <v>0.19838153138980319</v>
      </c>
    </row>
    <row r="9" spans="2:15" x14ac:dyDescent="0.3">
      <c r="B9">
        <v>6</v>
      </c>
      <c r="C9" s="77">
        <v>2020</v>
      </c>
      <c r="D9" s="81">
        <v>596679</v>
      </c>
      <c r="E9" s="5">
        <f t="shared" si="0"/>
        <v>4.9868299969912266E-2</v>
      </c>
      <c r="G9">
        <v>6</v>
      </c>
      <c r="H9" s="77">
        <v>2020</v>
      </c>
      <c r="I9" s="81">
        <v>89266</v>
      </c>
      <c r="J9" s="5">
        <f t="shared" si="1"/>
        <v>5.9537091988130619E-2</v>
      </c>
      <c r="L9">
        <v>6</v>
      </c>
      <c r="M9" s="77">
        <v>2020</v>
      </c>
      <c r="N9" s="81">
        <v>23.151948061551206</v>
      </c>
      <c r="O9" s="5">
        <f t="shared" si="2"/>
        <v>-3.930728080136392E-3</v>
      </c>
    </row>
    <row r="10" spans="2:15" x14ac:dyDescent="0.3">
      <c r="B10">
        <v>7</v>
      </c>
      <c r="C10" s="77">
        <v>2021</v>
      </c>
      <c r="D10" s="81">
        <v>466307</v>
      </c>
      <c r="E10" s="5">
        <f t="shared" si="0"/>
        <v>-0.21849604226057895</v>
      </c>
      <c r="G10">
        <v>7</v>
      </c>
      <c r="H10" s="77">
        <v>2021</v>
      </c>
      <c r="I10" s="81">
        <v>80790</v>
      </c>
      <c r="J10" s="5">
        <f t="shared" si="1"/>
        <v>-9.4952165438128788E-2</v>
      </c>
      <c r="L10">
        <v>7</v>
      </c>
      <c r="M10" s="77">
        <v>2021</v>
      </c>
      <c r="N10" s="81">
        <v>24.692205159753605</v>
      </c>
      <c r="O10" s="5">
        <f t="shared" si="2"/>
        <v>6.6528185624272762E-2</v>
      </c>
    </row>
    <row r="11" spans="2:15" x14ac:dyDescent="0.3">
      <c r="B11">
        <v>8</v>
      </c>
      <c r="C11" s="77">
        <v>2022</v>
      </c>
      <c r="D11" s="81">
        <v>694673</v>
      </c>
      <c r="E11" s="5">
        <f t="shared" si="0"/>
        <v>0.48973315862725619</v>
      </c>
      <c r="G11">
        <v>8</v>
      </c>
      <c r="H11" s="77">
        <v>2022</v>
      </c>
      <c r="I11" s="81">
        <v>108581</v>
      </c>
      <c r="J11" s="5">
        <f t="shared" si="1"/>
        <v>0.34399059289516032</v>
      </c>
      <c r="L11">
        <v>8</v>
      </c>
      <c r="M11" s="77">
        <v>2022</v>
      </c>
      <c r="N11" s="81">
        <v>35.658324587207495</v>
      </c>
      <c r="O11" s="5">
        <f t="shared" si="2"/>
        <v>0.44411259976601114</v>
      </c>
    </row>
    <row r="12" spans="2:15" x14ac:dyDescent="0.3">
      <c r="B12">
        <v>9</v>
      </c>
      <c r="C12" s="77">
        <v>2023</v>
      </c>
      <c r="D12" s="81">
        <v>876396</v>
      </c>
      <c r="E12" s="5">
        <f t="shared" si="0"/>
        <v>0.26159502384575184</v>
      </c>
      <c r="G12">
        <v>9</v>
      </c>
      <c r="H12" s="77">
        <v>2023</v>
      </c>
      <c r="I12" s="81">
        <v>142318</v>
      </c>
      <c r="J12" s="5">
        <f t="shared" si="1"/>
        <v>0.31070813494073546</v>
      </c>
      <c r="L12">
        <v>9</v>
      </c>
      <c r="M12" s="77">
        <v>2023</v>
      </c>
      <c r="N12" s="81">
        <v>45.870284971029918</v>
      </c>
      <c r="O12" s="5">
        <f t="shared" si="2"/>
        <v>0.28638362856470234</v>
      </c>
    </row>
    <row r="13" spans="2:15" x14ac:dyDescent="0.3">
      <c r="B13">
        <v>10</v>
      </c>
      <c r="C13" s="77">
        <v>2024</v>
      </c>
      <c r="D13" s="81">
        <v>899041</v>
      </c>
      <c r="E13" s="5">
        <f t="shared" si="0"/>
        <v>2.5838776078393799E-2</v>
      </c>
      <c r="G13">
        <v>10</v>
      </c>
      <c r="H13" s="77">
        <v>2024</v>
      </c>
      <c r="I13" s="81">
        <v>162498</v>
      </c>
      <c r="J13" s="5">
        <f t="shared" si="1"/>
        <v>0.14179513483888195</v>
      </c>
      <c r="L13">
        <v>10</v>
      </c>
      <c r="M13" s="77">
        <v>2024</v>
      </c>
      <c r="N13" s="81">
        <v>46.440870863325301</v>
      </c>
      <c r="O13" s="5">
        <f t="shared" si="2"/>
        <v>1.243911810567E-2</v>
      </c>
    </row>
    <row r="14" spans="2:15" x14ac:dyDescent="0.3">
      <c r="B14" s="78">
        <v>11</v>
      </c>
      <c r="C14" s="79">
        <v>2025</v>
      </c>
      <c r="D14" s="82">
        <f>FORECAST(B14,$D$4:$D$13,$B$4:$B$13)</f>
        <v>916219.8666666667</v>
      </c>
      <c r="E14" s="80">
        <f t="shared" si="0"/>
        <v>1.9107990254801255E-2</v>
      </c>
      <c r="G14" s="78">
        <v>11</v>
      </c>
      <c r="H14" s="79">
        <v>2025</v>
      </c>
      <c r="I14" s="82">
        <f>FORECAST(G14,$I$4:$I$13,$G$4:$G$13)</f>
        <v>158922.53333333333</v>
      </c>
      <c r="J14" s="80">
        <f t="shared" si="1"/>
        <v>-2.2003142602780801E-2</v>
      </c>
      <c r="L14" s="78">
        <v>11</v>
      </c>
      <c r="M14" s="79">
        <v>2025</v>
      </c>
      <c r="N14" s="82">
        <f>FORECAST(L14,N4:N13,L4:L13)</f>
        <v>48.068441346737174</v>
      </c>
      <c r="O14" s="80">
        <f t="shared" si="2"/>
        <v>3.5046080169378824E-2</v>
      </c>
    </row>
    <row r="15" spans="2:15" x14ac:dyDescent="0.3">
      <c r="B15" s="78">
        <v>12</v>
      </c>
      <c r="C15" s="79">
        <v>2026</v>
      </c>
      <c r="D15" s="82">
        <f t="shared" ref="D15:D19" si="3">FORECAST(B15,$D$4:$D$13,$B$4:$B$13)</f>
        <v>983838.66060606064</v>
      </c>
      <c r="E15" s="80">
        <f t="shared" si="0"/>
        <v>7.3801929427049329E-2</v>
      </c>
      <c r="G15" s="78">
        <v>12</v>
      </c>
      <c r="H15" s="79">
        <v>2026</v>
      </c>
      <c r="I15" s="82">
        <f t="shared" ref="I15:I19" si="4">FORECAST(G15,$I$4:$I$13,$G$4:$G$13)</f>
        <v>172225.63030303031</v>
      </c>
      <c r="J15" s="80">
        <f t="shared" si="1"/>
        <v>8.3708060088586E-2</v>
      </c>
      <c r="L15" s="78">
        <v>12</v>
      </c>
      <c r="M15" s="79">
        <v>2026</v>
      </c>
      <c r="N15" s="82">
        <f t="shared" ref="N15:N19" si="5">FORECAST(L15,N5:N14,L5:L14)</f>
        <v>53.080036541259474</v>
      </c>
      <c r="O15" s="80">
        <f t="shared" si="2"/>
        <v>0.10425957351875903</v>
      </c>
    </row>
    <row r="16" spans="2:15" x14ac:dyDescent="0.3">
      <c r="B16" s="78">
        <v>13</v>
      </c>
      <c r="C16" s="79">
        <v>2027</v>
      </c>
      <c r="D16" s="82">
        <f t="shared" si="3"/>
        <v>1051457.4545454546</v>
      </c>
      <c r="E16" s="80">
        <f t="shared" si="0"/>
        <v>6.8729555614067461E-2</v>
      </c>
      <c r="G16" s="78">
        <v>13</v>
      </c>
      <c r="H16" s="79">
        <v>2027</v>
      </c>
      <c r="I16" s="82">
        <f t="shared" si="4"/>
        <v>185528.72727272729</v>
      </c>
      <c r="J16" s="80">
        <f t="shared" si="1"/>
        <v>7.7242260320314893E-2</v>
      </c>
      <c r="L16" s="78">
        <v>13</v>
      </c>
      <c r="M16" s="79">
        <v>2027</v>
      </c>
      <c r="N16" s="82">
        <f t="shared" si="5"/>
        <v>58.106521174083895</v>
      </c>
      <c r="O16" s="80">
        <f t="shared" si="2"/>
        <v>9.4696329549760261E-2</v>
      </c>
    </row>
    <row r="17" spans="2:15" x14ac:dyDescent="0.3">
      <c r="B17" s="78">
        <v>14</v>
      </c>
      <c r="C17" s="79">
        <v>2028</v>
      </c>
      <c r="D17" s="82">
        <f t="shared" si="3"/>
        <v>1119076.2484848485</v>
      </c>
      <c r="E17" s="80">
        <f t="shared" si="0"/>
        <v>6.4309586324275525E-2</v>
      </c>
      <c r="G17" s="78">
        <v>14</v>
      </c>
      <c r="H17" s="79">
        <v>2028</v>
      </c>
      <c r="I17" s="82">
        <f t="shared" si="4"/>
        <v>198831.82424242425</v>
      </c>
      <c r="J17" s="80">
        <f t="shared" si="1"/>
        <v>7.1703704139259195E-2</v>
      </c>
      <c r="L17" s="78">
        <v>14</v>
      </c>
      <c r="M17" s="79">
        <v>2028</v>
      </c>
      <c r="N17" s="82">
        <f t="shared" si="5"/>
        <v>63.01395039610383</v>
      </c>
      <c r="O17" s="80">
        <f t="shared" si="2"/>
        <v>8.4455739611696057E-2</v>
      </c>
    </row>
    <row r="18" spans="2:15" x14ac:dyDescent="0.3">
      <c r="B18" s="78">
        <v>15</v>
      </c>
      <c r="C18" s="79">
        <v>2029</v>
      </c>
      <c r="D18" s="82">
        <f t="shared" si="3"/>
        <v>1186695.0424242425</v>
      </c>
      <c r="E18" s="80">
        <f t="shared" si="0"/>
        <v>6.0423759355937579E-2</v>
      </c>
      <c r="G18" s="78">
        <v>15</v>
      </c>
      <c r="H18" s="79">
        <v>2029</v>
      </c>
      <c r="I18" s="82">
        <f t="shared" si="4"/>
        <v>212134.9212121212</v>
      </c>
      <c r="J18" s="80">
        <f t="shared" si="1"/>
        <v>6.6906276298492662E-2</v>
      </c>
      <c r="L18" s="78">
        <v>15</v>
      </c>
      <c r="M18" s="79">
        <v>2029</v>
      </c>
      <c r="N18" s="82">
        <f t="shared" si="5"/>
        <v>68.211184684964266</v>
      </c>
      <c r="O18" s="80">
        <f t="shared" si="2"/>
        <v>8.2477518965098584E-2</v>
      </c>
    </row>
    <row r="19" spans="2:15" x14ac:dyDescent="0.3">
      <c r="B19" s="78">
        <v>16</v>
      </c>
      <c r="C19" s="79">
        <v>2030</v>
      </c>
      <c r="D19" s="82">
        <f t="shared" si="3"/>
        <v>1254313.8363636364</v>
      </c>
      <c r="E19" s="80">
        <f t="shared" si="0"/>
        <v>5.6980767191256332E-2</v>
      </c>
      <c r="G19" s="78">
        <v>16</v>
      </c>
      <c r="H19" s="79">
        <v>2030</v>
      </c>
      <c r="I19" s="82">
        <f t="shared" si="4"/>
        <v>225438.01818181819</v>
      </c>
      <c r="J19" s="80">
        <f t="shared" si="1"/>
        <v>6.2710547106927139E-2</v>
      </c>
      <c r="L19" s="78">
        <v>16</v>
      </c>
      <c r="M19" s="79">
        <v>2030</v>
      </c>
      <c r="N19" s="82">
        <f t="shared" si="5"/>
        <v>73.605481925056665</v>
      </c>
      <c r="O19" s="80">
        <f t="shared" si="2"/>
        <v>7.9082298086540437E-2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A1C1-7019-450E-990A-2F31315361DF}">
  <dimension ref="B2:O40"/>
  <sheetViews>
    <sheetView showGridLines="0" workbookViewId="0">
      <pane ySplit="2" topLeftCell="A3" activePane="bottomLeft" state="frozen"/>
      <selection pane="bottomLeft" activeCell="B18" sqref="B18"/>
    </sheetView>
  </sheetViews>
  <sheetFormatPr defaultRowHeight="14.4" x14ac:dyDescent="0.3"/>
  <cols>
    <col min="1" max="1" width="2.33203125" customWidth="1"/>
    <col min="2" max="2" width="22.77734375" bestFit="1" customWidth="1"/>
    <col min="3" max="3" width="12" customWidth="1"/>
    <col min="4" max="4" width="12.77734375" customWidth="1"/>
    <col min="5" max="5" width="12.21875" customWidth="1"/>
    <col min="6" max="6" width="11.77734375" customWidth="1"/>
    <col min="7" max="7" width="13" customWidth="1"/>
    <col min="8" max="8" width="12.21875" customWidth="1"/>
    <col min="9" max="9" width="13" customWidth="1"/>
    <col min="10" max="10" width="12.21875" customWidth="1"/>
    <col min="11" max="11" width="13.44140625" customWidth="1"/>
    <col min="12" max="12" width="12.44140625" customWidth="1"/>
    <col min="13" max="13" width="13.21875" customWidth="1"/>
    <col min="14" max="14" width="13.6640625" customWidth="1"/>
  </cols>
  <sheetData>
    <row r="2" spans="2:15" x14ac:dyDescent="0.3">
      <c r="B2" s="83" t="s">
        <v>224</v>
      </c>
      <c r="C2" s="84">
        <v>41334</v>
      </c>
      <c r="D2" s="84">
        <v>41699</v>
      </c>
      <c r="E2" s="84">
        <v>42064</v>
      </c>
      <c r="F2" s="84">
        <v>42430</v>
      </c>
      <c r="G2" s="84">
        <v>42795</v>
      </c>
      <c r="H2" s="84">
        <v>43160</v>
      </c>
      <c r="I2" s="84">
        <v>43525</v>
      </c>
      <c r="J2" s="84">
        <v>43891</v>
      </c>
      <c r="K2" s="84">
        <v>44256</v>
      </c>
      <c r="L2" s="84">
        <v>44621</v>
      </c>
      <c r="M2" s="84">
        <v>44986</v>
      </c>
      <c r="N2" s="84">
        <v>45352</v>
      </c>
      <c r="O2" s="38"/>
    </row>
    <row r="3" spans="2:15" s="34" customFormat="1" x14ac:dyDescent="0.3">
      <c r="B3" s="85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7"/>
    </row>
    <row r="4" spans="2:15" x14ac:dyDescent="0.3">
      <c r="B4" s="2" t="s">
        <v>194</v>
      </c>
      <c r="C4" s="91">
        <v>2936</v>
      </c>
      <c r="D4" s="91">
        <v>2940</v>
      </c>
      <c r="E4" s="91">
        <v>2943</v>
      </c>
      <c r="F4" s="91">
        <v>2948</v>
      </c>
      <c r="G4" s="91">
        <v>2959</v>
      </c>
      <c r="H4" s="91">
        <v>5922</v>
      </c>
      <c r="I4" s="91">
        <v>5926</v>
      </c>
      <c r="J4" s="91">
        <v>6339</v>
      </c>
      <c r="K4" s="91">
        <v>6445</v>
      </c>
      <c r="L4" s="91">
        <v>6765</v>
      </c>
      <c r="M4" s="91">
        <v>6766</v>
      </c>
      <c r="N4" s="91">
        <v>6766</v>
      </c>
      <c r="O4" s="39"/>
    </row>
    <row r="5" spans="2:15" x14ac:dyDescent="0.3">
      <c r="B5" s="2" t="s">
        <v>25</v>
      </c>
      <c r="C5" s="91">
        <v>179119</v>
      </c>
      <c r="D5" s="91">
        <v>195747</v>
      </c>
      <c r="E5" s="91">
        <v>215556</v>
      </c>
      <c r="F5" s="91">
        <v>228608</v>
      </c>
      <c r="G5" s="91">
        <v>260750</v>
      </c>
      <c r="H5" s="91">
        <v>287584</v>
      </c>
      <c r="I5" s="91">
        <v>381186</v>
      </c>
      <c r="J5" s="91">
        <v>442827</v>
      </c>
      <c r="K5" s="91">
        <v>693727</v>
      </c>
      <c r="L5" s="91">
        <v>772720</v>
      </c>
      <c r="M5" s="91">
        <v>709106</v>
      </c>
      <c r="N5" s="91">
        <v>786715</v>
      </c>
      <c r="O5" s="39"/>
    </row>
    <row r="6" spans="2:15" x14ac:dyDescent="0.3">
      <c r="B6" s="2" t="s">
        <v>220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39"/>
    </row>
    <row r="7" spans="2:15" x14ac:dyDescent="0.3">
      <c r="B7" t="s">
        <v>195</v>
      </c>
      <c r="C7" s="91">
        <v>70960</v>
      </c>
      <c r="D7" s="91">
        <v>101019</v>
      </c>
      <c r="E7" s="91">
        <v>128165</v>
      </c>
      <c r="F7" s="91">
        <v>154957</v>
      </c>
      <c r="G7" s="91">
        <v>172285</v>
      </c>
      <c r="H7" s="91">
        <v>164385</v>
      </c>
      <c r="I7" s="91">
        <v>226345</v>
      </c>
      <c r="J7" s="91">
        <v>216470</v>
      </c>
      <c r="K7" s="91">
        <v>182520</v>
      </c>
      <c r="L7" s="91">
        <v>224883</v>
      </c>
      <c r="M7" s="91">
        <v>296023</v>
      </c>
      <c r="N7" s="91">
        <v>330984</v>
      </c>
      <c r="O7" s="39"/>
    </row>
    <row r="8" spans="2:15" x14ac:dyDescent="0.3">
      <c r="B8" t="s">
        <v>196</v>
      </c>
      <c r="C8" s="91">
        <v>18362</v>
      </c>
      <c r="D8" s="91">
        <v>32792</v>
      </c>
      <c r="E8" s="91">
        <v>27965</v>
      </c>
      <c r="F8" s="91">
        <v>23545</v>
      </c>
      <c r="G8" s="91">
        <v>31528</v>
      </c>
      <c r="H8" s="91">
        <v>37429</v>
      </c>
      <c r="I8" s="91">
        <v>64436</v>
      </c>
      <c r="J8" s="91">
        <v>93786</v>
      </c>
      <c r="K8" s="91">
        <v>88128</v>
      </c>
      <c r="L8" s="91">
        <v>78606</v>
      </c>
      <c r="M8" s="91">
        <v>130790</v>
      </c>
      <c r="N8" s="91">
        <v>101910</v>
      </c>
      <c r="O8" s="39"/>
    </row>
    <row r="9" spans="2:15" x14ac:dyDescent="0.3">
      <c r="B9" t="s">
        <v>197</v>
      </c>
      <c r="C9" s="91">
        <v>0</v>
      </c>
      <c r="D9" s="91">
        <v>0</v>
      </c>
      <c r="E9" s="91">
        <v>0</v>
      </c>
      <c r="F9" s="91">
        <v>0</v>
      </c>
      <c r="G9" s="91">
        <v>0</v>
      </c>
      <c r="H9" s="91">
        <v>0</v>
      </c>
      <c r="I9" s="91">
        <v>0</v>
      </c>
      <c r="J9" s="91">
        <v>0</v>
      </c>
      <c r="K9" s="91">
        <v>8314</v>
      </c>
      <c r="L9" s="91">
        <v>15669</v>
      </c>
      <c r="M9" s="91">
        <v>20426</v>
      </c>
      <c r="N9" s="91">
        <v>21520</v>
      </c>
      <c r="O9" s="39"/>
    </row>
    <row r="10" spans="2:15" x14ac:dyDescent="0.3">
      <c r="B10" t="s">
        <v>198</v>
      </c>
      <c r="C10" s="91">
        <v>17897</v>
      </c>
      <c r="D10" s="91">
        <v>4950</v>
      </c>
      <c r="E10" s="91">
        <v>12121</v>
      </c>
      <c r="F10" s="91">
        <v>16212</v>
      </c>
      <c r="G10" s="91">
        <v>13662</v>
      </c>
      <c r="H10" s="91">
        <v>38029</v>
      </c>
      <c r="I10" s="91">
        <v>16933</v>
      </c>
      <c r="J10" s="91">
        <v>44877</v>
      </c>
      <c r="K10" s="91">
        <v>0</v>
      </c>
      <c r="L10" s="91">
        <v>0</v>
      </c>
      <c r="M10" s="91">
        <v>4425</v>
      </c>
      <c r="N10" s="91">
        <v>4577</v>
      </c>
    </row>
    <row r="11" spans="2:15" x14ac:dyDescent="0.3">
      <c r="B11" s="2" t="s">
        <v>221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39"/>
    </row>
    <row r="12" spans="2:15" x14ac:dyDescent="0.3">
      <c r="B12" t="s">
        <v>199</v>
      </c>
      <c r="C12" s="91">
        <v>949</v>
      </c>
      <c r="D12" s="91">
        <v>959</v>
      </c>
      <c r="E12" s="91">
        <v>3038</v>
      </c>
      <c r="F12" s="91">
        <v>3356</v>
      </c>
      <c r="G12" s="91">
        <v>2917</v>
      </c>
      <c r="H12" s="91">
        <v>3539</v>
      </c>
      <c r="I12" s="91">
        <v>8280</v>
      </c>
      <c r="J12" s="91">
        <v>12181</v>
      </c>
      <c r="K12" s="91">
        <v>99260</v>
      </c>
      <c r="L12" s="91">
        <v>109499</v>
      </c>
      <c r="M12" s="91">
        <v>113009</v>
      </c>
      <c r="N12" s="91">
        <v>132307</v>
      </c>
      <c r="O12" s="39"/>
    </row>
    <row r="13" spans="2:15" x14ac:dyDescent="0.3">
      <c r="B13" t="s">
        <v>200</v>
      </c>
      <c r="C13" s="91">
        <v>49700</v>
      </c>
      <c r="D13" s="91">
        <v>60860</v>
      </c>
      <c r="E13" s="91">
        <v>59407</v>
      </c>
      <c r="F13" s="91">
        <v>60296</v>
      </c>
      <c r="G13" s="91">
        <v>76595</v>
      </c>
      <c r="H13" s="91">
        <v>106861</v>
      </c>
      <c r="I13" s="91">
        <v>108309</v>
      </c>
      <c r="J13" s="91">
        <v>96799</v>
      </c>
      <c r="K13" s="91">
        <v>108897</v>
      </c>
      <c r="L13" s="91">
        <v>159330</v>
      </c>
      <c r="M13" s="91">
        <v>147172</v>
      </c>
      <c r="N13" s="91">
        <v>178377</v>
      </c>
      <c r="O13" s="39"/>
    </row>
    <row r="14" spans="2:15" x14ac:dyDescent="0.3">
      <c r="B14" t="s">
        <v>201</v>
      </c>
      <c r="C14" s="92">
        <v>22434</v>
      </c>
      <c r="D14" s="92">
        <v>29576</v>
      </c>
      <c r="E14" s="92">
        <v>55291</v>
      </c>
      <c r="F14" s="92">
        <v>109075</v>
      </c>
      <c r="G14" s="92">
        <v>146106</v>
      </c>
      <c r="H14" s="92">
        <v>167524</v>
      </c>
      <c r="I14" s="92">
        <v>186215</v>
      </c>
      <c r="J14" s="92">
        <v>249736</v>
      </c>
      <c r="K14" s="92">
        <v>132774</v>
      </c>
      <c r="L14" s="92">
        <v>131150</v>
      </c>
      <c r="M14" s="92">
        <v>178165</v>
      </c>
      <c r="N14" s="92">
        <v>191892</v>
      </c>
      <c r="O14" s="39"/>
    </row>
    <row r="15" spans="2:15" x14ac:dyDescent="0.3">
      <c r="B15" s="89" t="s">
        <v>110</v>
      </c>
      <c r="C15" s="90">
        <v>362357</v>
      </c>
      <c r="D15" s="90">
        <v>428843</v>
      </c>
      <c r="E15" s="90">
        <v>504486</v>
      </c>
      <c r="F15" s="90">
        <v>598997</v>
      </c>
      <c r="G15" s="90">
        <v>706802</v>
      </c>
      <c r="H15" s="90">
        <v>811273</v>
      </c>
      <c r="I15" s="90">
        <v>997630</v>
      </c>
      <c r="J15" s="90">
        <v>1163015</v>
      </c>
      <c r="K15" s="90">
        <v>1320065</v>
      </c>
      <c r="L15" s="90">
        <v>1498622</v>
      </c>
      <c r="M15" s="90">
        <v>1605882</v>
      </c>
      <c r="N15" s="90">
        <v>1755048</v>
      </c>
      <c r="O15" s="39"/>
    </row>
    <row r="16" spans="2:15" x14ac:dyDescent="0.3">
      <c r="B16" s="2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39"/>
    </row>
    <row r="17" spans="2:15" x14ac:dyDescent="0.3">
      <c r="B17" s="2" t="s">
        <v>222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</row>
    <row r="18" spans="2:15" x14ac:dyDescent="0.3">
      <c r="B18" t="s">
        <v>202</v>
      </c>
      <c r="C18" s="91">
        <v>9291</v>
      </c>
      <c r="D18" s="91">
        <v>9378</v>
      </c>
      <c r="E18" s="91">
        <v>9859</v>
      </c>
      <c r="F18" s="91">
        <v>63734</v>
      </c>
      <c r="G18" s="91">
        <v>65973</v>
      </c>
      <c r="H18" s="91">
        <v>66765</v>
      </c>
      <c r="I18" s="91">
        <v>49371</v>
      </c>
      <c r="J18" s="91">
        <v>68743</v>
      </c>
      <c r="K18" s="91">
        <v>68768</v>
      </c>
      <c r="L18" s="91">
        <v>69855</v>
      </c>
      <c r="M18" s="91">
        <v>79697</v>
      </c>
      <c r="N18" s="91">
        <v>87287</v>
      </c>
    </row>
    <row r="19" spans="2:15" x14ac:dyDescent="0.3">
      <c r="B19" t="s">
        <v>203</v>
      </c>
      <c r="C19" s="91">
        <v>11939</v>
      </c>
      <c r="D19" s="91">
        <v>13239</v>
      </c>
      <c r="E19" s="91">
        <v>13967</v>
      </c>
      <c r="F19" s="91">
        <v>15283</v>
      </c>
      <c r="G19" s="91">
        <v>18813</v>
      </c>
      <c r="H19" s="91">
        <v>22194</v>
      </c>
      <c r="I19" s="91">
        <v>27672</v>
      </c>
      <c r="J19" s="91">
        <v>34380</v>
      </c>
      <c r="K19" s="91">
        <v>36781</v>
      </c>
      <c r="L19" s="91">
        <v>47561</v>
      </c>
      <c r="M19" s="91">
        <v>69747</v>
      </c>
      <c r="N19" s="91">
        <v>82062</v>
      </c>
    </row>
    <row r="20" spans="2:15" x14ac:dyDescent="0.3">
      <c r="B20" t="s">
        <v>204</v>
      </c>
      <c r="C20" s="91">
        <v>142991</v>
      </c>
      <c r="D20" s="91">
        <v>147313</v>
      </c>
      <c r="E20" s="91">
        <v>158698</v>
      </c>
      <c r="F20" s="91">
        <v>168888</v>
      </c>
      <c r="G20" s="91">
        <v>179326</v>
      </c>
      <c r="H20" s="91">
        <v>325183</v>
      </c>
      <c r="I20" s="91">
        <v>318853</v>
      </c>
      <c r="J20" s="91">
        <v>449770</v>
      </c>
      <c r="K20" s="91">
        <v>471201</v>
      </c>
      <c r="L20" s="91">
        <v>518865</v>
      </c>
      <c r="M20" s="91">
        <v>557687</v>
      </c>
      <c r="N20" s="91">
        <v>579067</v>
      </c>
    </row>
    <row r="21" spans="2:15" x14ac:dyDescent="0.3">
      <c r="B21" t="s">
        <v>205</v>
      </c>
      <c r="C21" s="91">
        <v>387</v>
      </c>
      <c r="D21" s="91">
        <v>387</v>
      </c>
      <c r="E21" s="91">
        <v>397</v>
      </c>
      <c r="F21" s="91">
        <v>422</v>
      </c>
      <c r="G21" s="91">
        <v>3484</v>
      </c>
      <c r="H21" s="91">
        <v>5038</v>
      </c>
      <c r="I21" s="91">
        <v>417</v>
      </c>
      <c r="J21" s="91">
        <v>502</v>
      </c>
      <c r="K21" s="91">
        <v>515</v>
      </c>
      <c r="L21" s="91">
        <v>508</v>
      </c>
      <c r="M21" s="91">
        <v>518</v>
      </c>
      <c r="N21" s="91">
        <v>522</v>
      </c>
    </row>
    <row r="22" spans="2:15" x14ac:dyDescent="0.3">
      <c r="B22" t="s">
        <v>206</v>
      </c>
      <c r="C22" s="91">
        <v>0</v>
      </c>
      <c r="D22" s="91">
        <v>0</v>
      </c>
      <c r="E22" s="91">
        <v>0</v>
      </c>
      <c r="F22" s="91">
        <v>0</v>
      </c>
      <c r="G22" s="91">
        <v>0</v>
      </c>
      <c r="H22" s="91">
        <v>0</v>
      </c>
      <c r="I22" s="91">
        <v>0</v>
      </c>
      <c r="J22" s="91">
        <v>0</v>
      </c>
      <c r="K22" s="91">
        <v>0</v>
      </c>
      <c r="L22" s="91">
        <v>32638</v>
      </c>
      <c r="M22" s="91">
        <v>45067</v>
      </c>
      <c r="N22" s="91">
        <v>59936</v>
      </c>
    </row>
    <row r="23" spans="2:15" x14ac:dyDescent="0.3">
      <c r="B23" t="s">
        <v>207</v>
      </c>
      <c r="C23" s="91">
        <v>5460</v>
      </c>
      <c r="D23" s="91">
        <v>10035</v>
      </c>
      <c r="E23" s="91">
        <v>4835</v>
      </c>
      <c r="F23" s="91">
        <v>6282</v>
      </c>
      <c r="G23" s="91">
        <v>7848</v>
      </c>
      <c r="H23" s="91">
        <v>10146</v>
      </c>
      <c r="I23" s="91">
        <v>21817</v>
      </c>
      <c r="J23" s="91">
        <v>31211</v>
      </c>
      <c r="K23" s="91">
        <v>38039</v>
      </c>
      <c r="L23" s="91">
        <v>24970</v>
      </c>
      <c r="M23" s="91">
        <v>38161</v>
      </c>
      <c r="N23" s="91">
        <v>43458</v>
      </c>
    </row>
    <row r="24" spans="2:15" x14ac:dyDescent="0.3">
      <c r="B24" t="s">
        <v>208</v>
      </c>
      <c r="C24" s="91">
        <v>497</v>
      </c>
      <c r="D24" s="91">
        <v>582</v>
      </c>
      <c r="E24" s="91">
        <v>710</v>
      </c>
      <c r="F24" s="91">
        <v>777</v>
      </c>
      <c r="G24" s="91">
        <v>1155</v>
      </c>
      <c r="H24" s="91">
        <v>1199</v>
      </c>
      <c r="I24" s="91">
        <v>1240</v>
      </c>
      <c r="J24" s="91">
        <v>1411</v>
      </c>
      <c r="K24" s="91">
        <v>2336</v>
      </c>
      <c r="L24" s="91">
        <v>2530</v>
      </c>
      <c r="M24" s="91">
        <v>3667</v>
      </c>
      <c r="N24" s="91">
        <v>3745</v>
      </c>
    </row>
    <row r="25" spans="2:15" x14ac:dyDescent="0.3">
      <c r="B25" t="s">
        <v>209</v>
      </c>
      <c r="C25" s="91">
        <v>57495</v>
      </c>
      <c r="D25" s="91">
        <v>70668</v>
      </c>
      <c r="E25" s="91">
        <v>88103</v>
      </c>
      <c r="F25" s="91">
        <v>68660</v>
      </c>
      <c r="G25" s="91">
        <v>75351</v>
      </c>
      <c r="H25" s="91">
        <v>76599</v>
      </c>
      <c r="I25" s="91">
        <v>86765</v>
      </c>
      <c r="J25" s="91">
        <v>81462</v>
      </c>
      <c r="K25" s="91">
        <v>77353</v>
      </c>
      <c r="L25" s="91">
        <v>65970</v>
      </c>
      <c r="M25" s="91">
        <v>85032</v>
      </c>
      <c r="N25" s="91">
        <v>103453</v>
      </c>
      <c r="O25" s="39"/>
    </row>
    <row r="26" spans="2:15" x14ac:dyDescent="0.3">
      <c r="B26" t="s">
        <v>210</v>
      </c>
      <c r="C26" s="91">
        <v>12911</v>
      </c>
      <c r="D26" s="91">
        <v>9417</v>
      </c>
      <c r="E26" s="91">
        <v>12297</v>
      </c>
      <c r="F26" s="91">
        <v>11453</v>
      </c>
      <c r="G26" s="91">
        <v>9343</v>
      </c>
      <c r="H26" s="91">
        <v>74160</v>
      </c>
      <c r="I26" s="91">
        <v>90387</v>
      </c>
      <c r="J26" s="91">
        <v>76299</v>
      </c>
      <c r="K26" s="91">
        <v>80819</v>
      </c>
      <c r="L26" s="91">
        <v>120717</v>
      </c>
      <c r="M26" s="91">
        <v>138426</v>
      </c>
      <c r="N26" s="91">
        <v>155052</v>
      </c>
    </row>
    <row r="27" spans="2:15" x14ac:dyDescent="0.3">
      <c r="B27" s="2" t="s">
        <v>211</v>
      </c>
      <c r="C27" s="91">
        <v>240971</v>
      </c>
      <c r="D27" s="91">
        <v>261019</v>
      </c>
      <c r="E27" s="91">
        <v>288866</v>
      </c>
      <c r="F27" s="91">
        <v>335499</v>
      </c>
      <c r="G27" s="91">
        <v>361293</v>
      </c>
      <c r="H27" s="91">
        <v>581284</v>
      </c>
      <c r="I27" s="91">
        <v>596522</v>
      </c>
      <c r="J27" s="91">
        <v>743778</v>
      </c>
      <c r="K27" s="91">
        <v>775812</v>
      </c>
      <c r="L27" s="91">
        <v>883614</v>
      </c>
      <c r="M27" s="91">
        <v>1018002</v>
      </c>
      <c r="N27" s="91">
        <v>1114582</v>
      </c>
    </row>
    <row r="28" spans="2:15" x14ac:dyDescent="0.3">
      <c r="B28" s="2" t="s">
        <v>212</v>
      </c>
      <c r="C28" s="92">
        <v>107484</v>
      </c>
      <c r="D28" s="92">
        <v>119602</v>
      </c>
      <c r="E28" s="92">
        <v>132408</v>
      </c>
      <c r="F28" s="92">
        <v>150589</v>
      </c>
      <c r="G28" s="92">
        <v>162767</v>
      </c>
      <c r="H28" s="92">
        <v>177399</v>
      </c>
      <c r="I28" s="92">
        <v>198148</v>
      </c>
      <c r="J28" s="92">
        <v>211120</v>
      </c>
      <c r="K28" s="92">
        <v>234554</v>
      </c>
      <c r="L28" s="92">
        <v>255816</v>
      </c>
      <c r="M28" s="92">
        <v>293197</v>
      </c>
      <c r="N28" s="92">
        <v>334597</v>
      </c>
    </row>
    <row r="29" spans="2:15" x14ac:dyDescent="0.3">
      <c r="B29" s="93" t="s">
        <v>27</v>
      </c>
      <c r="C29" s="94">
        <f>C27-C28</f>
        <v>133487</v>
      </c>
      <c r="D29" s="94">
        <f t="shared" ref="D29:N29" si="0">D27-D28</f>
        <v>141417</v>
      </c>
      <c r="E29" s="94">
        <f t="shared" si="0"/>
        <v>156458</v>
      </c>
      <c r="F29" s="94">
        <f t="shared" si="0"/>
        <v>184910</v>
      </c>
      <c r="G29" s="94">
        <f t="shared" si="0"/>
        <v>198526</v>
      </c>
      <c r="H29" s="94">
        <f t="shared" si="0"/>
        <v>403885</v>
      </c>
      <c r="I29" s="94">
        <f t="shared" si="0"/>
        <v>398374</v>
      </c>
      <c r="J29" s="94">
        <f t="shared" si="0"/>
        <v>532658</v>
      </c>
      <c r="K29" s="94">
        <f t="shared" si="0"/>
        <v>541258</v>
      </c>
      <c r="L29" s="94">
        <f t="shared" si="0"/>
        <v>627798</v>
      </c>
      <c r="M29" s="94">
        <f t="shared" si="0"/>
        <v>724805</v>
      </c>
      <c r="N29" s="94">
        <f t="shared" si="0"/>
        <v>779985</v>
      </c>
    </row>
    <row r="30" spans="2:15" x14ac:dyDescent="0.3">
      <c r="B30" s="2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</row>
    <row r="31" spans="2:15" x14ac:dyDescent="0.3">
      <c r="B31" s="2" t="s">
        <v>213</v>
      </c>
      <c r="C31" s="91">
        <v>49952</v>
      </c>
      <c r="D31" s="91">
        <v>91494</v>
      </c>
      <c r="E31" s="91">
        <v>166462</v>
      </c>
      <c r="F31" s="91">
        <v>228697</v>
      </c>
      <c r="G31" s="91">
        <v>324837</v>
      </c>
      <c r="H31" s="91">
        <v>187022</v>
      </c>
      <c r="I31" s="91">
        <v>179463</v>
      </c>
      <c r="J31" s="91">
        <v>109106</v>
      </c>
      <c r="K31" s="91">
        <v>125953</v>
      </c>
      <c r="L31" s="91">
        <v>172506</v>
      </c>
      <c r="M31" s="91">
        <v>293752</v>
      </c>
      <c r="N31" s="91">
        <v>338855</v>
      </c>
      <c r="O31" s="39"/>
    </row>
    <row r="32" spans="2:15" x14ac:dyDescent="0.3">
      <c r="B32" s="2" t="s">
        <v>29</v>
      </c>
      <c r="C32" s="91">
        <v>42848</v>
      </c>
      <c r="D32" s="91">
        <v>60602</v>
      </c>
      <c r="E32" s="91">
        <v>76451</v>
      </c>
      <c r="F32" s="91">
        <v>84015</v>
      </c>
      <c r="G32" s="91">
        <v>82899</v>
      </c>
      <c r="H32" s="91">
        <v>82862</v>
      </c>
      <c r="I32" s="91">
        <v>235635</v>
      </c>
      <c r="J32" s="91">
        <v>276767</v>
      </c>
      <c r="K32" s="91">
        <v>364828</v>
      </c>
      <c r="L32" s="91">
        <v>394264</v>
      </c>
      <c r="M32" s="91">
        <v>235560</v>
      </c>
      <c r="N32" s="91">
        <v>225672</v>
      </c>
      <c r="O32" s="39"/>
    </row>
    <row r="33" spans="2:15" x14ac:dyDescent="0.3">
      <c r="B33" s="2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39"/>
    </row>
    <row r="34" spans="2:15" x14ac:dyDescent="0.3">
      <c r="B34" s="2" t="s">
        <v>223</v>
      </c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39"/>
    </row>
    <row r="35" spans="2:15" x14ac:dyDescent="0.3">
      <c r="B35" t="s">
        <v>214</v>
      </c>
      <c r="C35" s="91">
        <v>54601</v>
      </c>
      <c r="D35" s="91">
        <v>56720</v>
      </c>
      <c r="E35" s="91">
        <v>53248</v>
      </c>
      <c r="F35" s="91">
        <v>46486</v>
      </c>
      <c r="G35" s="91">
        <v>48951</v>
      </c>
      <c r="H35" s="91">
        <v>60837</v>
      </c>
      <c r="I35" s="91">
        <v>67561</v>
      </c>
      <c r="J35" s="91">
        <v>73903</v>
      </c>
      <c r="K35" s="91">
        <v>81672</v>
      </c>
      <c r="L35" s="91">
        <v>107778</v>
      </c>
      <c r="M35" s="91">
        <v>140008</v>
      </c>
      <c r="N35" s="91">
        <v>152770</v>
      </c>
      <c r="O35" s="39"/>
    </row>
    <row r="36" spans="2:15" x14ac:dyDescent="0.3">
      <c r="B36" t="s">
        <v>215</v>
      </c>
      <c r="C36" s="91">
        <v>9750</v>
      </c>
      <c r="D36" s="91">
        <v>9411</v>
      </c>
      <c r="E36" s="91">
        <v>5315</v>
      </c>
      <c r="F36" s="91">
        <v>4465</v>
      </c>
      <c r="G36" s="91">
        <v>8177</v>
      </c>
      <c r="H36" s="91">
        <v>17555</v>
      </c>
      <c r="I36" s="91">
        <v>30089</v>
      </c>
      <c r="J36" s="91">
        <v>19656</v>
      </c>
      <c r="K36" s="91">
        <v>19014</v>
      </c>
      <c r="L36" s="91">
        <v>23640</v>
      </c>
      <c r="M36" s="91">
        <v>28448</v>
      </c>
      <c r="N36" s="91">
        <v>31628</v>
      </c>
      <c r="O36" s="39"/>
    </row>
    <row r="37" spans="2:15" x14ac:dyDescent="0.3">
      <c r="B37" t="s">
        <v>216</v>
      </c>
      <c r="C37" s="91">
        <v>50456</v>
      </c>
      <c r="D37" s="91">
        <v>37984</v>
      </c>
      <c r="E37" s="91">
        <v>12545</v>
      </c>
      <c r="F37" s="91">
        <v>11028</v>
      </c>
      <c r="G37" s="91">
        <v>3023</v>
      </c>
      <c r="H37" s="91">
        <v>4255</v>
      </c>
      <c r="I37" s="91">
        <v>11081</v>
      </c>
      <c r="J37" s="91">
        <v>30920</v>
      </c>
      <c r="K37" s="91">
        <v>17397</v>
      </c>
      <c r="L37" s="91">
        <v>36178</v>
      </c>
      <c r="M37" s="91">
        <v>68664</v>
      </c>
      <c r="N37" s="91">
        <v>97225</v>
      </c>
      <c r="O37" s="39"/>
    </row>
    <row r="38" spans="2:15" x14ac:dyDescent="0.3">
      <c r="B38" t="s">
        <v>217</v>
      </c>
      <c r="C38" s="91">
        <v>84</v>
      </c>
      <c r="D38" s="91">
        <v>0</v>
      </c>
      <c r="E38" s="91">
        <v>0</v>
      </c>
      <c r="F38" s="91">
        <v>841</v>
      </c>
      <c r="G38" s="91">
        <v>996</v>
      </c>
      <c r="H38" s="91">
        <v>2327</v>
      </c>
      <c r="I38" s="91">
        <v>545</v>
      </c>
      <c r="J38" s="91">
        <v>669</v>
      </c>
      <c r="K38" s="91">
        <v>65</v>
      </c>
      <c r="L38" s="91">
        <v>130</v>
      </c>
      <c r="M38" s="91">
        <v>176</v>
      </c>
      <c r="N38" s="91">
        <v>2517</v>
      </c>
      <c r="O38" s="39"/>
    </row>
    <row r="39" spans="2:15" x14ac:dyDescent="0.3">
      <c r="B39" t="s">
        <v>218</v>
      </c>
      <c r="C39" s="91">
        <v>21179</v>
      </c>
      <c r="D39" s="91">
        <v>31215</v>
      </c>
      <c r="E39" s="91">
        <v>34007</v>
      </c>
      <c r="F39" s="91">
        <v>38555</v>
      </c>
      <c r="G39" s="91">
        <v>39393</v>
      </c>
      <c r="H39" s="91">
        <v>52530</v>
      </c>
      <c r="I39" s="91">
        <v>74882</v>
      </c>
      <c r="J39" s="91">
        <v>119336</v>
      </c>
      <c r="K39" s="91">
        <v>169878</v>
      </c>
      <c r="L39" s="91">
        <v>136328</v>
      </c>
      <c r="M39" s="91">
        <v>114469</v>
      </c>
      <c r="N39" s="91">
        <v>126396</v>
      </c>
      <c r="O39" s="39"/>
    </row>
    <row r="40" spans="2:15" x14ac:dyDescent="0.3">
      <c r="B40" s="89" t="s">
        <v>219</v>
      </c>
      <c r="C40" s="90">
        <v>362357</v>
      </c>
      <c r="D40" s="90">
        <v>428843</v>
      </c>
      <c r="E40" s="90">
        <v>504486</v>
      </c>
      <c r="F40" s="90">
        <v>598997</v>
      </c>
      <c r="G40" s="90">
        <v>706802</v>
      </c>
      <c r="H40" s="90">
        <v>811273</v>
      </c>
      <c r="I40" s="90">
        <v>997630</v>
      </c>
      <c r="J40" s="90">
        <v>1163015</v>
      </c>
      <c r="K40" s="90">
        <v>1320065</v>
      </c>
      <c r="L40" s="90">
        <v>1498622</v>
      </c>
      <c r="M40" s="90">
        <v>1605882</v>
      </c>
      <c r="N40" s="90">
        <v>1755048</v>
      </c>
      <c r="O40" s="3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B21C9-F583-424A-A2A0-346308E6C23E}">
  <dimension ref="B2:P58"/>
  <sheetViews>
    <sheetView showGridLines="0" workbookViewId="0">
      <selection activeCell="P57" sqref="P57"/>
    </sheetView>
  </sheetViews>
  <sheetFormatPr defaultRowHeight="14.4" x14ac:dyDescent="0.3"/>
  <cols>
    <col min="1" max="1" width="2.33203125" customWidth="1"/>
    <col min="8" max="8" width="14.109375" customWidth="1"/>
    <col min="9" max="9" width="13.77734375" customWidth="1"/>
    <col min="10" max="10" width="14.88671875" customWidth="1"/>
    <col min="11" max="11" width="12.44140625" customWidth="1"/>
    <col min="12" max="12" width="14.88671875" customWidth="1"/>
    <col min="16" max="16" width="11.5546875" bestFit="1" customWidth="1"/>
  </cols>
  <sheetData>
    <row r="2" spans="2:12" x14ac:dyDescent="0.3">
      <c r="B2" s="83" t="s">
        <v>225</v>
      </c>
      <c r="C2" s="83"/>
      <c r="D2" s="83"/>
      <c r="E2" s="83"/>
      <c r="F2" s="83"/>
      <c r="G2" s="83"/>
      <c r="H2" s="84">
        <f>'RAW FS'!J2</f>
        <v>43891</v>
      </c>
      <c r="I2" s="84">
        <f>'RAW FS'!K2</f>
        <v>44256</v>
      </c>
      <c r="J2" s="84">
        <f>'RAW FS'!L2</f>
        <v>44621</v>
      </c>
      <c r="K2" s="84">
        <f>'RAW FS'!M2</f>
        <v>44986</v>
      </c>
      <c r="L2" s="84">
        <f>'RAW FS'!N2</f>
        <v>45352</v>
      </c>
    </row>
    <row r="4" spans="2:12" x14ac:dyDescent="0.3">
      <c r="B4" s="2" t="s">
        <v>226</v>
      </c>
    </row>
    <row r="5" spans="2:12" x14ac:dyDescent="0.3">
      <c r="B5" s="97" t="str">
        <f>'RAW FS'!B35</f>
        <v>Inventories</v>
      </c>
      <c r="C5" s="97"/>
      <c r="D5" s="97"/>
      <c r="E5" s="97"/>
      <c r="F5" s="97"/>
      <c r="G5" s="97"/>
      <c r="H5" s="104">
        <f>'RAW FS'!J35</f>
        <v>73903</v>
      </c>
      <c r="I5" s="104">
        <f>'RAW FS'!K35</f>
        <v>81672</v>
      </c>
      <c r="J5" s="104">
        <f>'RAW FS'!L35</f>
        <v>107778</v>
      </c>
      <c r="K5" s="104">
        <f>'RAW FS'!M35</f>
        <v>140008</v>
      </c>
      <c r="L5" s="104">
        <f>'RAW FS'!N35</f>
        <v>152770</v>
      </c>
    </row>
    <row r="6" spans="2:12" x14ac:dyDescent="0.3">
      <c r="B6" s="97" t="str">
        <f>'RAW FS'!B36</f>
        <v>Trade receivables</v>
      </c>
      <c r="C6" s="97"/>
      <c r="D6" s="97"/>
      <c r="E6" s="97"/>
      <c r="F6" s="97"/>
      <c r="G6" s="97"/>
      <c r="H6" s="104">
        <f>'RAW FS'!J36</f>
        <v>19656</v>
      </c>
      <c r="I6" s="104">
        <f>'RAW FS'!K36</f>
        <v>19014</v>
      </c>
      <c r="J6" s="104">
        <f>'RAW FS'!L36</f>
        <v>23640</v>
      </c>
      <c r="K6" s="104">
        <f>'RAW FS'!M36</f>
        <v>28448</v>
      </c>
      <c r="L6" s="104">
        <f>'RAW FS'!N36</f>
        <v>31628</v>
      </c>
    </row>
    <row r="7" spans="2:12" x14ac:dyDescent="0.3">
      <c r="B7" s="97" t="str">
        <f>'RAW FS'!B38</f>
        <v>Loans n Advances</v>
      </c>
      <c r="C7" s="97"/>
      <c r="D7" s="97"/>
      <c r="E7" s="97"/>
      <c r="F7" s="97"/>
      <c r="G7" s="97"/>
      <c r="H7" s="104">
        <f>'RAW FS'!J38</f>
        <v>669</v>
      </c>
      <c r="I7" s="104">
        <f>'RAW FS'!K38</f>
        <v>65</v>
      </c>
      <c r="J7" s="104">
        <f>'RAW FS'!L38</f>
        <v>130</v>
      </c>
      <c r="K7" s="104">
        <f>'RAW FS'!M38</f>
        <v>176</v>
      </c>
      <c r="L7" s="104">
        <f>'RAW FS'!N38</f>
        <v>2517</v>
      </c>
    </row>
    <row r="8" spans="2:12" x14ac:dyDescent="0.3">
      <c r="B8" t="str">
        <f>'RAW FS'!B39</f>
        <v>Other asset items</v>
      </c>
      <c r="H8" s="105">
        <f>'RAW FS'!J39</f>
        <v>119336</v>
      </c>
      <c r="I8" s="105">
        <f>'RAW FS'!K39</f>
        <v>169878</v>
      </c>
      <c r="J8" s="105">
        <f>'RAW FS'!L39</f>
        <v>136328</v>
      </c>
      <c r="K8" s="105">
        <f>'RAW FS'!M39</f>
        <v>114469</v>
      </c>
      <c r="L8" s="105">
        <f>'RAW FS'!N39</f>
        <v>126396</v>
      </c>
    </row>
    <row r="9" spans="2:12" x14ac:dyDescent="0.3">
      <c r="B9" s="93" t="s">
        <v>227</v>
      </c>
      <c r="C9" s="96"/>
      <c r="D9" s="96"/>
      <c r="E9" s="96"/>
      <c r="F9" s="96"/>
      <c r="G9" s="96"/>
      <c r="H9" s="106">
        <f>SUM(H5:H8)</f>
        <v>213564</v>
      </c>
      <c r="I9" s="106">
        <f t="shared" ref="I9:L9" si="0">SUM(I5:I8)</f>
        <v>270629</v>
      </c>
      <c r="J9" s="106">
        <f t="shared" si="0"/>
        <v>267876</v>
      </c>
      <c r="K9" s="106">
        <f t="shared" si="0"/>
        <v>283101</v>
      </c>
      <c r="L9" s="106">
        <f t="shared" si="0"/>
        <v>313311</v>
      </c>
    </row>
    <row r="10" spans="2:12" x14ac:dyDescent="0.3">
      <c r="H10" s="105"/>
      <c r="I10" s="105"/>
      <c r="J10" s="105"/>
      <c r="K10" s="105"/>
      <c r="L10" s="105"/>
    </row>
    <row r="11" spans="2:12" x14ac:dyDescent="0.3">
      <c r="B11" s="2" t="s">
        <v>228</v>
      </c>
      <c r="H11" s="105"/>
      <c r="I11" s="105"/>
      <c r="J11" s="105"/>
      <c r="K11" s="105"/>
      <c r="L11" s="105"/>
    </row>
    <row r="12" spans="2:12" x14ac:dyDescent="0.3">
      <c r="B12" s="97" t="str">
        <f>'RAW FS'!B13</f>
        <v>Trade Payables</v>
      </c>
      <c r="C12" s="97"/>
      <c r="D12" s="97"/>
      <c r="E12" s="97"/>
      <c r="F12" s="97"/>
      <c r="G12" s="97"/>
      <c r="H12" s="104">
        <f>'RAW FS'!J13</f>
        <v>96799</v>
      </c>
      <c r="I12" s="104">
        <f>'RAW FS'!K13</f>
        <v>108897</v>
      </c>
      <c r="J12" s="104">
        <f>'RAW FS'!L13</f>
        <v>159330</v>
      </c>
      <c r="K12" s="104">
        <f>'RAW FS'!M13</f>
        <v>147172</v>
      </c>
      <c r="L12" s="104">
        <f>'RAW FS'!N13</f>
        <v>178377</v>
      </c>
    </row>
    <row r="13" spans="2:12" x14ac:dyDescent="0.3">
      <c r="B13" s="97" t="str">
        <f>'RAW FS'!B14</f>
        <v>Other liability items</v>
      </c>
      <c r="H13" s="104">
        <f>'RAW FS'!J14</f>
        <v>249736</v>
      </c>
      <c r="I13" s="104">
        <f>'RAW FS'!K14</f>
        <v>132774</v>
      </c>
      <c r="J13" s="104">
        <f>'RAW FS'!L14</f>
        <v>131150</v>
      </c>
      <c r="K13" s="104">
        <f>'RAW FS'!M14</f>
        <v>178165</v>
      </c>
      <c r="L13" s="104">
        <f>'RAW FS'!N14</f>
        <v>191892</v>
      </c>
    </row>
    <row r="14" spans="2:12" x14ac:dyDescent="0.3">
      <c r="B14" s="93" t="s">
        <v>229</v>
      </c>
      <c r="C14" s="96"/>
      <c r="D14" s="96"/>
      <c r="E14" s="96"/>
      <c r="F14" s="96"/>
      <c r="G14" s="96"/>
      <c r="H14" s="106">
        <f>SUM(H12:H13)</f>
        <v>346535</v>
      </c>
      <c r="I14" s="106">
        <f>SUM(I12:I13)</f>
        <v>241671</v>
      </c>
      <c r="J14" s="106">
        <f>SUM(J12:J13)</f>
        <v>290480</v>
      </c>
      <c r="K14" s="106">
        <f>SUM(K12:K13)</f>
        <v>325337</v>
      </c>
      <c r="L14" s="106">
        <f>SUM(L12:L13)</f>
        <v>370269</v>
      </c>
    </row>
    <row r="15" spans="2:12" x14ac:dyDescent="0.3">
      <c r="H15" s="105"/>
      <c r="I15" s="105"/>
      <c r="J15" s="105"/>
      <c r="K15" s="105"/>
      <c r="L15" s="105"/>
    </row>
    <row r="16" spans="2:12" ht="15" thickBot="1" x14ac:dyDescent="0.35">
      <c r="B16" s="98" t="s">
        <v>230</v>
      </c>
      <c r="C16" s="99"/>
      <c r="D16" s="99"/>
      <c r="E16" s="99"/>
      <c r="F16" s="99"/>
      <c r="G16" s="99"/>
      <c r="H16" s="107">
        <f>H9-H14</f>
        <v>-132971</v>
      </c>
      <c r="I16" s="107">
        <f t="shared" ref="I16:L16" si="1">I9-I14</f>
        <v>28958</v>
      </c>
      <c r="J16" s="107">
        <f t="shared" si="1"/>
        <v>-22604</v>
      </c>
      <c r="K16" s="107">
        <f t="shared" si="1"/>
        <v>-42236</v>
      </c>
      <c r="L16" s="107">
        <f t="shared" si="1"/>
        <v>-56958</v>
      </c>
    </row>
    <row r="17" spans="2:12" ht="15" thickTop="1" x14ac:dyDescent="0.3">
      <c r="H17" s="105"/>
      <c r="I17" s="105"/>
      <c r="J17" s="105"/>
      <c r="K17" s="105"/>
      <c r="L17" s="105"/>
    </row>
    <row r="18" spans="2:12" x14ac:dyDescent="0.3">
      <c r="B18" s="2" t="s">
        <v>231</v>
      </c>
      <c r="H18" s="105"/>
      <c r="I18" s="105"/>
      <c r="J18" s="105"/>
      <c r="K18" s="105"/>
      <c r="L18" s="105"/>
    </row>
    <row r="19" spans="2:12" x14ac:dyDescent="0.3">
      <c r="B19" s="97" t="str">
        <f>'RAW FS'!B18</f>
        <v>Land</v>
      </c>
      <c r="C19" s="97"/>
      <c r="D19" s="97"/>
      <c r="E19" s="97"/>
      <c r="F19" s="97"/>
      <c r="G19" s="97"/>
      <c r="H19" s="104">
        <f>'RAW FS'!J18</f>
        <v>68743</v>
      </c>
      <c r="I19" s="104">
        <f>'RAW FS'!K18</f>
        <v>68768</v>
      </c>
      <c r="J19" s="104">
        <f>'RAW FS'!L18</f>
        <v>69855</v>
      </c>
      <c r="K19" s="104">
        <f>'RAW FS'!M18</f>
        <v>79697</v>
      </c>
      <c r="L19" s="104">
        <f>'RAW FS'!N18</f>
        <v>87287</v>
      </c>
    </row>
    <row r="20" spans="2:12" x14ac:dyDescent="0.3">
      <c r="B20" s="97" t="str">
        <f>'RAW FS'!B19</f>
        <v>Building</v>
      </c>
      <c r="C20" s="97"/>
      <c r="D20" s="97"/>
      <c r="E20" s="97"/>
      <c r="F20" s="97"/>
      <c r="G20" s="97"/>
      <c r="H20" s="104">
        <f>'RAW FS'!J19</f>
        <v>34380</v>
      </c>
      <c r="I20" s="104">
        <f>'RAW FS'!K19</f>
        <v>36781</v>
      </c>
      <c r="J20" s="104">
        <f>'RAW FS'!L19</f>
        <v>47561</v>
      </c>
      <c r="K20" s="104">
        <f>'RAW FS'!M19</f>
        <v>69747</v>
      </c>
      <c r="L20" s="104">
        <f>'RAW FS'!N19</f>
        <v>82062</v>
      </c>
    </row>
    <row r="21" spans="2:12" x14ac:dyDescent="0.3">
      <c r="B21" s="97" t="str">
        <f>'RAW FS'!B20</f>
        <v>Plant Machinery</v>
      </c>
      <c r="C21" s="97"/>
      <c r="D21" s="97"/>
      <c r="E21" s="97"/>
      <c r="F21" s="97"/>
      <c r="G21" s="97"/>
      <c r="H21" s="104">
        <f>'RAW FS'!J20</f>
        <v>449770</v>
      </c>
      <c r="I21" s="104">
        <f>'RAW FS'!K20</f>
        <v>471201</v>
      </c>
      <c r="J21" s="104">
        <f>'RAW FS'!L20</f>
        <v>518865</v>
      </c>
      <c r="K21" s="104">
        <f>'RAW FS'!M20</f>
        <v>557687</v>
      </c>
      <c r="L21" s="104">
        <f>'RAW FS'!N20</f>
        <v>579067</v>
      </c>
    </row>
    <row r="22" spans="2:12" x14ac:dyDescent="0.3">
      <c r="B22" s="97" t="str">
        <f>'RAW FS'!B21</f>
        <v>Ships Vessels</v>
      </c>
      <c r="H22" s="104">
        <f>'RAW FS'!J21</f>
        <v>502</v>
      </c>
      <c r="I22" s="104">
        <f>'RAW FS'!K21</f>
        <v>515</v>
      </c>
      <c r="J22" s="104">
        <f>'RAW FS'!L21</f>
        <v>508</v>
      </c>
      <c r="K22" s="104">
        <f>'RAW FS'!M21</f>
        <v>518</v>
      </c>
      <c r="L22" s="104">
        <f>'RAW FS'!N21</f>
        <v>522</v>
      </c>
    </row>
    <row r="23" spans="2:12" x14ac:dyDescent="0.3">
      <c r="B23" s="97" t="str">
        <f>'RAW FS'!B22</f>
        <v>Equipments</v>
      </c>
      <c r="C23" s="97"/>
      <c r="D23" s="97"/>
      <c r="E23" s="97"/>
      <c r="F23" s="97"/>
      <c r="G23" s="97"/>
      <c r="H23" s="104">
        <f>'RAW FS'!J22</f>
        <v>0</v>
      </c>
      <c r="I23" s="104">
        <f>'RAW FS'!K22</f>
        <v>0</v>
      </c>
      <c r="J23" s="104">
        <f>'RAW FS'!L22</f>
        <v>32638</v>
      </c>
      <c r="K23" s="104">
        <f>'RAW FS'!M22</f>
        <v>45067</v>
      </c>
      <c r="L23" s="104">
        <f>'RAW FS'!N22</f>
        <v>59936</v>
      </c>
    </row>
    <row r="24" spans="2:12" x14ac:dyDescent="0.3">
      <c r="B24" s="97" t="str">
        <f>'RAW FS'!B23</f>
        <v>Furniture n fittings</v>
      </c>
      <c r="C24" s="97"/>
      <c r="D24" s="97"/>
      <c r="E24" s="97"/>
      <c r="F24" s="97"/>
      <c r="G24" s="97"/>
      <c r="H24" s="104">
        <f>'RAW FS'!J23</f>
        <v>31211</v>
      </c>
      <c r="I24" s="104">
        <f>'RAW FS'!K23</f>
        <v>38039</v>
      </c>
      <c r="J24" s="104">
        <f>'RAW FS'!L23</f>
        <v>24970</v>
      </c>
      <c r="K24" s="104">
        <f>'RAW FS'!M23</f>
        <v>38161</v>
      </c>
      <c r="L24" s="104">
        <f>'RAW FS'!N23</f>
        <v>43458</v>
      </c>
    </row>
    <row r="25" spans="2:12" x14ac:dyDescent="0.3">
      <c r="B25" s="97" t="str">
        <f>'RAW FS'!B24</f>
        <v>Vehicles</v>
      </c>
      <c r="C25" s="97"/>
      <c r="D25" s="97"/>
      <c r="E25" s="97"/>
      <c r="F25" s="97"/>
      <c r="G25" s="97"/>
      <c r="H25" s="104">
        <f>'RAW FS'!J24</f>
        <v>1411</v>
      </c>
      <c r="I25" s="104">
        <f>'RAW FS'!K24</f>
        <v>2336</v>
      </c>
      <c r="J25" s="104">
        <f>'RAW FS'!L24</f>
        <v>2530</v>
      </c>
      <c r="K25" s="104">
        <f>'RAW FS'!M24</f>
        <v>3667</v>
      </c>
      <c r="L25" s="104">
        <f>'RAW FS'!N24</f>
        <v>3745</v>
      </c>
    </row>
    <row r="26" spans="2:12" x14ac:dyDescent="0.3">
      <c r="B26" s="97" t="str">
        <f>'RAW FS'!B25</f>
        <v>Intangible Assets</v>
      </c>
      <c r="H26" s="104">
        <f>'RAW FS'!J25</f>
        <v>81462</v>
      </c>
      <c r="I26" s="104">
        <f>'RAW FS'!K25</f>
        <v>77353</v>
      </c>
      <c r="J26" s="104">
        <f>'RAW FS'!L25</f>
        <v>65970</v>
      </c>
      <c r="K26" s="104">
        <f>'RAW FS'!M25</f>
        <v>85032</v>
      </c>
      <c r="L26" s="104">
        <f>'RAW FS'!N25</f>
        <v>103453</v>
      </c>
    </row>
    <row r="27" spans="2:12" x14ac:dyDescent="0.3">
      <c r="B27" s="97" t="str">
        <f>'RAW FS'!B26</f>
        <v>Other fixed assets</v>
      </c>
      <c r="C27" s="97"/>
      <c r="D27" s="97"/>
      <c r="E27" s="97"/>
      <c r="F27" s="97"/>
      <c r="G27" s="97"/>
      <c r="H27" s="104">
        <f>'RAW FS'!J26</f>
        <v>76299</v>
      </c>
      <c r="I27" s="104">
        <f>'RAW FS'!K26</f>
        <v>80819</v>
      </c>
      <c r="J27" s="104">
        <f>'RAW FS'!L26</f>
        <v>120717</v>
      </c>
      <c r="K27" s="104">
        <f>'RAW FS'!M26</f>
        <v>138426</v>
      </c>
      <c r="L27" s="104">
        <f>'RAW FS'!N26</f>
        <v>155052</v>
      </c>
    </row>
    <row r="28" spans="2:12" x14ac:dyDescent="0.3">
      <c r="B28" s="93" t="s">
        <v>211</v>
      </c>
      <c r="C28" s="96"/>
      <c r="D28" s="96"/>
      <c r="E28" s="96"/>
      <c r="F28" s="96"/>
      <c r="G28" s="96"/>
      <c r="H28" s="106">
        <f>SUM(H19:H27)</f>
        <v>743778</v>
      </c>
      <c r="I28" s="106">
        <f t="shared" ref="I28:L28" si="2">SUM(I19:I27)</f>
        <v>775812</v>
      </c>
      <c r="J28" s="106">
        <f t="shared" si="2"/>
        <v>883614</v>
      </c>
      <c r="K28" s="106">
        <f t="shared" si="2"/>
        <v>1018002</v>
      </c>
      <c r="L28" s="106">
        <f t="shared" si="2"/>
        <v>1114582</v>
      </c>
    </row>
    <row r="29" spans="2:12" x14ac:dyDescent="0.3">
      <c r="B29" t="s">
        <v>212</v>
      </c>
      <c r="H29" s="105">
        <f>'RAW FS'!J28</f>
        <v>211120</v>
      </c>
      <c r="I29" s="105">
        <f>'RAW FS'!K28</f>
        <v>234554</v>
      </c>
      <c r="J29" s="105">
        <f>'RAW FS'!L28</f>
        <v>255816</v>
      </c>
      <c r="K29" s="105">
        <f>'RAW FS'!M28</f>
        <v>293197</v>
      </c>
      <c r="L29" s="105">
        <f>'RAW FS'!N28</f>
        <v>334597</v>
      </c>
    </row>
    <row r="30" spans="2:12" ht="15" thickBot="1" x14ac:dyDescent="0.35">
      <c r="B30" s="98" t="s">
        <v>232</v>
      </c>
      <c r="C30" s="99"/>
      <c r="D30" s="99"/>
      <c r="E30" s="99"/>
      <c r="F30" s="99"/>
      <c r="G30" s="99"/>
      <c r="H30" s="107">
        <f>H28-H29</f>
        <v>532658</v>
      </c>
      <c r="I30" s="107">
        <f t="shared" ref="I30:L30" si="3">I28-I29</f>
        <v>541258</v>
      </c>
      <c r="J30" s="107">
        <f t="shared" si="3"/>
        <v>627798</v>
      </c>
      <c r="K30" s="107">
        <f t="shared" si="3"/>
        <v>724805</v>
      </c>
      <c r="L30" s="107">
        <f t="shared" si="3"/>
        <v>779985</v>
      </c>
    </row>
    <row r="31" spans="2:12" ht="15" thickTop="1" x14ac:dyDescent="0.3">
      <c r="H31" s="105"/>
      <c r="I31" s="105"/>
      <c r="J31" s="105"/>
      <c r="K31" s="105"/>
      <c r="L31" s="105"/>
    </row>
    <row r="32" spans="2:12" x14ac:dyDescent="0.3">
      <c r="B32" s="2" t="s">
        <v>233</v>
      </c>
      <c r="C32" s="2"/>
      <c r="D32" s="2"/>
      <c r="E32" s="2"/>
      <c r="F32" s="2"/>
      <c r="G32" s="2"/>
      <c r="H32" s="108">
        <f>SUM(H30,H16)</f>
        <v>399687</v>
      </c>
      <c r="I32" s="108">
        <f t="shared" ref="I32:L32" si="4">SUM(I30,I16)</f>
        <v>570216</v>
      </c>
      <c r="J32" s="108">
        <f t="shared" si="4"/>
        <v>605194</v>
      </c>
      <c r="K32" s="108">
        <f t="shared" si="4"/>
        <v>682569</v>
      </c>
      <c r="L32" s="108">
        <f t="shared" si="4"/>
        <v>723027</v>
      </c>
    </row>
    <row r="33" spans="2:12" x14ac:dyDescent="0.3">
      <c r="B33" s="2" t="s">
        <v>234</v>
      </c>
      <c r="C33" s="2"/>
      <c r="D33" s="2"/>
      <c r="E33" s="2"/>
      <c r="F33" s="2"/>
      <c r="G33" s="2"/>
      <c r="H33" s="108">
        <f>'historical fs'!H18-'historical fs'!H24</f>
        <v>67063</v>
      </c>
      <c r="I33" s="108">
        <f>'historical fs'!I18-'historical fs'!I24</f>
        <v>54218</v>
      </c>
      <c r="J33" s="108">
        <f>'historical fs'!J18-'historical fs'!J24</f>
        <v>78799</v>
      </c>
      <c r="K33" s="108">
        <f>'historical fs'!K18-'historical fs'!K24</f>
        <v>102015</v>
      </c>
      <c r="L33" s="108">
        <f>'historical fs'!L18-'historical fs'!L24</f>
        <v>111666</v>
      </c>
    </row>
    <row r="35" spans="2:12" ht="15" thickBot="1" x14ac:dyDescent="0.35">
      <c r="B35" s="98" t="s">
        <v>235</v>
      </c>
      <c r="C35" s="99"/>
      <c r="D35" s="99"/>
      <c r="E35" s="99"/>
      <c r="F35" s="99"/>
      <c r="G35" s="99"/>
      <c r="H35" s="102">
        <f>H33/H32</f>
        <v>0.16778879473187769</v>
      </c>
      <c r="I35" s="102">
        <f t="shared" ref="I35:L35" si="5">I33/I32</f>
        <v>9.5083266691920257E-2</v>
      </c>
      <c r="J35" s="102">
        <f t="shared" si="5"/>
        <v>0.1302045294566701</v>
      </c>
      <c r="K35" s="102">
        <f t="shared" si="5"/>
        <v>0.14945741749185795</v>
      </c>
      <c r="L35" s="102">
        <f t="shared" si="5"/>
        <v>0.15444236522287549</v>
      </c>
    </row>
    <row r="36" spans="2:12" ht="15" thickTop="1" x14ac:dyDescent="0.3"/>
    <row r="38" spans="2:12" x14ac:dyDescent="0.3">
      <c r="B38" s="83" t="s">
        <v>236</v>
      </c>
      <c r="C38" s="83"/>
      <c r="D38" s="83"/>
      <c r="E38" s="83"/>
      <c r="F38" s="83"/>
      <c r="G38" s="83"/>
      <c r="H38" s="84">
        <f>'RAW FS'!J2</f>
        <v>43891</v>
      </c>
      <c r="I38" s="84">
        <f>'RAW FS'!K2</f>
        <v>44256</v>
      </c>
      <c r="J38" s="84">
        <f>'RAW FS'!L2</f>
        <v>44621</v>
      </c>
      <c r="K38" s="84">
        <f>'RAW FS'!M2</f>
        <v>44986</v>
      </c>
      <c r="L38" s="84">
        <f>'RAW FS'!N2</f>
        <v>45352</v>
      </c>
    </row>
    <row r="40" spans="2:12" x14ac:dyDescent="0.3">
      <c r="B40" t="s">
        <v>237</v>
      </c>
      <c r="H40" s="39">
        <f>-SUM(CFS!J12,CFS!J13)</f>
        <v>75553</v>
      </c>
      <c r="I40" s="39">
        <f>-SUM(CFS!K12,CFS!K13)</f>
        <v>103518</v>
      </c>
      <c r="J40" s="39">
        <f>-SUM(CFS!L12,CFS!L13)</f>
        <v>97008</v>
      </c>
      <c r="K40" s="39">
        <f>-SUM(CFS!M12,CFS!M13)</f>
        <v>131802</v>
      </c>
      <c r="L40" s="39">
        <f>-SUM(CFS!N12,CFS!N13)</f>
        <v>137576</v>
      </c>
    </row>
    <row r="41" spans="2:12" x14ac:dyDescent="0.3">
      <c r="B41" t="s">
        <v>238</v>
      </c>
      <c r="I41">
        <f>I16-H16</f>
        <v>161929</v>
      </c>
      <c r="J41">
        <f t="shared" ref="J41:L41" si="6">J16-I16</f>
        <v>-51562</v>
      </c>
      <c r="K41">
        <f t="shared" si="6"/>
        <v>-19632</v>
      </c>
      <c r="L41">
        <f t="shared" si="6"/>
        <v>-14722</v>
      </c>
    </row>
    <row r="43" spans="2:12" x14ac:dyDescent="0.3">
      <c r="B43" t="s">
        <v>234</v>
      </c>
      <c r="H43">
        <f>H33</f>
        <v>67063</v>
      </c>
      <c r="I43">
        <f t="shared" ref="I43:L43" si="7">I33</f>
        <v>54218</v>
      </c>
      <c r="J43">
        <f t="shared" si="7"/>
        <v>78799</v>
      </c>
      <c r="K43">
        <f t="shared" si="7"/>
        <v>102015</v>
      </c>
      <c r="L43">
        <f t="shared" si="7"/>
        <v>111666</v>
      </c>
    </row>
    <row r="44" spans="2:12" x14ac:dyDescent="0.3">
      <c r="B44" t="s">
        <v>241</v>
      </c>
      <c r="H44" s="5">
        <f>'historical fs'!H31</f>
        <v>0.30477839950262015</v>
      </c>
      <c r="I44" s="5">
        <f>'historical fs'!I31</f>
        <v>5.2136001695479731E-2</v>
      </c>
      <c r="J44" s="5">
        <f>'historical fs'!J31</f>
        <v>0.24869578758856964</v>
      </c>
      <c r="K44" s="5">
        <f>'historical fs'!K31</f>
        <v>0.24714958032118772</v>
      </c>
      <c r="L44" s="5">
        <f>'historical fs'!L31</f>
        <v>0.2903171161403984</v>
      </c>
    </row>
    <row r="45" spans="2:12" x14ac:dyDescent="0.3">
      <c r="B45" t="s">
        <v>240</v>
      </c>
      <c r="H45" s="101">
        <f>H43*(1-H44)</f>
        <v>46623.646194155786</v>
      </c>
      <c r="I45" s="101">
        <f t="shared" ref="I45:L45" si="8">I43*(1-I44)</f>
        <v>51391.290260074478</v>
      </c>
      <c r="J45" s="101">
        <f t="shared" si="8"/>
        <v>59202.020633808308</v>
      </c>
      <c r="K45" s="101">
        <f t="shared" si="8"/>
        <v>76802.035563534038</v>
      </c>
      <c r="L45" s="101">
        <f t="shared" si="8"/>
        <v>79247.448909066283</v>
      </c>
    </row>
    <row r="47" spans="2:12" x14ac:dyDescent="0.3">
      <c r="B47" t="s">
        <v>239</v>
      </c>
      <c r="I47" s="39">
        <f>I40+I41</f>
        <v>265447</v>
      </c>
      <c r="J47" s="39">
        <f t="shared" ref="J47:L47" si="9">J40+J41</f>
        <v>45446</v>
      </c>
      <c r="K47" s="39">
        <f t="shared" si="9"/>
        <v>112170</v>
      </c>
      <c r="L47" s="39">
        <f t="shared" si="9"/>
        <v>122854</v>
      </c>
    </row>
    <row r="48" spans="2:12" x14ac:dyDescent="0.3">
      <c r="I48" s="39"/>
      <c r="J48" s="39"/>
      <c r="K48" s="39"/>
      <c r="L48" s="39"/>
    </row>
    <row r="49" spans="2:16" ht="15" thickBot="1" x14ac:dyDescent="0.35">
      <c r="B49" s="98" t="s">
        <v>242</v>
      </c>
      <c r="C49" s="99"/>
      <c r="D49" s="99"/>
      <c r="E49" s="99"/>
      <c r="F49" s="99"/>
      <c r="G49" s="99"/>
      <c r="H49" s="102"/>
      <c r="I49" s="100">
        <f>I47/I45</f>
        <v>5.1652137678711654</v>
      </c>
      <c r="J49" s="100">
        <f t="shared" ref="J49:L49" si="10">J47/J45</f>
        <v>0.76764271748601931</v>
      </c>
      <c r="K49" s="100">
        <f t="shared" si="10"/>
        <v>1.4605081646202986</v>
      </c>
      <c r="L49" s="100">
        <f t="shared" si="10"/>
        <v>1.5502581053551734</v>
      </c>
      <c r="N49" s="2" t="s">
        <v>251</v>
      </c>
      <c r="P49" s="16">
        <f>MEDIAN(I49:L49)</f>
        <v>1.505383134987736</v>
      </c>
    </row>
    <row r="50" spans="2:16" ht="15" thickTop="1" x14ac:dyDescent="0.3"/>
    <row r="52" spans="2:16" x14ac:dyDescent="0.3">
      <c r="B52" s="83" t="s">
        <v>245</v>
      </c>
      <c r="C52" s="83"/>
      <c r="D52" s="83"/>
      <c r="E52" s="83"/>
      <c r="F52" s="83"/>
      <c r="G52" s="83"/>
      <c r="H52" s="84">
        <f>H38</f>
        <v>43891</v>
      </c>
      <c r="I52" s="84">
        <f t="shared" ref="I52:L52" si="11">I38</f>
        <v>44256</v>
      </c>
      <c r="J52" s="84">
        <f t="shared" si="11"/>
        <v>44621</v>
      </c>
      <c r="K52" s="84">
        <f t="shared" si="11"/>
        <v>44986</v>
      </c>
      <c r="L52" s="84">
        <f t="shared" si="11"/>
        <v>45352</v>
      </c>
    </row>
    <row r="54" spans="2:16" x14ac:dyDescent="0.3">
      <c r="B54" t="s">
        <v>243</v>
      </c>
      <c r="I54">
        <f>I49</f>
        <v>5.1652137678711654</v>
      </c>
      <c r="J54">
        <f t="shared" ref="J54:L54" si="12">J49</f>
        <v>0.76764271748601931</v>
      </c>
      <c r="K54">
        <f t="shared" si="12"/>
        <v>1.4605081646202986</v>
      </c>
      <c r="L54">
        <f t="shared" si="12"/>
        <v>1.5502581053551734</v>
      </c>
    </row>
    <row r="55" spans="2:16" x14ac:dyDescent="0.3">
      <c r="B55" t="s">
        <v>235</v>
      </c>
      <c r="H55" s="103"/>
      <c r="I55" s="103">
        <f t="shared" ref="I55:L55" si="13">I35</f>
        <v>9.5083266691920257E-2</v>
      </c>
      <c r="J55" s="103">
        <f t="shared" si="13"/>
        <v>0.1302045294566701</v>
      </c>
      <c r="K55" s="103">
        <f t="shared" si="13"/>
        <v>0.14945741749185795</v>
      </c>
      <c r="L55" s="103">
        <f t="shared" si="13"/>
        <v>0.15444236522287549</v>
      </c>
    </row>
    <row r="57" spans="2:16" ht="15" thickBot="1" x14ac:dyDescent="0.35">
      <c r="B57" s="98" t="s">
        <v>244</v>
      </c>
      <c r="C57" s="99"/>
      <c r="D57" s="99"/>
      <c r="E57" s="99"/>
      <c r="F57" s="99"/>
      <c r="G57" s="99"/>
      <c r="H57" s="102"/>
      <c r="I57" s="100">
        <f>I54*I55</f>
        <v>0.49112539821127232</v>
      </c>
      <c r="J57" s="100">
        <f t="shared" ref="J57:L57" si="14">J54*J55</f>
        <v>9.9950558821106691E-2</v>
      </c>
      <c r="K57" s="100">
        <f t="shared" si="14"/>
        <v>0.21828377850992317</v>
      </c>
      <c r="L57" s="100">
        <f t="shared" si="14"/>
        <v>0.23942552849698667</v>
      </c>
      <c r="N57" s="2" t="s">
        <v>251</v>
      </c>
      <c r="P57" s="16">
        <f>MEDIAN(I57:L57)</f>
        <v>0.22885465350345491</v>
      </c>
    </row>
    <row r="58" spans="2:16" ht="15" thickTop="1" x14ac:dyDescent="0.3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18C6-10FC-4083-893E-E07FAD370163}">
  <dimension ref="B2:K45"/>
  <sheetViews>
    <sheetView showGridLines="0" workbookViewId="0">
      <selection activeCell="F46" sqref="F46"/>
    </sheetView>
  </sheetViews>
  <sheetFormatPr defaultRowHeight="14.4" x14ac:dyDescent="0.3"/>
  <cols>
    <col min="1" max="1" width="2.33203125" customWidth="1"/>
    <col min="5" max="5" width="14.77734375" bestFit="1" customWidth="1"/>
    <col min="7" max="7" width="17.109375" customWidth="1"/>
    <col min="8" max="8" width="18.44140625" customWidth="1"/>
    <col min="9" max="9" width="18.88671875" customWidth="1"/>
    <col min="10" max="10" width="17" customWidth="1"/>
    <col min="11" max="11" width="16.5546875" customWidth="1"/>
  </cols>
  <sheetData>
    <row r="2" spans="2:11" x14ac:dyDescent="0.3">
      <c r="B2" s="83" t="s">
        <v>246</v>
      </c>
      <c r="C2" s="83"/>
      <c r="D2" s="83"/>
      <c r="E2" s="83"/>
      <c r="F2" s="112">
        <f>'Intrisic Growth'!L52</f>
        <v>45352</v>
      </c>
      <c r="G2" s="113">
        <f>F2+366</f>
        <v>45718</v>
      </c>
      <c r="H2" s="113">
        <f t="shared" ref="H2:K2" si="0">G2+366</f>
        <v>46084</v>
      </c>
      <c r="I2" s="113">
        <f t="shared" si="0"/>
        <v>46450</v>
      </c>
      <c r="J2" s="113">
        <f t="shared" si="0"/>
        <v>46816</v>
      </c>
      <c r="K2" s="113">
        <f t="shared" si="0"/>
        <v>47182</v>
      </c>
    </row>
    <row r="4" spans="2:11" x14ac:dyDescent="0.3">
      <c r="B4" t="s">
        <v>234</v>
      </c>
      <c r="F4">
        <f>'Intrisic Growth'!L43</f>
        <v>111666</v>
      </c>
      <c r="G4">
        <f>F4*(1+$E$20)</f>
        <v>137221.28373811682</v>
      </c>
      <c r="H4">
        <f t="shared" ref="H4:K4" si="1">G4*(1+$E$20)</f>
        <v>168625.01308130284</v>
      </c>
      <c r="I4">
        <f t="shared" si="1"/>
        <v>207215.63202203996</v>
      </c>
      <c r="J4">
        <f t="shared" si="1"/>
        <v>254637.89368894335</v>
      </c>
      <c r="K4">
        <f t="shared" si="1"/>
        <v>312912.96061797609</v>
      </c>
    </row>
    <row r="6" spans="2:11" x14ac:dyDescent="0.3">
      <c r="B6" t="s">
        <v>247</v>
      </c>
      <c r="F6" s="5">
        <f>'Intrisic Growth'!L44</f>
        <v>0.2903171161403984</v>
      </c>
      <c r="G6" s="5">
        <f>'Intrisic Growth'!L44</f>
        <v>0.2903171161403984</v>
      </c>
      <c r="H6" s="5">
        <f>'Intrisic Growth'!L44</f>
        <v>0.2903171161403984</v>
      </c>
      <c r="I6" s="5">
        <f>'Intrisic Growth'!L44</f>
        <v>0.2903171161403984</v>
      </c>
      <c r="J6" s="5">
        <f>'Intrisic Growth'!L44</f>
        <v>0.2903171161403984</v>
      </c>
      <c r="K6" s="5">
        <f>'Intrisic Growth'!L44</f>
        <v>0.2903171161403984</v>
      </c>
    </row>
    <row r="8" spans="2:11" x14ac:dyDescent="0.3">
      <c r="B8" t="s">
        <v>248</v>
      </c>
      <c r="F8" s="101">
        <f>F4*(1-F6)</f>
        <v>79247.448909066283</v>
      </c>
      <c r="G8" s="101">
        <f t="shared" ref="G8:K8" si="2">G4*(1-G6)</f>
        <v>97383.596370183412</v>
      </c>
      <c r="H8" s="101">
        <f t="shared" si="2"/>
        <v>119670.28557440205</v>
      </c>
      <c r="I8" s="101">
        <f t="shared" si="2"/>
        <v>147057.38731419135</v>
      </c>
      <c r="J8" s="101">
        <f t="shared" si="2"/>
        <v>180712.15473310399</v>
      </c>
      <c r="K8" s="101">
        <f t="shared" si="2"/>
        <v>222068.97228841123</v>
      </c>
    </row>
    <row r="10" spans="2:11" x14ac:dyDescent="0.3">
      <c r="B10" t="s">
        <v>249</v>
      </c>
      <c r="F10" s="5">
        <f>'Intrisic Growth'!P49</f>
        <v>1.505383134987736</v>
      </c>
      <c r="G10" s="5">
        <f>'Intrisic Growth'!P49</f>
        <v>1.505383134987736</v>
      </c>
      <c r="H10" s="5">
        <f>'Intrisic Growth'!P49</f>
        <v>1.505383134987736</v>
      </c>
      <c r="I10" s="5">
        <f>'Intrisic Growth'!P49</f>
        <v>1.505383134987736</v>
      </c>
      <c r="J10" s="5">
        <f>'Intrisic Growth'!P49</f>
        <v>1.505383134987736</v>
      </c>
      <c r="K10" s="5">
        <f>'Intrisic Growth'!P49</f>
        <v>1.505383134987736</v>
      </c>
    </row>
    <row r="12" spans="2:11" x14ac:dyDescent="0.3">
      <c r="B12" t="s">
        <v>250</v>
      </c>
      <c r="F12">
        <f>F8*(1-F10)</f>
        <v>-40050.324169444357</v>
      </c>
      <c r="G12">
        <f t="shared" ref="G12:K12" si="3">G8*(1-G10)</f>
        <v>-49216.027229943604</v>
      </c>
      <c r="H12">
        <f t="shared" si="3"/>
        <v>-60479.344088468948</v>
      </c>
      <c r="I12">
        <f t="shared" si="3"/>
        <v>-74320.323423951748</v>
      </c>
      <c r="J12">
        <f t="shared" si="3"/>
        <v>-91328.875289404939</v>
      </c>
      <c r="K12">
        <f t="shared" si="3"/>
        <v>-112229.91339862194</v>
      </c>
    </row>
    <row r="14" spans="2:11" x14ac:dyDescent="0.3">
      <c r="B14" t="s">
        <v>252</v>
      </c>
      <c r="G14">
        <v>0.5</v>
      </c>
      <c r="H14">
        <v>1.5</v>
      </c>
      <c r="I14">
        <v>2.5</v>
      </c>
      <c r="J14">
        <v>3.5</v>
      </c>
      <c r="K14">
        <v>4.5</v>
      </c>
    </row>
    <row r="16" spans="2:11" x14ac:dyDescent="0.3">
      <c r="B16" t="s">
        <v>253</v>
      </c>
      <c r="G16" s="152">
        <f>1/(1+$E$22)^G14</f>
        <v>0.935734173199951</v>
      </c>
      <c r="H16" s="152">
        <f t="shared" ref="H16:K16" si="4">1/(1+$E$22)^H14</f>
        <v>0.81932738501676472</v>
      </c>
      <c r="I16" s="152">
        <f t="shared" si="4"/>
        <v>0.71740178254125253</v>
      </c>
      <c r="J16" s="152">
        <f t="shared" si="4"/>
        <v>0.6281558837226412</v>
      </c>
      <c r="K16" s="152">
        <f t="shared" si="4"/>
        <v>0.55001231368237213</v>
      </c>
    </row>
    <row r="18" spans="2:11" ht="15" thickBot="1" x14ac:dyDescent="0.35">
      <c r="B18" s="98" t="s">
        <v>254</v>
      </c>
      <c r="C18" s="99"/>
      <c r="D18" s="99"/>
      <c r="E18" s="99"/>
      <c r="F18" s="99"/>
      <c r="G18" s="153">
        <f>G12*G16</f>
        <v>-46053.118548197555</v>
      </c>
      <c r="H18" s="153">
        <f t="shared" ref="H18:K18" si="5">H12*H16</f>
        <v>-49552.382839534388</v>
      </c>
      <c r="I18" s="153">
        <f t="shared" si="5"/>
        <v>-53317.532503385388</v>
      </c>
      <c r="J18" s="153">
        <f t="shared" si="5"/>
        <v>-57368.770366811048</v>
      </c>
      <c r="K18" s="153">
        <f t="shared" si="5"/>
        <v>-61727.834332748309</v>
      </c>
    </row>
    <row r="19" spans="2:11" ht="15" thickTop="1" x14ac:dyDescent="0.3"/>
    <row r="20" spans="2:11" x14ac:dyDescent="0.3">
      <c r="B20" s="78" t="s">
        <v>255</v>
      </c>
      <c r="C20" s="78"/>
      <c r="D20" s="78"/>
      <c r="E20" s="80">
        <f>'Intrisic Growth'!P57</f>
        <v>0.22885465350345491</v>
      </c>
    </row>
    <row r="21" spans="2:11" x14ac:dyDescent="0.3">
      <c r="B21" s="78" t="s">
        <v>256</v>
      </c>
      <c r="C21" s="78"/>
      <c r="D21" s="78"/>
      <c r="E21" s="80">
        <v>5.8999999999999997E-2</v>
      </c>
    </row>
    <row r="22" spans="2:11" x14ac:dyDescent="0.3">
      <c r="B22" s="78" t="s">
        <v>257</v>
      </c>
      <c r="C22" s="78"/>
      <c r="D22" s="78"/>
      <c r="E22" s="80">
        <f>WACC!K48</f>
        <v>0.14207603738376726</v>
      </c>
    </row>
    <row r="24" spans="2:11" x14ac:dyDescent="0.3">
      <c r="B24" s="83" t="s">
        <v>359</v>
      </c>
      <c r="C24" s="83"/>
      <c r="D24" s="83"/>
      <c r="E24" s="83"/>
    </row>
    <row r="25" spans="2:11" x14ac:dyDescent="0.3">
      <c r="B25" s="34" t="s">
        <v>360</v>
      </c>
      <c r="E25">
        <f>K12*(1+E20)</f>
        <v>-137914.25134218633</v>
      </c>
    </row>
    <row r="26" spans="2:11" x14ac:dyDescent="0.3">
      <c r="B26" s="34" t="s">
        <v>257</v>
      </c>
      <c r="E26" s="5">
        <f>E22</f>
        <v>0.14207603738376726</v>
      </c>
    </row>
    <row r="27" spans="2:11" x14ac:dyDescent="0.3">
      <c r="B27" s="34" t="s">
        <v>361</v>
      </c>
      <c r="E27" s="5">
        <f>E21</f>
        <v>5.8999999999999997E-2</v>
      </c>
    </row>
    <row r="29" spans="2:11" ht="15" thickBot="1" x14ac:dyDescent="0.35">
      <c r="B29" s="98" t="s">
        <v>362</v>
      </c>
      <c r="C29" s="99"/>
      <c r="D29" s="99"/>
      <c r="E29" s="98">
        <f>E25/(E26-E27)</f>
        <v>-1660096.6498329185</v>
      </c>
    </row>
    <row r="30" spans="2:11" ht="15" thickTop="1" x14ac:dyDescent="0.3"/>
    <row r="32" spans="2:11" x14ac:dyDescent="0.3">
      <c r="B32" s="83" t="s">
        <v>367</v>
      </c>
      <c r="C32" s="83"/>
      <c r="D32" s="83"/>
      <c r="E32" s="83"/>
    </row>
    <row r="33" spans="2:5" x14ac:dyDescent="0.3">
      <c r="B33" s="34" t="s">
        <v>254</v>
      </c>
      <c r="E33" s="101">
        <f>SUM(G18:K18)</f>
        <v>-268019.63859067665</v>
      </c>
    </row>
    <row r="34" spans="2:5" x14ac:dyDescent="0.3">
      <c r="B34" s="34" t="s">
        <v>363</v>
      </c>
      <c r="E34" s="101">
        <f>E29*K16</f>
        <v>-913073.59931095829</v>
      </c>
    </row>
    <row r="35" spans="2:5" x14ac:dyDescent="0.3">
      <c r="B35" s="34" t="s">
        <v>364</v>
      </c>
      <c r="E35" s="101">
        <f>SUM(E33,E34)</f>
        <v>-1181093.237901635</v>
      </c>
    </row>
    <row r="36" spans="2:5" x14ac:dyDescent="0.3">
      <c r="B36" s="34"/>
      <c r="E36" s="101"/>
    </row>
    <row r="37" spans="2:5" x14ac:dyDescent="0.3">
      <c r="B37" s="34" t="s">
        <v>365</v>
      </c>
      <c r="E37" s="101">
        <f>'Data Sheet'!K69</f>
        <v>97225</v>
      </c>
    </row>
    <row r="38" spans="2:5" x14ac:dyDescent="0.3">
      <c r="B38" s="34" t="s">
        <v>366</v>
      </c>
      <c r="E38" s="101">
        <f>'RAW FS'!N7+'RAW FS'!N8</f>
        <v>432894</v>
      </c>
    </row>
    <row r="39" spans="2:5" x14ac:dyDescent="0.3">
      <c r="B39" s="34"/>
      <c r="E39" s="101"/>
    </row>
    <row r="40" spans="2:5" x14ac:dyDescent="0.3">
      <c r="B40" s="34" t="s">
        <v>368</v>
      </c>
      <c r="E40" s="101">
        <f>E35+E37-E38</f>
        <v>-1516762.237901635</v>
      </c>
    </row>
    <row r="41" spans="2:5" x14ac:dyDescent="0.3">
      <c r="B41" s="34" t="s">
        <v>369</v>
      </c>
      <c r="E41" s="154">
        <f>'Data Sheet'!B6</f>
        <v>1353.2369192852741</v>
      </c>
    </row>
    <row r="42" spans="2:5" ht="15" thickBot="1" x14ac:dyDescent="0.35">
      <c r="B42" s="98" t="s">
        <v>370</v>
      </c>
      <c r="C42" s="99"/>
      <c r="D42" s="99"/>
      <c r="E42" s="155">
        <f>E40/E41</f>
        <v>-1120.8401250999925</v>
      </c>
    </row>
    <row r="43" spans="2:5" ht="15" thickTop="1" x14ac:dyDescent="0.3"/>
    <row r="44" spans="2:5" x14ac:dyDescent="0.3">
      <c r="B44" s="34" t="s">
        <v>371</v>
      </c>
      <c r="E44">
        <f>'Data Sheet'!B8</f>
        <v>1217.25</v>
      </c>
    </row>
    <row r="45" spans="2:5" x14ac:dyDescent="0.3">
      <c r="B45" s="34" t="s">
        <v>372</v>
      </c>
      <c r="E45" s="156">
        <f>E44/E42-1</f>
        <v>-2.0860157240457524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Normal="100" zoomScalePageLayoutView="12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B8" sqref="B8"/>
    </sheetView>
  </sheetViews>
  <sheetFormatPr defaultColWidth="8.88671875" defaultRowHeight="14.4" x14ac:dyDescent="0.3"/>
  <cols>
    <col min="1" max="1" width="27.6640625" style="4" bestFit="1" customWidth="1"/>
    <col min="2" max="11" width="13.44140625" style="4" bestFit="1" customWidth="1"/>
    <col min="12" max="16384" width="8.88671875" style="4"/>
  </cols>
  <sheetData>
    <row r="1" spans="1:11" s="1" customFormat="1" x14ac:dyDescent="0.3">
      <c r="A1" s="1" t="s">
        <v>0</v>
      </c>
      <c r="B1" s="1" t="s">
        <v>54</v>
      </c>
      <c r="E1" s="109" t="str">
        <f>IF(B2&lt;&gt;B3, "A NEW VERSION OF THE WORKSHEET IS AVAILABLE", "")</f>
        <v/>
      </c>
      <c r="F1" s="109"/>
      <c r="G1" s="109"/>
      <c r="H1" s="109"/>
      <c r="I1" s="109"/>
      <c r="J1" s="109"/>
      <c r="K1" s="109"/>
    </row>
    <row r="2" spans="1:11" x14ac:dyDescent="0.3">
      <c r="A2" s="1" t="s">
        <v>52</v>
      </c>
      <c r="B2" s="4">
        <v>2.1</v>
      </c>
      <c r="E2" s="110" t="s">
        <v>36</v>
      </c>
      <c r="F2" s="110"/>
      <c r="G2" s="110"/>
      <c r="H2" s="110"/>
      <c r="I2" s="110"/>
      <c r="J2" s="110"/>
      <c r="K2" s="110"/>
    </row>
    <row r="3" spans="1:11" x14ac:dyDescent="0.3">
      <c r="A3" s="1" t="s">
        <v>53</v>
      </c>
      <c r="B3" s="4">
        <v>2.1</v>
      </c>
    </row>
    <row r="4" spans="1:11" x14ac:dyDescent="0.3">
      <c r="A4" s="1"/>
    </row>
    <row r="5" spans="1:11" x14ac:dyDescent="0.3">
      <c r="A5" s="1" t="s">
        <v>55</v>
      </c>
    </row>
    <row r="6" spans="1:11" x14ac:dyDescent="0.3">
      <c r="A6" s="4" t="s">
        <v>42</v>
      </c>
      <c r="B6" s="4">
        <f>IF(B9&gt;0, B9/B8, 0)</f>
        <v>1353.2369192852741</v>
      </c>
    </row>
    <row r="7" spans="1:11" x14ac:dyDescent="0.3">
      <c r="A7" s="4" t="s">
        <v>31</v>
      </c>
      <c r="B7">
        <v>10</v>
      </c>
    </row>
    <row r="8" spans="1:11" x14ac:dyDescent="0.3">
      <c r="A8" s="4" t="s">
        <v>43</v>
      </c>
      <c r="B8">
        <v>1217.25</v>
      </c>
    </row>
    <row r="9" spans="1:11" x14ac:dyDescent="0.3">
      <c r="A9" s="4" t="s">
        <v>70</v>
      </c>
      <c r="B9">
        <v>1647227.64</v>
      </c>
    </row>
    <row r="15" spans="1:11" x14ac:dyDescent="0.3">
      <c r="A15" s="1" t="s">
        <v>37</v>
      </c>
    </row>
    <row r="16" spans="1:11" s="18" customFormat="1" x14ac:dyDescent="0.3">
      <c r="A16" s="17" t="s">
        <v>38</v>
      </c>
      <c r="B16" s="12">
        <v>42094</v>
      </c>
      <c r="C16" s="12">
        <v>42460</v>
      </c>
      <c r="D16" s="12">
        <v>42825</v>
      </c>
      <c r="E16" s="12">
        <v>43190</v>
      </c>
      <c r="F16" s="12">
        <v>43555</v>
      </c>
      <c r="G16" s="12">
        <v>43921</v>
      </c>
      <c r="H16" s="12">
        <v>44286</v>
      </c>
      <c r="I16" s="12">
        <v>44651</v>
      </c>
      <c r="J16" s="12">
        <v>45016</v>
      </c>
      <c r="K16" s="12">
        <v>45382</v>
      </c>
    </row>
    <row r="17" spans="1:11" s="6" customFormat="1" x14ac:dyDescent="0.3">
      <c r="A17" s="6" t="s">
        <v>6</v>
      </c>
      <c r="B17">
        <v>374372</v>
      </c>
      <c r="C17">
        <v>272583</v>
      </c>
      <c r="D17">
        <v>303954</v>
      </c>
      <c r="E17">
        <v>390823</v>
      </c>
      <c r="F17">
        <v>568337</v>
      </c>
      <c r="G17">
        <v>596679</v>
      </c>
      <c r="H17">
        <v>466307</v>
      </c>
      <c r="I17">
        <v>694673</v>
      </c>
      <c r="J17">
        <v>876396</v>
      </c>
      <c r="K17">
        <v>899041</v>
      </c>
    </row>
    <row r="18" spans="1:11" s="6" customFormat="1" x14ac:dyDescent="0.3">
      <c r="A18" s="4" t="s">
        <v>71</v>
      </c>
      <c r="B18">
        <v>292563</v>
      </c>
      <c r="C18">
        <v>186254</v>
      </c>
      <c r="D18">
        <v>217518</v>
      </c>
      <c r="E18">
        <v>276076</v>
      </c>
      <c r="F18">
        <v>399167</v>
      </c>
      <c r="G18">
        <v>410288</v>
      </c>
      <c r="H18">
        <v>301765</v>
      </c>
      <c r="I18">
        <v>494449</v>
      </c>
      <c r="J18">
        <v>618746</v>
      </c>
      <c r="K18">
        <v>590226</v>
      </c>
    </row>
    <row r="19" spans="1:11" s="6" customFormat="1" x14ac:dyDescent="0.3">
      <c r="A19" s="4" t="s">
        <v>72</v>
      </c>
      <c r="B19">
        <v>-1483</v>
      </c>
      <c r="C19">
        <v>-2560</v>
      </c>
      <c r="D19">
        <v>5218</v>
      </c>
      <c r="E19">
        <v>8610</v>
      </c>
      <c r="F19">
        <v>4680</v>
      </c>
      <c r="G19">
        <v>5048</v>
      </c>
      <c r="H19">
        <v>9064</v>
      </c>
      <c r="I19">
        <v>21457</v>
      </c>
      <c r="J19">
        <v>30263</v>
      </c>
      <c r="K19">
        <v>4883</v>
      </c>
    </row>
    <row r="20" spans="1:11" s="6" customFormat="1" x14ac:dyDescent="0.3">
      <c r="A20" s="4" t="s">
        <v>73</v>
      </c>
      <c r="B20">
        <v>13261</v>
      </c>
      <c r="C20">
        <v>10741</v>
      </c>
      <c r="D20">
        <v>11251</v>
      </c>
      <c r="E20">
        <v>14569</v>
      </c>
      <c r="F20">
        <v>17029</v>
      </c>
      <c r="G20">
        <v>15098</v>
      </c>
      <c r="H20">
        <v>13214</v>
      </c>
      <c r="I20">
        <v>17902</v>
      </c>
      <c r="J20">
        <v>25062</v>
      </c>
      <c r="K20">
        <v>22137</v>
      </c>
    </row>
    <row r="21" spans="1:11" s="6" customFormat="1" x14ac:dyDescent="0.3">
      <c r="A21" s="4" t="s">
        <v>74</v>
      </c>
      <c r="B21">
        <v>8914</v>
      </c>
      <c r="C21">
        <v>8272</v>
      </c>
      <c r="D21">
        <v>9909</v>
      </c>
      <c r="E21">
        <v>9691</v>
      </c>
      <c r="F21">
        <v>12198</v>
      </c>
      <c r="G21">
        <v>11434</v>
      </c>
      <c r="H21">
        <v>7687</v>
      </c>
      <c r="I21">
        <v>12174</v>
      </c>
      <c r="J21">
        <v>19658</v>
      </c>
      <c r="K21">
        <v>18276</v>
      </c>
    </row>
    <row r="22" spans="1:11" s="6" customFormat="1" x14ac:dyDescent="0.3">
      <c r="A22" s="4" t="s">
        <v>75</v>
      </c>
      <c r="B22">
        <v>6262</v>
      </c>
      <c r="C22">
        <v>7407</v>
      </c>
      <c r="D22">
        <v>8388</v>
      </c>
      <c r="E22">
        <v>9523</v>
      </c>
      <c r="F22">
        <v>12488</v>
      </c>
      <c r="G22">
        <v>14075</v>
      </c>
      <c r="H22">
        <v>14817</v>
      </c>
      <c r="I22">
        <v>18758</v>
      </c>
      <c r="J22">
        <v>24872</v>
      </c>
      <c r="K22">
        <v>25679</v>
      </c>
    </row>
    <row r="23" spans="1:11" s="6" customFormat="1" x14ac:dyDescent="0.3">
      <c r="A23" s="4" t="s">
        <v>76</v>
      </c>
      <c r="B23">
        <v>12548</v>
      </c>
      <c r="C23">
        <v>18808</v>
      </c>
      <c r="D23">
        <v>18520</v>
      </c>
      <c r="E23">
        <v>29111</v>
      </c>
      <c r="F23">
        <v>50221</v>
      </c>
      <c r="G23">
        <v>62622</v>
      </c>
      <c r="H23">
        <v>56154</v>
      </c>
      <c r="I23">
        <v>63513</v>
      </c>
      <c r="J23">
        <v>67369</v>
      </c>
      <c r="K23">
        <v>77292</v>
      </c>
    </row>
    <row r="24" spans="1:11" s="6" customFormat="1" x14ac:dyDescent="0.3">
      <c r="A24" s="4" t="s">
        <v>77</v>
      </c>
      <c r="B24">
        <v>1892</v>
      </c>
      <c r="C24">
        <v>-3240</v>
      </c>
      <c r="D24">
        <v>-2721</v>
      </c>
      <c r="E24">
        <v>-3852</v>
      </c>
      <c r="F24">
        <v>-2336</v>
      </c>
      <c r="G24">
        <v>-1056</v>
      </c>
      <c r="H24">
        <v>944</v>
      </c>
      <c r="I24">
        <v>753</v>
      </c>
      <c r="J24">
        <v>8634</v>
      </c>
      <c r="K24">
        <v>7816</v>
      </c>
    </row>
    <row r="25" spans="1:11" s="6" customFormat="1" x14ac:dyDescent="0.3">
      <c r="A25" s="6" t="s">
        <v>9</v>
      </c>
      <c r="B25">
        <v>8528</v>
      </c>
      <c r="C25">
        <v>12212</v>
      </c>
      <c r="D25">
        <v>9222</v>
      </c>
      <c r="E25">
        <v>9869</v>
      </c>
      <c r="F25">
        <v>8406</v>
      </c>
      <c r="G25">
        <v>8570</v>
      </c>
      <c r="H25">
        <v>22432</v>
      </c>
      <c r="I25">
        <v>19600</v>
      </c>
      <c r="J25">
        <v>12020</v>
      </c>
      <c r="K25">
        <v>16179</v>
      </c>
    </row>
    <row r="26" spans="1:11" s="6" customFormat="1" x14ac:dyDescent="0.3">
      <c r="A26" s="6" t="s">
        <v>10</v>
      </c>
      <c r="B26">
        <v>11547</v>
      </c>
      <c r="C26">
        <v>11565</v>
      </c>
      <c r="D26">
        <v>11646</v>
      </c>
      <c r="E26">
        <v>16706</v>
      </c>
      <c r="F26">
        <v>20934</v>
      </c>
      <c r="G26">
        <v>22203</v>
      </c>
      <c r="H26">
        <v>26572</v>
      </c>
      <c r="I26">
        <v>29782</v>
      </c>
      <c r="J26">
        <v>40303</v>
      </c>
      <c r="K26">
        <v>50832</v>
      </c>
    </row>
    <row r="27" spans="1:11" s="6" customFormat="1" x14ac:dyDescent="0.3">
      <c r="A27" s="6" t="s">
        <v>11</v>
      </c>
      <c r="B27">
        <v>3316</v>
      </c>
      <c r="C27">
        <v>3691</v>
      </c>
      <c r="D27">
        <v>3849</v>
      </c>
      <c r="E27">
        <v>8052</v>
      </c>
      <c r="F27">
        <v>16495</v>
      </c>
      <c r="G27">
        <v>22027</v>
      </c>
      <c r="H27">
        <v>21189</v>
      </c>
      <c r="I27">
        <v>14584</v>
      </c>
      <c r="J27">
        <v>19571</v>
      </c>
      <c r="K27">
        <v>23118</v>
      </c>
    </row>
    <row r="28" spans="1:11" s="6" customFormat="1" x14ac:dyDescent="0.3">
      <c r="A28" s="6" t="s">
        <v>12</v>
      </c>
      <c r="B28">
        <v>31114</v>
      </c>
      <c r="C28">
        <v>38737</v>
      </c>
      <c r="D28">
        <v>40034</v>
      </c>
      <c r="E28">
        <v>49426</v>
      </c>
      <c r="F28">
        <v>55227</v>
      </c>
      <c r="G28">
        <v>53606</v>
      </c>
      <c r="H28">
        <v>55461</v>
      </c>
      <c r="I28">
        <v>83815</v>
      </c>
      <c r="J28">
        <v>94464</v>
      </c>
      <c r="K28">
        <v>104727</v>
      </c>
    </row>
    <row r="29" spans="1:11" s="6" customFormat="1" x14ac:dyDescent="0.3">
      <c r="A29" s="6" t="s">
        <v>13</v>
      </c>
      <c r="B29">
        <v>7474</v>
      </c>
      <c r="C29">
        <v>8876</v>
      </c>
      <c r="D29">
        <v>10201</v>
      </c>
      <c r="E29">
        <v>13346</v>
      </c>
      <c r="F29">
        <v>15390</v>
      </c>
      <c r="G29">
        <v>13726</v>
      </c>
      <c r="H29">
        <v>1722</v>
      </c>
      <c r="I29">
        <v>15970</v>
      </c>
      <c r="J29">
        <v>20376</v>
      </c>
      <c r="K29">
        <v>25707</v>
      </c>
    </row>
    <row r="30" spans="1:11" s="6" customFormat="1" x14ac:dyDescent="0.3">
      <c r="A30" s="6" t="s">
        <v>14</v>
      </c>
      <c r="B30">
        <v>23566</v>
      </c>
      <c r="C30">
        <v>29745</v>
      </c>
      <c r="D30">
        <v>29901</v>
      </c>
      <c r="E30">
        <v>36075</v>
      </c>
      <c r="F30">
        <v>39588</v>
      </c>
      <c r="G30">
        <v>39354</v>
      </c>
      <c r="H30">
        <v>49128</v>
      </c>
      <c r="I30">
        <v>60705</v>
      </c>
      <c r="J30">
        <v>66702</v>
      </c>
      <c r="K30">
        <v>69621</v>
      </c>
    </row>
    <row r="31" spans="1:11" s="6" customFormat="1" x14ac:dyDescent="0.3">
      <c r="A31" s="6" t="s">
        <v>61</v>
      </c>
      <c r="B31">
        <v>2943</v>
      </c>
      <c r="C31">
        <v>3095.4</v>
      </c>
      <c r="D31">
        <v>3254.9</v>
      </c>
      <c r="E31">
        <v>3553.2</v>
      </c>
      <c r="F31">
        <v>3851.9</v>
      </c>
      <c r="G31">
        <v>4120.3500000000004</v>
      </c>
      <c r="H31">
        <v>4511.5</v>
      </c>
      <c r="I31">
        <v>5412</v>
      </c>
      <c r="J31">
        <v>6089.4</v>
      </c>
      <c r="K31">
        <v>6766</v>
      </c>
    </row>
    <row r="32" spans="1:11" s="6" customFormat="1" x14ac:dyDescent="0.3"/>
    <row r="33" spans="1:11" x14ac:dyDescent="0.3">
      <c r="A33" s="6"/>
    </row>
    <row r="34" spans="1:11" x14ac:dyDescent="0.3">
      <c r="A34" s="6"/>
    </row>
    <row r="35" spans="1:11" x14ac:dyDescent="0.3">
      <c r="A35" s="6"/>
    </row>
    <row r="36" spans="1:11" x14ac:dyDescent="0.3">
      <c r="A36" s="6"/>
    </row>
    <row r="37" spans="1:11" x14ac:dyDescent="0.3">
      <c r="A37" s="6"/>
    </row>
    <row r="38" spans="1:11" x14ac:dyDescent="0.3">
      <c r="A38" s="6"/>
    </row>
    <row r="39" spans="1:11" x14ac:dyDescent="0.3">
      <c r="A39" s="6"/>
    </row>
    <row r="40" spans="1:11" x14ac:dyDescent="0.3">
      <c r="A40" s="1" t="s">
        <v>39</v>
      </c>
    </row>
    <row r="41" spans="1:11" s="18" customFormat="1" x14ac:dyDescent="0.3">
      <c r="A41" s="17" t="s">
        <v>38</v>
      </c>
      <c r="B41" s="12">
        <v>44834</v>
      </c>
      <c r="C41" s="12">
        <v>44926</v>
      </c>
      <c r="D41" s="12">
        <v>45016</v>
      </c>
      <c r="E41" s="12">
        <v>45107</v>
      </c>
      <c r="F41" s="12">
        <v>45199</v>
      </c>
      <c r="G41" s="12">
        <v>45291</v>
      </c>
      <c r="H41" s="12">
        <v>45382</v>
      </c>
      <c r="I41" s="12">
        <v>45473</v>
      </c>
      <c r="J41" s="12">
        <v>45565</v>
      </c>
      <c r="K41" s="12">
        <v>45657</v>
      </c>
    </row>
    <row r="42" spans="1:11" s="6" customFormat="1" x14ac:dyDescent="0.3">
      <c r="A42" s="6" t="s">
        <v>6</v>
      </c>
      <c r="B42">
        <v>229409</v>
      </c>
      <c r="C42">
        <v>216737</v>
      </c>
      <c r="D42">
        <v>212834</v>
      </c>
      <c r="E42">
        <v>207559</v>
      </c>
      <c r="F42">
        <v>231886</v>
      </c>
      <c r="G42">
        <v>225086</v>
      </c>
      <c r="H42">
        <v>236533</v>
      </c>
      <c r="I42">
        <v>231784</v>
      </c>
      <c r="J42">
        <v>231535</v>
      </c>
      <c r="K42">
        <v>239986</v>
      </c>
    </row>
    <row r="43" spans="1:11" s="6" customFormat="1" x14ac:dyDescent="0.3">
      <c r="A43" s="6" t="s">
        <v>7</v>
      </c>
      <c r="B43">
        <v>198438</v>
      </c>
      <c r="C43">
        <v>181728</v>
      </c>
      <c r="D43">
        <v>174478</v>
      </c>
      <c r="E43">
        <v>169466</v>
      </c>
      <c r="F43">
        <v>190918</v>
      </c>
      <c r="G43">
        <v>184430</v>
      </c>
      <c r="H43">
        <v>194017</v>
      </c>
      <c r="I43">
        <v>193019</v>
      </c>
      <c r="J43">
        <v>192477</v>
      </c>
      <c r="K43">
        <v>196197</v>
      </c>
    </row>
    <row r="44" spans="1:11" s="6" customFormat="1" x14ac:dyDescent="0.3">
      <c r="A44" s="6" t="s">
        <v>9</v>
      </c>
      <c r="B44">
        <v>3656</v>
      </c>
      <c r="C44">
        <v>3377</v>
      </c>
      <c r="D44">
        <v>2996</v>
      </c>
      <c r="E44">
        <v>3813</v>
      </c>
      <c r="F44">
        <v>3841</v>
      </c>
      <c r="G44">
        <v>3869</v>
      </c>
      <c r="H44">
        <v>4534</v>
      </c>
      <c r="I44">
        <v>3983</v>
      </c>
      <c r="J44">
        <v>4876</v>
      </c>
      <c r="K44">
        <v>4214</v>
      </c>
    </row>
    <row r="45" spans="1:11" s="6" customFormat="1" x14ac:dyDescent="0.3">
      <c r="A45" s="6" t="s">
        <v>10</v>
      </c>
      <c r="B45">
        <v>9726</v>
      </c>
      <c r="C45">
        <v>10183</v>
      </c>
      <c r="D45">
        <v>11452</v>
      </c>
      <c r="E45">
        <v>11775</v>
      </c>
      <c r="F45">
        <v>12585</v>
      </c>
      <c r="G45">
        <v>12903</v>
      </c>
      <c r="H45">
        <v>13569</v>
      </c>
      <c r="I45">
        <v>13596</v>
      </c>
      <c r="J45">
        <v>12880</v>
      </c>
      <c r="K45">
        <v>13181</v>
      </c>
    </row>
    <row r="46" spans="1:11" s="6" customFormat="1" x14ac:dyDescent="0.3">
      <c r="A46" s="6" t="s">
        <v>11</v>
      </c>
      <c r="B46">
        <v>4554</v>
      </c>
      <c r="C46">
        <v>5201</v>
      </c>
      <c r="D46">
        <v>5819</v>
      </c>
      <c r="E46">
        <v>5837</v>
      </c>
      <c r="F46">
        <v>5731</v>
      </c>
      <c r="G46">
        <v>5789</v>
      </c>
      <c r="H46">
        <v>5761</v>
      </c>
      <c r="I46">
        <v>5918</v>
      </c>
      <c r="J46">
        <v>6017</v>
      </c>
      <c r="K46">
        <v>6179</v>
      </c>
    </row>
    <row r="47" spans="1:11" s="6" customFormat="1" x14ac:dyDescent="0.3">
      <c r="A47" s="6" t="s">
        <v>12</v>
      </c>
      <c r="B47">
        <v>20347</v>
      </c>
      <c r="C47">
        <v>23002</v>
      </c>
      <c r="D47">
        <v>24081</v>
      </c>
      <c r="E47">
        <v>24294</v>
      </c>
      <c r="F47">
        <v>26493</v>
      </c>
      <c r="G47">
        <v>25833</v>
      </c>
      <c r="H47">
        <v>27720</v>
      </c>
      <c r="I47">
        <v>23234</v>
      </c>
      <c r="J47">
        <v>25037</v>
      </c>
      <c r="K47">
        <v>28643</v>
      </c>
    </row>
    <row r="48" spans="1:11" s="6" customFormat="1" x14ac:dyDescent="0.3">
      <c r="A48" s="6" t="s">
        <v>13</v>
      </c>
      <c r="B48">
        <v>4835</v>
      </c>
      <c r="C48">
        <v>5196</v>
      </c>
      <c r="D48">
        <v>2754</v>
      </c>
      <c r="E48">
        <v>6112</v>
      </c>
      <c r="F48">
        <v>6673</v>
      </c>
      <c r="G48">
        <v>6345</v>
      </c>
      <c r="H48">
        <v>6577</v>
      </c>
      <c r="I48">
        <v>5786</v>
      </c>
      <c r="J48">
        <v>5936</v>
      </c>
      <c r="K48">
        <v>6839</v>
      </c>
    </row>
    <row r="49" spans="1:11" s="6" customFormat="1" x14ac:dyDescent="0.3">
      <c r="A49" s="6" t="s">
        <v>14</v>
      </c>
      <c r="B49">
        <v>13656</v>
      </c>
      <c r="C49">
        <v>15792</v>
      </c>
      <c r="D49">
        <v>19299</v>
      </c>
      <c r="E49">
        <v>16011</v>
      </c>
      <c r="F49">
        <v>17394</v>
      </c>
      <c r="G49">
        <v>17265</v>
      </c>
      <c r="H49">
        <v>18951</v>
      </c>
      <c r="I49">
        <v>15138</v>
      </c>
      <c r="J49">
        <v>16563</v>
      </c>
      <c r="K49">
        <v>18540</v>
      </c>
    </row>
    <row r="50" spans="1:11" x14ac:dyDescent="0.3">
      <c r="A50" s="6" t="s">
        <v>8</v>
      </c>
      <c r="B50">
        <v>30971</v>
      </c>
      <c r="C50">
        <v>35009</v>
      </c>
      <c r="D50">
        <v>38356</v>
      </c>
      <c r="E50">
        <v>38093</v>
      </c>
      <c r="F50">
        <v>40968</v>
      </c>
      <c r="G50">
        <v>40656</v>
      </c>
      <c r="H50">
        <v>42516</v>
      </c>
      <c r="I50">
        <v>38765</v>
      </c>
      <c r="J50">
        <v>39058</v>
      </c>
      <c r="K50">
        <v>43789</v>
      </c>
    </row>
    <row r="51" spans="1:11" x14ac:dyDescent="0.3">
      <c r="A51" s="6"/>
    </row>
    <row r="52" spans="1:11" x14ac:dyDescent="0.3">
      <c r="A52" s="6"/>
    </row>
    <row r="53" spans="1:11" x14ac:dyDescent="0.3">
      <c r="A53" s="6"/>
    </row>
    <row r="54" spans="1:11" x14ac:dyDescent="0.3">
      <c r="A54" s="6"/>
    </row>
    <row r="55" spans="1:11" x14ac:dyDescent="0.3">
      <c r="A55" s="1" t="s">
        <v>40</v>
      </c>
    </row>
    <row r="56" spans="1:11" s="18" customFormat="1" x14ac:dyDescent="0.3">
      <c r="A56" s="17" t="s">
        <v>38</v>
      </c>
      <c r="B56" s="12">
        <v>42094</v>
      </c>
      <c r="C56" s="12">
        <v>42460</v>
      </c>
      <c r="D56" s="12">
        <v>42825</v>
      </c>
      <c r="E56" s="12">
        <v>43190</v>
      </c>
      <c r="F56" s="12">
        <v>43555</v>
      </c>
      <c r="G56" s="12">
        <v>43921</v>
      </c>
      <c r="H56" s="12">
        <v>44286</v>
      </c>
      <c r="I56" s="12">
        <v>44651</v>
      </c>
      <c r="J56" s="12">
        <v>45016</v>
      </c>
      <c r="K56" s="12">
        <v>45382</v>
      </c>
    </row>
    <row r="57" spans="1:11" x14ac:dyDescent="0.3">
      <c r="A57" s="6" t="s">
        <v>24</v>
      </c>
      <c r="B57">
        <v>2943</v>
      </c>
      <c r="C57">
        <v>2948</v>
      </c>
      <c r="D57">
        <v>2959</v>
      </c>
      <c r="E57">
        <v>5922</v>
      </c>
      <c r="F57">
        <v>5926</v>
      </c>
      <c r="G57">
        <v>6339</v>
      </c>
      <c r="H57">
        <v>6445</v>
      </c>
      <c r="I57">
        <v>6765</v>
      </c>
      <c r="J57">
        <v>6766</v>
      </c>
      <c r="K57">
        <v>6766</v>
      </c>
    </row>
    <row r="58" spans="1:11" x14ac:dyDescent="0.3">
      <c r="A58" s="6" t="s">
        <v>25</v>
      </c>
      <c r="B58">
        <v>215556</v>
      </c>
      <c r="C58">
        <v>228608</v>
      </c>
      <c r="D58">
        <v>260750</v>
      </c>
      <c r="E58">
        <v>287584</v>
      </c>
      <c r="F58">
        <v>381186</v>
      </c>
      <c r="G58">
        <v>442827</v>
      </c>
      <c r="H58">
        <v>693727</v>
      </c>
      <c r="I58">
        <v>772720</v>
      </c>
      <c r="J58">
        <v>709106</v>
      </c>
      <c r="K58">
        <v>786715</v>
      </c>
    </row>
    <row r="59" spans="1:11" x14ac:dyDescent="0.3">
      <c r="A59" s="6" t="s">
        <v>62</v>
      </c>
      <c r="B59">
        <v>168251</v>
      </c>
      <c r="C59">
        <v>194714</v>
      </c>
      <c r="D59">
        <v>217475</v>
      </c>
      <c r="E59">
        <v>239843</v>
      </c>
      <c r="F59">
        <v>307714</v>
      </c>
      <c r="G59">
        <v>355133</v>
      </c>
      <c r="H59">
        <v>278962</v>
      </c>
      <c r="I59">
        <v>319158</v>
      </c>
      <c r="J59">
        <v>451664</v>
      </c>
      <c r="K59">
        <v>458991</v>
      </c>
    </row>
    <row r="60" spans="1:11" x14ac:dyDescent="0.3">
      <c r="A60" s="6" t="s">
        <v>63</v>
      </c>
      <c r="B60">
        <v>117736</v>
      </c>
      <c r="C60">
        <v>172727</v>
      </c>
      <c r="D60">
        <v>225618</v>
      </c>
      <c r="E60">
        <v>277924</v>
      </c>
      <c r="F60">
        <v>302804</v>
      </c>
      <c r="G60">
        <v>358716</v>
      </c>
      <c r="H60">
        <v>340931</v>
      </c>
      <c r="I60">
        <v>399979</v>
      </c>
      <c r="J60">
        <v>438346</v>
      </c>
      <c r="K60">
        <v>502576</v>
      </c>
    </row>
    <row r="61" spans="1:11" s="1" customFormat="1" x14ac:dyDescent="0.3">
      <c r="A61" s="1" t="s">
        <v>26</v>
      </c>
      <c r="B61">
        <v>504486</v>
      </c>
      <c r="C61">
        <v>598997</v>
      </c>
      <c r="D61">
        <v>706802</v>
      </c>
      <c r="E61">
        <v>811273</v>
      </c>
      <c r="F61">
        <v>997630</v>
      </c>
      <c r="G61">
        <v>1163015</v>
      </c>
      <c r="H61">
        <v>1320065</v>
      </c>
      <c r="I61">
        <v>1498622</v>
      </c>
      <c r="J61">
        <v>1605882</v>
      </c>
      <c r="K61">
        <v>1755048</v>
      </c>
    </row>
    <row r="62" spans="1:11" x14ac:dyDescent="0.3">
      <c r="A62" s="6" t="s">
        <v>27</v>
      </c>
      <c r="B62">
        <v>156458</v>
      </c>
      <c r="C62">
        <v>184910</v>
      </c>
      <c r="D62">
        <v>198526</v>
      </c>
      <c r="E62">
        <v>403885</v>
      </c>
      <c r="F62">
        <v>398374</v>
      </c>
      <c r="G62">
        <v>532658</v>
      </c>
      <c r="H62">
        <v>541258</v>
      </c>
      <c r="I62">
        <v>627798</v>
      </c>
      <c r="J62">
        <v>724805</v>
      </c>
      <c r="K62">
        <v>779985</v>
      </c>
    </row>
    <row r="63" spans="1:11" x14ac:dyDescent="0.3">
      <c r="A63" s="6" t="s">
        <v>28</v>
      </c>
      <c r="B63">
        <v>166462</v>
      </c>
      <c r="C63">
        <v>228697</v>
      </c>
      <c r="D63">
        <v>324837</v>
      </c>
      <c r="E63">
        <v>187022</v>
      </c>
      <c r="F63">
        <v>179463</v>
      </c>
      <c r="G63">
        <v>109106</v>
      </c>
      <c r="H63">
        <v>125953</v>
      </c>
      <c r="I63">
        <v>172506</v>
      </c>
      <c r="J63">
        <v>293752</v>
      </c>
      <c r="K63">
        <v>338855</v>
      </c>
    </row>
    <row r="64" spans="1:11" x14ac:dyDescent="0.3">
      <c r="A64" s="6" t="s">
        <v>29</v>
      </c>
      <c r="B64">
        <v>76451</v>
      </c>
      <c r="C64">
        <v>84015</v>
      </c>
      <c r="D64">
        <v>82899</v>
      </c>
      <c r="E64">
        <v>82862</v>
      </c>
      <c r="F64">
        <v>235635</v>
      </c>
      <c r="G64">
        <v>276767</v>
      </c>
      <c r="H64">
        <v>364828</v>
      </c>
      <c r="I64">
        <v>394264</v>
      </c>
      <c r="J64">
        <v>235560</v>
      </c>
      <c r="K64">
        <v>225672</v>
      </c>
    </row>
    <row r="65" spans="1:11" x14ac:dyDescent="0.3">
      <c r="A65" s="6" t="s">
        <v>64</v>
      </c>
      <c r="B65">
        <v>105115</v>
      </c>
      <c r="C65">
        <v>101375</v>
      </c>
      <c r="D65">
        <v>100540</v>
      </c>
      <c r="E65">
        <v>137504</v>
      </c>
      <c r="F65">
        <v>184158</v>
      </c>
      <c r="G65">
        <v>244484</v>
      </c>
      <c r="H65">
        <v>288026</v>
      </c>
      <c r="I65">
        <v>304054</v>
      </c>
      <c r="J65">
        <v>351765</v>
      </c>
      <c r="K65">
        <v>410536</v>
      </c>
    </row>
    <row r="66" spans="1:11" s="1" customFormat="1" x14ac:dyDescent="0.3">
      <c r="A66" s="1" t="s">
        <v>26</v>
      </c>
      <c r="B66">
        <v>504486</v>
      </c>
      <c r="C66">
        <v>598997</v>
      </c>
      <c r="D66">
        <v>706802</v>
      </c>
      <c r="E66">
        <v>811273</v>
      </c>
      <c r="F66">
        <v>997630</v>
      </c>
      <c r="G66">
        <v>1163015</v>
      </c>
      <c r="H66">
        <v>1320065</v>
      </c>
      <c r="I66">
        <v>1498622</v>
      </c>
      <c r="J66">
        <v>1605882</v>
      </c>
      <c r="K66">
        <v>1755048</v>
      </c>
    </row>
    <row r="67" spans="1:11" s="6" customFormat="1" x14ac:dyDescent="0.3">
      <c r="A67" s="6" t="s">
        <v>69</v>
      </c>
      <c r="B67">
        <v>5315</v>
      </c>
      <c r="C67">
        <v>4465</v>
      </c>
      <c r="D67">
        <v>8177</v>
      </c>
      <c r="E67">
        <v>17555</v>
      </c>
      <c r="F67">
        <v>30089</v>
      </c>
      <c r="G67">
        <v>19656</v>
      </c>
      <c r="H67">
        <v>19014</v>
      </c>
      <c r="I67">
        <v>23640</v>
      </c>
      <c r="J67">
        <v>28448</v>
      </c>
      <c r="K67">
        <v>31628</v>
      </c>
    </row>
    <row r="68" spans="1:11" x14ac:dyDescent="0.3">
      <c r="A68" s="6" t="s">
        <v>45</v>
      </c>
      <c r="B68">
        <v>53248</v>
      </c>
      <c r="C68">
        <v>46486</v>
      </c>
      <c r="D68">
        <v>48951</v>
      </c>
      <c r="E68">
        <v>60837</v>
      </c>
      <c r="F68">
        <v>67561</v>
      </c>
      <c r="G68">
        <v>73903</v>
      </c>
      <c r="H68">
        <v>81672</v>
      </c>
      <c r="I68">
        <v>107778</v>
      </c>
      <c r="J68">
        <v>140008</v>
      </c>
      <c r="K68">
        <v>152770</v>
      </c>
    </row>
    <row r="69" spans="1:11" x14ac:dyDescent="0.3">
      <c r="A69" s="4" t="s">
        <v>78</v>
      </c>
      <c r="B69">
        <v>12545</v>
      </c>
      <c r="C69">
        <v>11028</v>
      </c>
      <c r="D69">
        <v>3023</v>
      </c>
      <c r="E69">
        <v>4255</v>
      </c>
      <c r="F69">
        <v>11081</v>
      </c>
      <c r="G69">
        <v>30920</v>
      </c>
      <c r="H69">
        <v>17397</v>
      </c>
      <c r="I69">
        <v>36178</v>
      </c>
      <c r="J69">
        <v>68664</v>
      </c>
      <c r="K69">
        <v>97225</v>
      </c>
    </row>
    <row r="70" spans="1:11" x14ac:dyDescent="0.3">
      <c r="A70" s="4" t="s">
        <v>65</v>
      </c>
      <c r="B70">
        <v>2943334138</v>
      </c>
      <c r="C70">
        <v>2948021694</v>
      </c>
      <c r="D70">
        <v>2958924277</v>
      </c>
      <c r="E70">
        <v>5921826196</v>
      </c>
      <c r="F70">
        <v>5925868997</v>
      </c>
      <c r="G70">
        <v>6338693823</v>
      </c>
      <c r="H70">
        <v>6762068814</v>
      </c>
      <c r="I70">
        <v>6765994014</v>
      </c>
      <c r="J70">
        <v>6766094014</v>
      </c>
      <c r="K70">
        <v>6766094014</v>
      </c>
    </row>
    <row r="71" spans="1:11" x14ac:dyDescent="0.3">
      <c r="A71" s="4" t="s">
        <v>66</v>
      </c>
      <c r="E71">
        <v>2959863235</v>
      </c>
      <c r="F71">
        <v>2959863235</v>
      </c>
    </row>
    <row r="72" spans="1:11" x14ac:dyDescent="0.3">
      <c r="A72" s="4" t="s">
        <v>79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</row>
    <row r="74" spans="1:11" x14ac:dyDescent="0.3">
      <c r="A74" s="6"/>
    </row>
    <row r="75" spans="1:11" x14ac:dyDescent="0.3">
      <c r="A75" s="6"/>
    </row>
    <row r="76" spans="1:11" x14ac:dyDescent="0.3">
      <c r="A76" s="6"/>
    </row>
    <row r="77" spans="1:11" x14ac:dyDescent="0.3">
      <c r="A77" s="6"/>
    </row>
    <row r="78" spans="1:11" x14ac:dyDescent="0.3">
      <c r="A78" s="6"/>
    </row>
    <row r="79" spans="1:11" x14ac:dyDescent="0.3">
      <c r="A79" s="6"/>
    </row>
    <row r="80" spans="1:11" x14ac:dyDescent="0.3">
      <c r="A80" s="1" t="s">
        <v>41</v>
      </c>
    </row>
    <row r="81" spans="1:11" s="18" customFormat="1" x14ac:dyDescent="0.3">
      <c r="A81" s="17" t="s">
        <v>38</v>
      </c>
      <c r="B81" s="12">
        <v>42094</v>
      </c>
      <c r="C81" s="12">
        <v>42460</v>
      </c>
      <c r="D81" s="12">
        <v>42825</v>
      </c>
      <c r="E81" s="12">
        <v>43190</v>
      </c>
      <c r="F81" s="12">
        <v>43555</v>
      </c>
      <c r="G81" s="12">
        <v>43921</v>
      </c>
      <c r="H81" s="12">
        <v>44286</v>
      </c>
      <c r="I81" s="12">
        <v>44651</v>
      </c>
      <c r="J81" s="12">
        <v>45016</v>
      </c>
      <c r="K81" s="12">
        <v>45382</v>
      </c>
    </row>
    <row r="82" spans="1:11" s="1" customFormat="1" x14ac:dyDescent="0.3">
      <c r="A82" s="6" t="s">
        <v>32</v>
      </c>
      <c r="B82">
        <v>34374</v>
      </c>
      <c r="C82">
        <v>38134</v>
      </c>
      <c r="D82">
        <v>49550</v>
      </c>
      <c r="E82">
        <v>71459</v>
      </c>
      <c r="F82">
        <v>42346</v>
      </c>
      <c r="G82">
        <v>94877</v>
      </c>
      <c r="H82">
        <v>26958</v>
      </c>
      <c r="I82">
        <v>110654</v>
      </c>
      <c r="J82">
        <v>115032</v>
      </c>
      <c r="K82">
        <v>158788</v>
      </c>
    </row>
    <row r="83" spans="1:11" s="6" customFormat="1" x14ac:dyDescent="0.3">
      <c r="A83" s="6" t="s">
        <v>33</v>
      </c>
      <c r="B83">
        <v>-64706</v>
      </c>
      <c r="C83">
        <v>-36186</v>
      </c>
      <c r="D83">
        <v>-66201</v>
      </c>
      <c r="E83">
        <v>-68192</v>
      </c>
      <c r="F83">
        <v>-94507</v>
      </c>
      <c r="G83">
        <v>-72497</v>
      </c>
      <c r="H83">
        <v>-142385</v>
      </c>
      <c r="I83">
        <v>-109162</v>
      </c>
      <c r="J83">
        <v>-93001</v>
      </c>
      <c r="K83">
        <v>-113581</v>
      </c>
    </row>
    <row r="84" spans="1:11" s="6" customFormat="1" x14ac:dyDescent="0.3">
      <c r="A84" s="6" t="s">
        <v>34</v>
      </c>
      <c r="B84">
        <v>8444</v>
      </c>
      <c r="C84">
        <v>-3210</v>
      </c>
      <c r="D84">
        <v>8617</v>
      </c>
      <c r="E84">
        <v>-2001</v>
      </c>
      <c r="F84">
        <v>55906</v>
      </c>
      <c r="G84">
        <v>-2541</v>
      </c>
      <c r="H84">
        <v>101904</v>
      </c>
      <c r="I84">
        <v>17289</v>
      </c>
      <c r="J84">
        <v>10455</v>
      </c>
      <c r="K84">
        <v>-16646</v>
      </c>
    </row>
    <row r="85" spans="1:11" s="1" customFormat="1" x14ac:dyDescent="0.3">
      <c r="A85" s="6" t="s">
        <v>35</v>
      </c>
      <c r="B85">
        <v>-21888</v>
      </c>
      <c r="C85">
        <v>-1262</v>
      </c>
      <c r="D85">
        <v>-8034</v>
      </c>
      <c r="E85">
        <v>1266</v>
      </c>
      <c r="F85">
        <v>3745</v>
      </c>
      <c r="G85">
        <v>19839</v>
      </c>
      <c r="H85">
        <v>-13523</v>
      </c>
      <c r="I85">
        <v>18781</v>
      </c>
      <c r="J85">
        <v>32486</v>
      </c>
      <c r="K85">
        <v>28561</v>
      </c>
    </row>
    <row r="86" spans="1:11" x14ac:dyDescent="0.3">
      <c r="A86" s="6"/>
    </row>
    <row r="87" spans="1:11" x14ac:dyDescent="0.3">
      <c r="A87" s="6"/>
    </row>
    <row r="88" spans="1:11" x14ac:dyDescent="0.3">
      <c r="A88" s="6"/>
    </row>
    <row r="89" spans="1:11" x14ac:dyDescent="0.3">
      <c r="A89" s="6"/>
    </row>
    <row r="90" spans="1:11" s="1" customFormat="1" x14ac:dyDescent="0.3">
      <c r="A90" s="1" t="s">
        <v>68</v>
      </c>
      <c r="B90">
        <v>187.66</v>
      </c>
      <c r="C90">
        <v>237.46</v>
      </c>
      <c r="D90">
        <v>300.08999999999997</v>
      </c>
      <c r="E90">
        <v>401.08</v>
      </c>
      <c r="F90">
        <v>619.42999999999995</v>
      </c>
      <c r="G90">
        <v>506.06</v>
      </c>
      <c r="H90">
        <v>918.78</v>
      </c>
      <c r="I90">
        <v>1208.51</v>
      </c>
      <c r="J90">
        <v>1069.21</v>
      </c>
      <c r="K90">
        <v>1485.85</v>
      </c>
    </row>
    <row r="92" spans="1:11" s="1" customFormat="1" x14ac:dyDescent="0.3">
      <c r="A92" s="1" t="s">
        <v>67</v>
      </c>
    </row>
    <row r="93" spans="1:11" x14ac:dyDescent="0.3">
      <c r="A93" s="4" t="s">
        <v>80</v>
      </c>
      <c r="B93" s="21">
        <v>1380.56</v>
      </c>
      <c r="C93" s="21">
        <v>1382.58</v>
      </c>
      <c r="D93" s="21">
        <v>1387.22</v>
      </c>
      <c r="E93" s="21">
        <v>1351.39</v>
      </c>
      <c r="F93" s="21">
        <v>1352.26</v>
      </c>
      <c r="G93" s="21">
        <v>1352.37</v>
      </c>
      <c r="H93" s="21">
        <v>1267.8900000000001</v>
      </c>
      <c r="I93" s="21">
        <v>1352.98</v>
      </c>
      <c r="J93" s="21">
        <v>1353.12</v>
      </c>
      <c r="K93" s="21">
        <v>1353.14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zoomScaleNormal="10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defaultColWidth="8.88671875" defaultRowHeight="14.4" x14ac:dyDescent="0.3"/>
  <cols>
    <col min="1" max="1" width="20.6640625" customWidth="1"/>
    <col min="2" max="6" width="13.44140625" customWidth="1"/>
    <col min="7" max="7" width="14.88671875" bestFit="1" customWidth="1"/>
    <col min="8" max="11" width="13.44140625" customWidth="1"/>
    <col min="12" max="12" width="13.33203125" customWidth="1"/>
    <col min="13" max="13" width="17.109375" customWidth="1"/>
    <col min="14" max="14" width="12.109375" customWidth="1"/>
  </cols>
  <sheetData>
    <row r="1" spans="1:14" s="2" customFormat="1" x14ac:dyDescent="0.3">
      <c r="A1" s="2" t="str">
        <f>'Data Sheet'!B1</f>
        <v>RELIANCE INDUSTRIES LTD</v>
      </c>
      <c r="H1" t="str">
        <f>UPDATE</f>
        <v/>
      </c>
      <c r="J1" s="3"/>
      <c r="K1" s="3"/>
      <c r="M1" s="2" t="s">
        <v>1</v>
      </c>
    </row>
    <row r="3" spans="1:14" s="2" customFormat="1" x14ac:dyDescent="0.3">
      <c r="A3" s="11" t="s">
        <v>2</v>
      </c>
      <c r="B3" s="12">
        <f>'Data Sheet'!B16</f>
        <v>42094</v>
      </c>
      <c r="C3" s="12">
        <f>'Data Sheet'!C16</f>
        <v>42460</v>
      </c>
      <c r="D3" s="12">
        <f>'Data Sheet'!D16</f>
        <v>42825</v>
      </c>
      <c r="E3" s="12">
        <f>'Data Sheet'!E16</f>
        <v>43190</v>
      </c>
      <c r="F3" s="12">
        <f>'Data Sheet'!F16</f>
        <v>43555</v>
      </c>
      <c r="G3" s="12">
        <f>'Data Sheet'!G16</f>
        <v>43921</v>
      </c>
      <c r="H3" s="12">
        <f>'Data Sheet'!H16</f>
        <v>44286</v>
      </c>
      <c r="I3" s="12">
        <f>'Data Sheet'!I16</f>
        <v>44651</v>
      </c>
      <c r="J3" s="12">
        <f>'Data Sheet'!J16</f>
        <v>45016</v>
      </c>
      <c r="K3" s="12">
        <f>'Data Sheet'!K16</f>
        <v>45382</v>
      </c>
      <c r="L3" s="13" t="s">
        <v>3</v>
      </c>
      <c r="M3" s="13" t="s">
        <v>4</v>
      </c>
      <c r="N3" s="13" t="s">
        <v>5</v>
      </c>
    </row>
    <row r="4" spans="1:14" s="2" customFormat="1" x14ac:dyDescent="0.3">
      <c r="A4" s="2" t="s">
        <v>6</v>
      </c>
      <c r="B4" s="1">
        <f>'Data Sheet'!B17</f>
        <v>374372</v>
      </c>
      <c r="C4" s="1">
        <f>'Data Sheet'!C17</f>
        <v>272583</v>
      </c>
      <c r="D4" s="1">
        <f>'Data Sheet'!D17</f>
        <v>303954</v>
      </c>
      <c r="E4" s="1">
        <f>'Data Sheet'!E17</f>
        <v>390823</v>
      </c>
      <c r="F4" s="1">
        <f>'Data Sheet'!F17</f>
        <v>568337</v>
      </c>
      <c r="G4" s="1">
        <f>'Data Sheet'!G17</f>
        <v>596679</v>
      </c>
      <c r="H4" s="1">
        <f>'Data Sheet'!H17</f>
        <v>466307</v>
      </c>
      <c r="I4" s="1">
        <f>'Data Sheet'!I17</f>
        <v>694673</v>
      </c>
      <c r="J4" s="1">
        <f>'Data Sheet'!J17</f>
        <v>876396</v>
      </c>
      <c r="K4" s="1">
        <f>'Data Sheet'!K17</f>
        <v>899041</v>
      </c>
      <c r="L4" s="1">
        <f>SUM(Quarters!H4:K4)</f>
        <v>939838</v>
      </c>
      <c r="M4" s="1">
        <f>$K4+M23*K4</f>
        <v>1118962.0360367014</v>
      </c>
      <c r="N4" s="1">
        <f>$K4+N23*L4</f>
        <v>941689.30067371787</v>
      </c>
    </row>
    <row r="5" spans="1:14" x14ac:dyDescent="0.3">
      <c r="A5" t="s">
        <v>7</v>
      </c>
      <c r="B5" s="6">
        <f>SUM('Data Sheet'!B18,'Data Sheet'!B20:B24, -1*'Data Sheet'!B19)</f>
        <v>336923</v>
      </c>
      <c r="C5" s="6">
        <f>SUM('Data Sheet'!C18,'Data Sheet'!C20:C24, -1*'Data Sheet'!C19)</f>
        <v>230802</v>
      </c>
      <c r="D5" s="6">
        <f>SUM('Data Sheet'!D18,'Data Sheet'!D20:D24, -1*'Data Sheet'!D19)</f>
        <v>257647</v>
      </c>
      <c r="E5" s="6">
        <f>SUM('Data Sheet'!E18,'Data Sheet'!E20:E24, -1*'Data Sheet'!E19)</f>
        <v>326508</v>
      </c>
      <c r="F5" s="6">
        <f>SUM('Data Sheet'!F18,'Data Sheet'!F20:F24, -1*'Data Sheet'!F19)</f>
        <v>484087</v>
      </c>
      <c r="G5" s="6">
        <f>SUM('Data Sheet'!G18,'Data Sheet'!G20:G24, -1*'Data Sheet'!G19)</f>
        <v>507413</v>
      </c>
      <c r="H5" s="6">
        <f>SUM('Data Sheet'!H18,'Data Sheet'!H20:H24, -1*'Data Sheet'!H19)</f>
        <v>385517</v>
      </c>
      <c r="I5" s="6">
        <f>SUM('Data Sheet'!I18,'Data Sheet'!I20:I24, -1*'Data Sheet'!I19)</f>
        <v>586092</v>
      </c>
      <c r="J5" s="6">
        <f>SUM('Data Sheet'!J18,'Data Sheet'!J20:J24, -1*'Data Sheet'!J19)</f>
        <v>734078</v>
      </c>
      <c r="K5" s="6">
        <f>SUM('Data Sheet'!K18,'Data Sheet'!K20:K24, -1*'Data Sheet'!K19)</f>
        <v>736543</v>
      </c>
      <c r="L5" s="6">
        <f>SUM(Quarters!H5:K5)</f>
        <v>775710</v>
      </c>
      <c r="M5" s="6">
        <f t="shared" ref="M5:N5" si="0">M4-M6</f>
        <v>923552.82609772077</v>
      </c>
      <c r="N5" s="6">
        <f t="shared" si="0"/>
        <v>793328.85812985781</v>
      </c>
    </row>
    <row r="6" spans="1:14" s="2" customFormat="1" x14ac:dyDescent="0.3">
      <c r="A6" s="2" t="s">
        <v>8</v>
      </c>
      <c r="B6" s="1">
        <f>B4-B5</f>
        <v>37449</v>
      </c>
      <c r="C6" s="1">
        <f t="shared" ref="C6:K6" si="1">C4-C5</f>
        <v>41781</v>
      </c>
      <c r="D6" s="1">
        <f t="shared" si="1"/>
        <v>46307</v>
      </c>
      <c r="E6" s="1">
        <f t="shared" si="1"/>
        <v>64315</v>
      </c>
      <c r="F6" s="1">
        <f t="shared" si="1"/>
        <v>84250</v>
      </c>
      <c r="G6" s="1">
        <f t="shared" si="1"/>
        <v>89266</v>
      </c>
      <c r="H6" s="1">
        <f t="shared" si="1"/>
        <v>80790</v>
      </c>
      <c r="I6" s="1">
        <f t="shared" si="1"/>
        <v>108581</v>
      </c>
      <c r="J6" s="1">
        <f t="shared" si="1"/>
        <v>142318</v>
      </c>
      <c r="K6" s="1">
        <f t="shared" si="1"/>
        <v>162498</v>
      </c>
      <c r="L6" s="1">
        <f>SUM(Quarters!H6:K6)</f>
        <v>164128</v>
      </c>
      <c r="M6" s="1">
        <f>M4*M24</f>
        <v>195409.20993898067</v>
      </c>
      <c r="N6" s="1">
        <f>N4*N24</f>
        <v>148360.44254386009</v>
      </c>
    </row>
    <row r="7" spans="1:14" x14ac:dyDescent="0.3">
      <c r="A7" t="s">
        <v>9</v>
      </c>
      <c r="B7" s="6">
        <f>'Data Sheet'!B25</f>
        <v>8528</v>
      </c>
      <c r="C7" s="6">
        <f>'Data Sheet'!C25</f>
        <v>12212</v>
      </c>
      <c r="D7" s="6">
        <f>'Data Sheet'!D25</f>
        <v>9222</v>
      </c>
      <c r="E7" s="6">
        <f>'Data Sheet'!E25</f>
        <v>9869</v>
      </c>
      <c r="F7" s="6">
        <f>'Data Sheet'!F25</f>
        <v>8406</v>
      </c>
      <c r="G7" s="6">
        <f>'Data Sheet'!G25</f>
        <v>8570</v>
      </c>
      <c r="H7" s="6">
        <f>'Data Sheet'!H25</f>
        <v>22432</v>
      </c>
      <c r="I7" s="6">
        <f>'Data Sheet'!I25</f>
        <v>19600</v>
      </c>
      <c r="J7" s="6">
        <f>'Data Sheet'!J25</f>
        <v>12020</v>
      </c>
      <c r="K7" s="6">
        <f>'Data Sheet'!K25</f>
        <v>16179</v>
      </c>
      <c r="L7" s="6">
        <f>SUM(Quarters!H7:K7)</f>
        <v>17607</v>
      </c>
      <c r="M7" s="6">
        <v>0</v>
      </c>
      <c r="N7" s="6">
        <v>0</v>
      </c>
    </row>
    <row r="8" spans="1:14" x14ac:dyDescent="0.3">
      <c r="A8" t="s">
        <v>10</v>
      </c>
      <c r="B8" s="6">
        <f>'Data Sheet'!B26</f>
        <v>11547</v>
      </c>
      <c r="C8" s="6">
        <f>'Data Sheet'!C26</f>
        <v>11565</v>
      </c>
      <c r="D8" s="6">
        <f>'Data Sheet'!D26</f>
        <v>11646</v>
      </c>
      <c r="E8" s="6">
        <f>'Data Sheet'!E26</f>
        <v>16706</v>
      </c>
      <c r="F8" s="6">
        <f>'Data Sheet'!F26</f>
        <v>20934</v>
      </c>
      <c r="G8" s="6">
        <f>'Data Sheet'!G26</f>
        <v>22203</v>
      </c>
      <c r="H8" s="6">
        <f>'Data Sheet'!H26</f>
        <v>26572</v>
      </c>
      <c r="I8" s="6">
        <f>'Data Sheet'!I26</f>
        <v>29782</v>
      </c>
      <c r="J8" s="6">
        <f>'Data Sheet'!J26</f>
        <v>40303</v>
      </c>
      <c r="K8" s="6">
        <f>'Data Sheet'!K26</f>
        <v>50832</v>
      </c>
      <c r="L8" s="6">
        <f>SUM(Quarters!H8:K8)</f>
        <v>53226</v>
      </c>
      <c r="M8" s="6">
        <f>+$L8</f>
        <v>53226</v>
      </c>
      <c r="N8" s="6">
        <f>+$L8</f>
        <v>53226</v>
      </c>
    </row>
    <row r="9" spans="1:14" x14ac:dyDescent="0.3">
      <c r="A9" t="s">
        <v>11</v>
      </c>
      <c r="B9" s="6">
        <f>'Data Sheet'!B27</f>
        <v>3316</v>
      </c>
      <c r="C9" s="6">
        <f>'Data Sheet'!C27</f>
        <v>3691</v>
      </c>
      <c r="D9" s="6">
        <f>'Data Sheet'!D27</f>
        <v>3849</v>
      </c>
      <c r="E9" s="6">
        <f>'Data Sheet'!E27</f>
        <v>8052</v>
      </c>
      <c r="F9" s="6">
        <f>'Data Sheet'!F27</f>
        <v>16495</v>
      </c>
      <c r="G9" s="6">
        <f>'Data Sheet'!G27</f>
        <v>22027</v>
      </c>
      <c r="H9" s="6">
        <f>'Data Sheet'!H27</f>
        <v>21189</v>
      </c>
      <c r="I9" s="6">
        <f>'Data Sheet'!I27</f>
        <v>14584</v>
      </c>
      <c r="J9" s="6">
        <f>'Data Sheet'!J27</f>
        <v>19571</v>
      </c>
      <c r="K9" s="6">
        <f>'Data Sheet'!K27</f>
        <v>23118</v>
      </c>
      <c r="L9" s="6">
        <f>SUM(Quarters!H9:K9)</f>
        <v>23875</v>
      </c>
      <c r="M9" s="6">
        <f>+$L9</f>
        <v>23875</v>
      </c>
      <c r="N9" s="6">
        <f>+$L9</f>
        <v>23875</v>
      </c>
    </row>
    <row r="10" spans="1:14" x14ac:dyDescent="0.3">
      <c r="A10" t="s">
        <v>12</v>
      </c>
      <c r="B10" s="6">
        <f>'Data Sheet'!B28</f>
        <v>31114</v>
      </c>
      <c r="C10" s="6">
        <f>'Data Sheet'!C28</f>
        <v>38737</v>
      </c>
      <c r="D10" s="6">
        <f>'Data Sheet'!D28</f>
        <v>40034</v>
      </c>
      <c r="E10" s="6">
        <f>'Data Sheet'!E28</f>
        <v>49426</v>
      </c>
      <c r="F10" s="6">
        <f>'Data Sheet'!F28</f>
        <v>55227</v>
      </c>
      <c r="G10" s="6">
        <f>'Data Sheet'!G28</f>
        <v>53606</v>
      </c>
      <c r="H10" s="6">
        <f>'Data Sheet'!H28</f>
        <v>55461</v>
      </c>
      <c r="I10" s="6">
        <f>'Data Sheet'!I28</f>
        <v>83815</v>
      </c>
      <c r="J10" s="6">
        <f>'Data Sheet'!J28</f>
        <v>94464</v>
      </c>
      <c r="K10" s="6">
        <f>'Data Sheet'!K28</f>
        <v>104727</v>
      </c>
      <c r="L10" s="6">
        <f>SUM(Quarters!H10:K10)</f>
        <v>104634</v>
      </c>
      <c r="M10" s="6">
        <f>M6+M7-SUM(M8:M9)</f>
        <v>118308.20993898067</v>
      </c>
      <c r="N10" s="6">
        <f>N6+N7-SUM(N8:N9)</f>
        <v>71259.442543860088</v>
      </c>
    </row>
    <row r="11" spans="1:14" x14ac:dyDescent="0.3">
      <c r="A11" t="s">
        <v>13</v>
      </c>
      <c r="B11" s="6">
        <f>'Data Sheet'!B29</f>
        <v>7474</v>
      </c>
      <c r="C11" s="6">
        <f>'Data Sheet'!C29</f>
        <v>8876</v>
      </c>
      <c r="D11" s="6">
        <f>'Data Sheet'!D29</f>
        <v>10201</v>
      </c>
      <c r="E11" s="6">
        <f>'Data Sheet'!E29</f>
        <v>13346</v>
      </c>
      <c r="F11" s="6">
        <f>'Data Sheet'!F29</f>
        <v>15390</v>
      </c>
      <c r="G11" s="6">
        <f>'Data Sheet'!G29</f>
        <v>13726</v>
      </c>
      <c r="H11" s="6">
        <f>'Data Sheet'!H29</f>
        <v>1722</v>
      </c>
      <c r="I11" s="6">
        <f>'Data Sheet'!I29</f>
        <v>15970</v>
      </c>
      <c r="J11" s="6">
        <f>'Data Sheet'!J29</f>
        <v>20376</v>
      </c>
      <c r="K11" s="6">
        <f>'Data Sheet'!K29</f>
        <v>25707</v>
      </c>
      <c r="L11" s="6">
        <f>SUM(Quarters!H11:K11)</f>
        <v>25138</v>
      </c>
      <c r="M11" s="7">
        <f>IF($L10&gt;0,$L11/$L10,0)</f>
        <v>0.2402469560563488</v>
      </c>
      <c r="N11" s="7">
        <f>IF($L10&gt;0,$L11/$L10,0)</f>
        <v>0.2402469560563488</v>
      </c>
    </row>
    <row r="12" spans="1:14" s="2" customFormat="1" x14ac:dyDescent="0.3">
      <c r="A12" s="2" t="s">
        <v>14</v>
      </c>
      <c r="B12" s="1">
        <f>'Data Sheet'!B30</f>
        <v>23566</v>
      </c>
      <c r="C12" s="1">
        <f>'Data Sheet'!C30</f>
        <v>29745</v>
      </c>
      <c r="D12" s="1">
        <f>'Data Sheet'!D30</f>
        <v>29901</v>
      </c>
      <c r="E12" s="1">
        <f>'Data Sheet'!E30</f>
        <v>36075</v>
      </c>
      <c r="F12" s="1">
        <f>'Data Sheet'!F30</f>
        <v>39588</v>
      </c>
      <c r="G12" s="1">
        <f>'Data Sheet'!G30</f>
        <v>39354</v>
      </c>
      <c r="H12" s="1">
        <f>'Data Sheet'!H30</f>
        <v>49128</v>
      </c>
      <c r="I12" s="1">
        <f>'Data Sheet'!I30</f>
        <v>60705</v>
      </c>
      <c r="J12" s="1">
        <f>'Data Sheet'!J30</f>
        <v>66702</v>
      </c>
      <c r="K12" s="1">
        <f>'Data Sheet'!K30</f>
        <v>69621</v>
      </c>
      <c r="L12" s="1">
        <f>SUM(Quarters!H12:K12)</f>
        <v>69192</v>
      </c>
      <c r="M12" s="1">
        <f>M10-M11*M10</f>
        <v>89885.022624665085</v>
      </c>
      <c r="N12" s="1">
        <f>N10-N11*N10</f>
        <v>54139.578382425418</v>
      </c>
    </row>
    <row r="13" spans="1:14" x14ac:dyDescent="0.3">
      <c r="A13" t="s">
        <v>48</v>
      </c>
      <c r="B13" s="6">
        <f>IF('Data Sheet'!B93&gt;0,B12/'Data Sheet'!B93,0)</f>
        <v>17.069884684475866</v>
      </c>
      <c r="C13" s="6">
        <f>IF('Data Sheet'!C93&gt;0,C12/'Data Sheet'!C93,0)</f>
        <v>21.514125764874365</v>
      </c>
      <c r="D13" s="6">
        <f>IF('Data Sheet'!D93&gt;0,D12/'Data Sheet'!D93,0)</f>
        <v>21.554620031429767</v>
      </c>
      <c r="E13" s="6">
        <f>IF('Data Sheet'!E93&gt;0,E12/'Data Sheet'!E93,0)</f>
        <v>26.694736530535224</v>
      </c>
      <c r="F13" s="6">
        <f>IF('Data Sheet'!F93&gt;0,F12/'Data Sheet'!F93,0)</f>
        <v>29.275435197373287</v>
      </c>
      <c r="G13" s="6">
        <f>IF('Data Sheet'!G93&gt;0,G12/'Data Sheet'!G93,0)</f>
        <v>29.100024401606071</v>
      </c>
      <c r="H13" s="6">
        <f>IF('Data Sheet'!H93&gt;0,H12/'Data Sheet'!H93,0)</f>
        <v>38.747840901024531</v>
      </c>
      <c r="I13" s="6">
        <f>IF('Data Sheet'!I93&gt;0,I12/'Data Sheet'!I93,0)</f>
        <v>44.867625537701961</v>
      </c>
      <c r="J13" s="6">
        <f>IF('Data Sheet'!J93&gt;0,J12/'Data Sheet'!J93,0)</f>
        <v>49.294962752749207</v>
      </c>
      <c r="K13" s="6">
        <f>IF('Data Sheet'!K93&gt;0,K12/'Data Sheet'!K93,0)</f>
        <v>51.45143887550438</v>
      </c>
      <c r="L13" s="6">
        <f>IF('Data Sheet'!$B6&gt;0,'Profit &amp; Loss'!L12/'Data Sheet'!$B6,0)</f>
        <v>51.13073624723782</v>
      </c>
      <c r="M13" s="6">
        <f>IF('Data Sheet'!$B6&gt;0,'Profit &amp; Loss'!M12/'Data Sheet'!$B6,0)</f>
        <v>66.422236449282494</v>
      </c>
      <c r="N13" s="6">
        <f>IF('Data Sheet'!$B6&gt;0,'Profit &amp; Loss'!N12/'Data Sheet'!$B6,0)</f>
        <v>40.007464776396873</v>
      </c>
    </row>
    <row r="14" spans="1:14" x14ac:dyDescent="0.3">
      <c r="A14" t="s">
        <v>16</v>
      </c>
      <c r="B14" s="6">
        <f>IF(B15&gt;0,B15/B13,"")</f>
        <v>10.993630213018754</v>
      </c>
      <c r="C14" s="6">
        <f t="shared" ref="C14:K14" si="2">IF(C15&gt;0,C15/C13,"")</f>
        <v>11.037399455370652</v>
      </c>
      <c r="D14" s="6">
        <f t="shared" si="2"/>
        <v>13.92230526738236</v>
      </c>
      <c r="E14" s="6">
        <f t="shared" si="2"/>
        <v>15.02468471794872</v>
      </c>
      <c r="F14" s="6">
        <f t="shared" si="2"/>
        <v>21.158694851975344</v>
      </c>
      <c r="G14" s="6">
        <f t="shared" si="2"/>
        <v>17.390363424302485</v>
      </c>
      <c r="H14" s="6">
        <f t="shared" si="2"/>
        <v>23.71177280166097</v>
      </c>
      <c r="I14" s="6">
        <f t="shared" si="2"/>
        <v>26.935011280784121</v>
      </c>
      <c r="J14" s="6">
        <f t="shared" si="2"/>
        <v>21.690045803724026</v>
      </c>
      <c r="K14" s="6">
        <f t="shared" si="2"/>
        <v>28.87868701972106</v>
      </c>
      <c r="L14" s="6">
        <f t="shared" ref="L14" si="3">IF(L13&gt;0,L15/L13,0)</f>
        <v>23.806619840443979</v>
      </c>
      <c r="M14" s="6">
        <f>M25</f>
        <v>25.327590986168296</v>
      </c>
      <c r="N14" s="6">
        <f>N25</f>
        <v>19.504474061484771</v>
      </c>
    </row>
    <row r="15" spans="1:14" s="2" customFormat="1" x14ac:dyDescent="0.3">
      <c r="A15" s="2" t="s">
        <v>49</v>
      </c>
      <c r="B15" s="1">
        <f>'Data Sheet'!B90</f>
        <v>187.66</v>
      </c>
      <c r="C15" s="1">
        <f>'Data Sheet'!C90</f>
        <v>237.46</v>
      </c>
      <c r="D15" s="1">
        <f>'Data Sheet'!D90</f>
        <v>300.08999999999997</v>
      </c>
      <c r="E15" s="1">
        <f>'Data Sheet'!E90</f>
        <v>401.08</v>
      </c>
      <c r="F15" s="1">
        <f>'Data Sheet'!F90</f>
        <v>619.42999999999995</v>
      </c>
      <c r="G15" s="1">
        <f>'Data Sheet'!G90</f>
        <v>506.06</v>
      </c>
      <c r="H15" s="1">
        <f>'Data Sheet'!H90</f>
        <v>918.78</v>
      </c>
      <c r="I15" s="1">
        <f>'Data Sheet'!I90</f>
        <v>1208.51</v>
      </c>
      <c r="J15" s="1">
        <f>'Data Sheet'!J90</f>
        <v>1069.21</v>
      </c>
      <c r="K15" s="1">
        <f>'Data Sheet'!K90</f>
        <v>1485.85</v>
      </c>
      <c r="L15" s="1">
        <f>'Data Sheet'!B8</f>
        <v>1217.25</v>
      </c>
      <c r="M15" s="8">
        <f>M13*M14</f>
        <v>1682.3152371739866</v>
      </c>
      <c r="N15" s="9">
        <f>N13*N14</f>
        <v>780.32455899699846</v>
      </c>
    </row>
    <row r="17" spans="1:14" s="2" customFormat="1" x14ac:dyDescent="0.3">
      <c r="A17" s="2" t="s">
        <v>15</v>
      </c>
    </row>
    <row r="18" spans="1:14" x14ac:dyDescent="0.3">
      <c r="A18" t="s">
        <v>17</v>
      </c>
      <c r="B18" s="5">
        <f>IF('Data Sheet'!B30&gt;0, 'Data Sheet'!B31/'Data Sheet'!B30, 0)</f>
        <v>0.12488330645845711</v>
      </c>
      <c r="C18" s="5">
        <f>IF('Data Sheet'!C30&gt;0, 'Data Sheet'!C31/'Data Sheet'!C30, 0)</f>
        <v>0.10406454866364095</v>
      </c>
      <c r="D18" s="5">
        <f>IF('Data Sheet'!D30&gt;0, 'Data Sheet'!D31/'Data Sheet'!D30, 0)</f>
        <v>0.10885589110732083</v>
      </c>
      <c r="E18" s="5">
        <f>IF('Data Sheet'!E30&gt;0, 'Data Sheet'!E31/'Data Sheet'!E30, 0)</f>
        <v>9.8494802494802483E-2</v>
      </c>
      <c r="F18" s="5">
        <f>IF('Data Sheet'!F30&gt;0, 'Data Sheet'!F31/'Data Sheet'!F30, 0)</f>
        <v>9.7299686773769836E-2</v>
      </c>
      <c r="G18" s="5">
        <f>IF('Data Sheet'!G30&gt;0, 'Data Sheet'!G31/'Data Sheet'!G30, 0)</f>
        <v>0.10469964933678916</v>
      </c>
      <c r="H18" s="5">
        <f>IF('Data Sheet'!H30&gt;0, 'Data Sheet'!H31/'Data Sheet'!H30, 0)</f>
        <v>9.1831542094121477E-2</v>
      </c>
      <c r="I18" s="5">
        <f>IF('Data Sheet'!I30&gt;0, 'Data Sheet'!I31/'Data Sheet'!I30, 0)</f>
        <v>8.9152458611317029E-2</v>
      </c>
      <c r="J18" s="5">
        <f>IF('Data Sheet'!J30&gt;0, 'Data Sheet'!J31/'Data Sheet'!J30, 0)</f>
        <v>9.129261491409553E-2</v>
      </c>
      <c r="K18" s="5">
        <f>IF('Data Sheet'!K30&gt;0, 'Data Sheet'!K31/'Data Sheet'!K30, 0)</f>
        <v>9.718332112437339E-2</v>
      </c>
    </row>
    <row r="19" spans="1:14" x14ac:dyDescent="0.3">
      <c r="A19" t="s">
        <v>18</v>
      </c>
      <c r="B19" s="5">
        <f t="shared" ref="B19:L19" si="4">IF(B6&gt;0,B6/B4,0)</f>
        <v>0.10003151945124102</v>
      </c>
      <c r="C19" s="5">
        <f t="shared" ref="C19:K19" si="5">IF(C6&gt;0,C6/C4,0)</f>
        <v>0.15327808410649232</v>
      </c>
      <c r="D19" s="5">
        <f t="shared" si="5"/>
        <v>0.15234871066016567</v>
      </c>
      <c r="E19" s="5">
        <f t="shared" si="5"/>
        <v>0.16456298631349742</v>
      </c>
      <c r="F19" s="5">
        <f t="shared" si="5"/>
        <v>0.14823951282425743</v>
      </c>
      <c r="G19" s="5">
        <f t="shared" si="5"/>
        <v>0.1496047288408005</v>
      </c>
      <c r="H19" s="5">
        <f t="shared" si="5"/>
        <v>0.17325495864312568</v>
      </c>
      <c r="I19" s="5">
        <f t="shared" si="5"/>
        <v>0.15630519683361813</v>
      </c>
      <c r="J19" s="5">
        <f t="shared" si="5"/>
        <v>0.16239006111392568</v>
      </c>
      <c r="K19" s="5">
        <f t="shared" si="5"/>
        <v>0.18074592816122959</v>
      </c>
      <c r="L19" s="5">
        <f t="shared" si="4"/>
        <v>0.17463435187766402</v>
      </c>
    </row>
    <row r="20" spans="1:14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4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4" s="2" customFormat="1" x14ac:dyDescent="0.3">
      <c r="A22" s="11"/>
      <c r="B22" s="12"/>
      <c r="C22" s="12"/>
      <c r="D22" s="12"/>
      <c r="E22" s="12"/>
      <c r="F22" s="12"/>
      <c r="G22" s="12" t="s">
        <v>19</v>
      </c>
      <c r="H22" s="12" t="s">
        <v>56</v>
      </c>
      <c r="I22" s="12" t="s">
        <v>57</v>
      </c>
      <c r="J22" s="12" t="s">
        <v>58</v>
      </c>
      <c r="K22" s="12" t="s">
        <v>59</v>
      </c>
      <c r="L22" s="13" t="s">
        <v>60</v>
      </c>
      <c r="M22" s="13" t="s">
        <v>20</v>
      </c>
      <c r="N22" s="13" t="s">
        <v>21</v>
      </c>
    </row>
    <row r="23" spans="1:14" s="2" customFormat="1" x14ac:dyDescent="0.3">
      <c r="A23"/>
      <c r="B23"/>
      <c r="C23"/>
      <c r="D23"/>
      <c r="E23"/>
      <c r="F23"/>
      <c r="G23" t="s">
        <v>22</v>
      </c>
      <c r="H23" s="5">
        <f>IF(B4=0,"",POWER($K4/B4,1/9)-1)</f>
        <v>0.10223735810706991</v>
      </c>
      <c r="I23" s="5">
        <f>IF(D4=0,"",POWER($K4/D4,1/7)-1)</f>
        <v>0.16756659802863383</v>
      </c>
      <c r="J23" s="5">
        <f>IF(F4=0,"",POWER($K4/F4,1/5)-1)</f>
        <v>9.6060970946169721E-2</v>
      </c>
      <c r="K23" s="5">
        <f>IF(H4=0,"",POWER($K4/H4, 1/3)-1)</f>
        <v>0.2446173600944801</v>
      </c>
      <c r="L23" s="5">
        <f>IF(ISERROR(MAX(IF(J4=0,"",(K4-J4)/J4),IF(K4=0,"",(L4-K4)/K4))),"",MAX(IF(J4=0,"",(K4-J4)/J4),IF(K4=0,"",(L4-K4)/K4)))</f>
        <v>4.5378353156307664E-2</v>
      </c>
      <c r="M23" s="16">
        <f>MAX(K23:L23)</f>
        <v>0.2446173600944801</v>
      </c>
      <c r="N23" s="16">
        <f>MIN(H23:L23)</f>
        <v>4.5378353156307664E-2</v>
      </c>
    </row>
    <row r="24" spans="1:14" x14ac:dyDescent="0.3">
      <c r="G24" t="s">
        <v>18</v>
      </c>
      <c r="H24" s="5">
        <f>IF(SUM(B4:$K$4)=0,"",SUMPRODUCT(B19:$K$19,B4:$K$4)/SUM(B4:$K$4))</f>
        <v>0.15754712561533593</v>
      </c>
      <c r="I24" s="5">
        <f>IF(SUM(E4:$K$4)=0,"",SUMPRODUCT(E19:$K$19,E4:$K$4)/SUM(E4:$K$4))</f>
        <v>0.16295108738237535</v>
      </c>
      <c r="J24" s="5">
        <f>IF(SUM(G4:$K$4)=0,"",SUMPRODUCT(G19:$K$19,G4:$K$4)/SUM(G4:$K$4))</f>
        <v>0.16513929992278725</v>
      </c>
      <c r="K24" s="5">
        <f>IF(SUM(I4:$K$4)=0, "", SUMPRODUCT(I19:$K$19,I4:$K$4)/SUM(I4:$K$4))</f>
        <v>0.16735975320937124</v>
      </c>
      <c r="L24" s="5">
        <f>L19</f>
        <v>0.17463435187766402</v>
      </c>
      <c r="M24" s="16">
        <f>MAX(K24:L24)</f>
        <v>0.17463435187766402</v>
      </c>
      <c r="N24" s="16">
        <f>MIN(H24:L24)</f>
        <v>0.15754712561533593</v>
      </c>
    </row>
    <row r="25" spans="1:14" x14ac:dyDescent="0.3">
      <c r="G25" t="s">
        <v>23</v>
      </c>
      <c r="H25" s="6">
        <f>IF(ISERROR(AVERAGEIF(B14:$L14,"&gt;0")),"",AVERAGEIF(B14:$L14,"&gt;0"))</f>
        <v>19.504474061484771</v>
      </c>
      <c r="I25" s="6">
        <f>IF(ISERROR(AVERAGEIF(E14:$L14,"&gt;0")),"",AVERAGEIF(E14:$L14,"&gt;0"))</f>
        <v>22.32448496757009</v>
      </c>
      <c r="J25" s="6">
        <f>IF(ISERROR(AVERAGEIF(G14:$L14,"&gt;0")),"",AVERAGEIF(G14:$L14,"&gt;0"))</f>
        <v>23.735416695106107</v>
      </c>
      <c r="K25" s="6">
        <f>IF(ISERROR(AVERAGEIF(I14:$L14,"&gt;0")),"",AVERAGEIF(I14:$L14,"&gt;0"))</f>
        <v>25.327590986168296</v>
      </c>
      <c r="L25" s="6">
        <f>L14</f>
        <v>23.806619840443979</v>
      </c>
      <c r="M25" s="1">
        <f>MAX(K25:L25)</f>
        <v>25.327590986168296</v>
      </c>
      <c r="N25" s="1">
        <f>MIN(H25:L25)</f>
        <v>19.504474061484771</v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Normal="10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A8" sqref="A8"/>
    </sheetView>
  </sheetViews>
  <sheetFormatPr defaultColWidth="8.88671875" defaultRowHeight="14.4" x14ac:dyDescent="0.3"/>
  <cols>
    <col min="1" max="1" width="20.6640625" customWidth="1"/>
    <col min="2" max="11" width="13.44140625" bestFit="1" customWidth="1"/>
  </cols>
  <sheetData>
    <row r="1" spans="1:11" s="2" customFormat="1" x14ac:dyDescent="0.3">
      <c r="A1" s="2" t="str">
        <f>'Profit &amp; Loss'!A1</f>
        <v>RELIANCE INDUSTRIES LTD</v>
      </c>
      <c r="E1" t="str">
        <f>UPDATE</f>
        <v/>
      </c>
      <c r="J1" s="2" t="s">
        <v>1</v>
      </c>
    </row>
    <row r="3" spans="1:11" s="2" customFormat="1" x14ac:dyDescent="0.3">
      <c r="A3" s="11" t="s">
        <v>2</v>
      </c>
      <c r="B3" s="12">
        <f>'Data Sheet'!B41</f>
        <v>44834</v>
      </c>
      <c r="C3" s="12">
        <f>'Data Sheet'!C41</f>
        <v>44926</v>
      </c>
      <c r="D3" s="12">
        <f>'Data Sheet'!D41</f>
        <v>45016</v>
      </c>
      <c r="E3" s="12">
        <f>'Data Sheet'!E41</f>
        <v>45107</v>
      </c>
      <c r="F3" s="12">
        <f>'Data Sheet'!F41</f>
        <v>45199</v>
      </c>
      <c r="G3" s="12">
        <f>'Data Sheet'!G41</f>
        <v>45291</v>
      </c>
      <c r="H3" s="12">
        <f>'Data Sheet'!H41</f>
        <v>45382</v>
      </c>
      <c r="I3" s="12">
        <f>'Data Sheet'!I41</f>
        <v>45473</v>
      </c>
      <c r="J3" s="12">
        <f>'Data Sheet'!J41</f>
        <v>45565</v>
      </c>
      <c r="K3" s="12">
        <f>'Data Sheet'!K41</f>
        <v>45657</v>
      </c>
    </row>
    <row r="4" spans="1:11" s="2" customFormat="1" x14ac:dyDescent="0.3">
      <c r="A4" s="2" t="s">
        <v>6</v>
      </c>
      <c r="B4" s="1">
        <f>'Data Sheet'!B42</f>
        <v>229409</v>
      </c>
      <c r="C4" s="1">
        <f>'Data Sheet'!C42</f>
        <v>216737</v>
      </c>
      <c r="D4" s="1">
        <f>'Data Sheet'!D42</f>
        <v>212834</v>
      </c>
      <c r="E4" s="1">
        <f>'Data Sheet'!E42</f>
        <v>207559</v>
      </c>
      <c r="F4" s="1">
        <f>'Data Sheet'!F42</f>
        <v>231886</v>
      </c>
      <c r="G4" s="1">
        <f>'Data Sheet'!G42</f>
        <v>225086</v>
      </c>
      <c r="H4" s="1">
        <f>'Data Sheet'!H42</f>
        <v>236533</v>
      </c>
      <c r="I4" s="1">
        <f>'Data Sheet'!I42</f>
        <v>231784</v>
      </c>
      <c r="J4" s="1">
        <f>'Data Sheet'!J42</f>
        <v>231535</v>
      </c>
      <c r="K4" s="1">
        <f>'Data Sheet'!K42</f>
        <v>239986</v>
      </c>
    </row>
    <row r="5" spans="1:11" x14ac:dyDescent="0.3">
      <c r="A5" t="s">
        <v>7</v>
      </c>
      <c r="B5" s="6">
        <f>'Data Sheet'!B43</f>
        <v>198438</v>
      </c>
      <c r="C5" s="6">
        <f>'Data Sheet'!C43</f>
        <v>181728</v>
      </c>
      <c r="D5" s="6">
        <f>'Data Sheet'!D43</f>
        <v>174478</v>
      </c>
      <c r="E5" s="6">
        <f>'Data Sheet'!E43</f>
        <v>169466</v>
      </c>
      <c r="F5" s="6">
        <f>'Data Sheet'!F43</f>
        <v>190918</v>
      </c>
      <c r="G5" s="6">
        <f>'Data Sheet'!G43</f>
        <v>184430</v>
      </c>
      <c r="H5" s="6">
        <f>'Data Sheet'!H43</f>
        <v>194017</v>
      </c>
      <c r="I5" s="6">
        <f>'Data Sheet'!I43</f>
        <v>193019</v>
      </c>
      <c r="J5" s="6">
        <f>'Data Sheet'!J43</f>
        <v>192477</v>
      </c>
      <c r="K5" s="6">
        <f>'Data Sheet'!K43</f>
        <v>196197</v>
      </c>
    </row>
    <row r="6" spans="1:11" s="2" customFormat="1" x14ac:dyDescent="0.3">
      <c r="A6" s="2" t="s">
        <v>8</v>
      </c>
      <c r="B6" s="1">
        <f>'Data Sheet'!B50</f>
        <v>30971</v>
      </c>
      <c r="C6" s="1">
        <f>'Data Sheet'!C50</f>
        <v>35009</v>
      </c>
      <c r="D6" s="1">
        <f>'Data Sheet'!D50</f>
        <v>38356</v>
      </c>
      <c r="E6" s="1">
        <f>'Data Sheet'!E50</f>
        <v>38093</v>
      </c>
      <c r="F6" s="1">
        <f>'Data Sheet'!F50</f>
        <v>40968</v>
      </c>
      <c r="G6" s="1">
        <f>'Data Sheet'!G50</f>
        <v>40656</v>
      </c>
      <c r="H6" s="1">
        <f>'Data Sheet'!H50</f>
        <v>42516</v>
      </c>
      <c r="I6" s="1">
        <f>'Data Sheet'!I50</f>
        <v>38765</v>
      </c>
      <c r="J6" s="1">
        <f>'Data Sheet'!J50</f>
        <v>39058</v>
      </c>
      <c r="K6" s="1">
        <f>'Data Sheet'!K50</f>
        <v>43789</v>
      </c>
    </row>
    <row r="7" spans="1:11" x14ac:dyDescent="0.3">
      <c r="A7" t="s">
        <v>9</v>
      </c>
      <c r="B7" s="6">
        <f>'Data Sheet'!B44</f>
        <v>3656</v>
      </c>
      <c r="C7" s="6">
        <f>'Data Sheet'!C44</f>
        <v>3377</v>
      </c>
      <c r="D7" s="6">
        <f>'Data Sheet'!D44</f>
        <v>2996</v>
      </c>
      <c r="E7" s="6">
        <f>'Data Sheet'!E44</f>
        <v>3813</v>
      </c>
      <c r="F7" s="6">
        <f>'Data Sheet'!F44</f>
        <v>3841</v>
      </c>
      <c r="G7" s="6">
        <f>'Data Sheet'!G44</f>
        <v>3869</v>
      </c>
      <c r="H7" s="6">
        <f>'Data Sheet'!H44</f>
        <v>4534</v>
      </c>
      <c r="I7" s="6">
        <f>'Data Sheet'!I44</f>
        <v>3983</v>
      </c>
      <c r="J7" s="6">
        <f>'Data Sheet'!J44</f>
        <v>4876</v>
      </c>
      <c r="K7" s="6">
        <f>'Data Sheet'!K44</f>
        <v>4214</v>
      </c>
    </row>
    <row r="8" spans="1:11" x14ac:dyDescent="0.3">
      <c r="A8" t="s">
        <v>10</v>
      </c>
      <c r="B8" s="6">
        <f>'Data Sheet'!B45</f>
        <v>9726</v>
      </c>
      <c r="C8" s="6">
        <f>'Data Sheet'!C45</f>
        <v>10183</v>
      </c>
      <c r="D8" s="6">
        <f>'Data Sheet'!D45</f>
        <v>11452</v>
      </c>
      <c r="E8" s="6">
        <f>'Data Sheet'!E45</f>
        <v>11775</v>
      </c>
      <c r="F8" s="6">
        <f>'Data Sheet'!F45</f>
        <v>12585</v>
      </c>
      <c r="G8" s="6">
        <f>'Data Sheet'!G45</f>
        <v>12903</v>
      </c>
      <c r="H8" s="6">
        <f>'Data Sheet'!H45</f>
        <v>13569</v>
      </c>
      <c r="I8" s="6">
        <f>'Data Sheet'!I45</f>
        <v>13596</v>
      </c>
      <c r="J8" s="6">
        <f>'Data Sheet'!J45</f>
        <v>12880</v>
      </c>
      <c r="K8" s="6">
        <f>'Data Sheet'!K45</f>
        <v>13181</v>
      </c>
    </row>
    <row r="9" spans="1:11" x14ac:dyDescent="0.3">
      <c r="A9" t="s">
        <v>11</v>
      </c>
      <c r="B9" s="6">
        <f>'Data Sheet'!B46</f>
        <v>4554</v>
      </c>
      <c r="C9" s="6">
        <f>'Data Sheet'!C46</f>
        <v>5201</v>
      </c>
      <c r="D9" s="6">
        <f>'Data Sheet'!D46</f>
        <v>5819</v>
      </c>
      <c r="E9" s="6">
        <f>'Data Sheet'!E46</f>
        <v>5837</v>
      </c>
      <c r="F9" s="6">
        <f>'Data Sheet'!F46</f>
        <v>5731</v>
      </c>
      <c r="G9" s="6">
        <f>'Data Sheet'!G46</f>
        <v>5789</v>
      </c>
      <c r="H9" s="6">
        <f>'Data Sheet'!H46</f>
        <v>5761</v>
      </c>
      <c r="I9" s="6">
        <f>'Data Sheet'!I46</f>
        <v>5918</v>
      </c>
      <c r="J9" s="6">
        <f>'Data Sheet'!J46</f>
        <v>6017</v>
      </c>
      <c r="K9" s="6">
        <f>'Data Sheet'!K46</f>
        <v>6179</v>
      </c>
    </row>
    <row r="10" spans="1:11" x14ac:dyDescent="0.3">
      <c r="A10" t="s">
        <v>12</v>
      </c>
      <c r="B10" s="6">
        <f>'Data Sheet'!B47</f>
        <v>20347</v>
      </c>
      <c r="C10" s="6">
        <f>'Data Sheet'!C47</f>
        <v>23002</v>
      </c>
      <c r="D10" s="6">
        <f>'Data Sheet'!D47</f>
        <v>24081</v>
      </c>
      <c r="E10" s="6">
        <f>'Data Sheet'!E47</f>
        <v>24294</v>
      </c>
      <c r="F10" s="6">
        <f>'Data Sheet'!F47</f>
        <v>26493</v>
      </c>
      <c r="G10" s="6">
        <f>'Data Sheet'!G47</f>
        <v>25833</v>
      </c>
      <c r="H10" s="6">
        <f>'Data Sheet'!H47</f>
        <v>27720</v>
      </c>
      <c r="I10" s="6">
        <f>'Data Sheet'!I47</f>
        <v>23234</v>
      </c>
      <c r="J10" s="6">
        <f>'Data Sheet'!J47</f>
        <v>25037</v>
      </c>
      <c r="K10" s="6">
        <f>'Data Sheet'!K47</f>
        <v>28643</v>
      </c>
    </row>
    <row r="11" spans="1:11" x14ac:dyDescent="0.3">
      <c r="A11" t="s">
        <v>13</v>
      </c>
      <c r="B11" s="6">
        <f>'Data Sheet'!B48</f>
        <v>4835</v>
      </c>
      <c r="C11" s="6">
        <f>'Data Sheet'!C48</f>
        <v>5196</v>
      </c>
      <c r="D11" s="6">
        <f>'Data Sheet'!D48</f>
        <v>2754</v>
      </c>
      <c r="E11" s="6">
        <f>'Data Sheet'!E48</f>
        <v>6112</v>
      </c>
      <c r="F11" s="6">
        <f>'Data Sheet'!F48</f>
        <v>6673</v>
      </c>
      <c r="G11" s="6">
        <f>'Data Sheet'!G48</f>
        <v>6345</v>
      </c>
      <c r="H11" s="6">
        <f>'Data Sheet'!H48</f>
        <v>6577</v>
      </c>
      <c r="I11" s="6">
        <f>'Data Sheet'!I48</f>
        <v>5786</v>
      </c>
      <c r="J11" s="6">
        <f>'Data Sheet'!J48</f>
        <v>5936</v>
      </c>
      <c r="K11" s="6">
        <f>'Data Sheet'!K48</f>
        <v>6839</v>
      </c>
    </row>
    <row r="12" spans="1:11" s="2" customFormat="1" x14ac:dyDescent="0.3">
      <c r="A12" s="2" t="s">
        <v>14</v>
      </c>
      <c r="B12" s="1">
        <f>'Data Sheet'!B49</f>
        <v>13656</v>
      </c>
      <c r="C12" s="1">
        <f>'Data Sheet'!C49</f>
        <v>15792</v>
      </c>
      <c r="D12" s="1">
        <f>'Data Sheet'!D49</f>
        <v>19299</v>
      </c>
      <c r="E12" s="1">
        <f>'Data Sheet'!E49</f>
        <v>16011</v>
      </c>
      <c r="F12" s="1">
        <f>'Data Sheet'!F49</f>
        <v>17394</v>
      </c>
      <c r="G12" s="1">
        <f>'Data Sheet'!G49</f>
        <v>17265</v>
      </c>
      <c r="H12" s="1">
        <f>'Data Sheet'!H49</f>
        <v>18951</v>
      </c>
      <c r="I12" s="1">
        <f>'Data Sheet'!I49</f>
        <v>15138</v>
      </c>
      <c r="J12" s="1">
        <f>'Data Sheet'!J49</f>
        <v>16563</v>
      </c>
      <c r="K12" s="1">
        <f>'Data Sheet'!K49</f>
        <v>18540</v>
      </c>
    </row>
    <row r="14" spans="1:11" s="2" customFormat="1" x14ac:dyDescent="0.3">
      <c r="A14" s="2" t="s">
        <v>18</v>
      </c>
      <c r="B14" s="10">
        <f>IF(B4&gt;0,B6/B4,"")</f>
        <v>0.13500342183610931</v>
      </c>
      <c r="C14" s="10">
        <f t="shared" ref="C14:K14" si="0">IF(C4&gt;0,C6/C4,"")</f>
        <v>0.16152756566714496</v>
      </c>
      <c r="D14" s="10">
        <f t="shared" si="0"/>
        <v>0.18021556706165368</v>
      </c>
      <c r="E14" s="10">
        <f t="shared" si="0"/>
        <v>0.18352853887328421</v>
      </c>
      <c r="F14" s="10">
        <f t="shared" si="0"/>
        <v>0.17667302036345445</v>
      </c>
      <c r="G14" s="10">
        <f t="shared" si="0"/>
        <v>0.18062429471402042</v>
      </c>
      <c r="H14" s="10">
        <f t="shared" si="0"/>
        <v>0.17974658927084169</v>
      </c>
      <c r="I14" s="10">
        <f t="shared" si="0"/>
        <v>0.16724622924792049</v>
      </c>
      <c r="J14" s="10">
        <f t="shared" si="0"/>
        <v>0.16869155851167211</v>
      </c>
      <c r="K14" s="10">
        <f t="shared" si="0"/>
        <v>0.18246481044727608</v>
      </c>
    </row>
    <row r="22" s="20" customFormat="1" x14ac:dyDescent="0.3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4"/>
  <sheetViews>
    <sheetView zoomScaleNormal="100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8" sqref="K8"/>
    </sheetView>
  </sheetViews>
  <sheetFormatPr defaultColWidth="8.88671875" defaultRowHeight="14.4" x14ac:dyDescent="0.3"/>
  <cols>
    <col min="1" max="1" width="22.88671875" bestFit="1" customWidth="1"/>
    <col min="2" max="2" width="13.44140625" customWidth="1"/>
    <col min="3" max="11" width="15.44140625" customWidth="1"/>
  </cols>
  <sheetData>
    <row r="1" spans="1:11" s="2" customFormat="1" x14ac:dyDescent="0.3">
      <c r="A1" s="2" t="str">
        <f>'Profit &amp; Loss'!A1</f>
        <v>RELIANCE INDUSTRIES LTD</v>
      </c>
      <c r="E1" t="str">
        <f>UPDATE</f>
        <v/>
      </c>
      <c r="G1"/>
      <c r="J1" s="2" t="s">
        <v>1</v>
      </c>
    </row>
    <row r="2" spans="1:11" x14ac:dyDescent="0.3">
      <c r="G2" s="2"/>
      <c r="H2" s="2"/>
    </row>
    <row r="3" spans="1:11" x14ac:dyDescent="0.3">
      <c r="A3" s="11" t="s">
        <v>2</v>
      </c>
      <c r="B3" s="12">
        <f>'Data Sheet'!B56</f>
        <v>42094</v>
      </c>
      <c r="C3" s="12">
        <f>'Data Sheet'!C56</f>
        <v>42460</v>
      </c>
      <c r="D3" s="12">
        <f>'Data Sheet'!D56</f>
        <v>42825</v>
      </c>
      <c r="E3" s="12">
        <f>'Data Sheet'!E56</f>
        <v>43190</v>
      </c>
      <c r="F3" s="12">
        <f>'Data Sheet'!F56</f>
        <v>43555</v>
      </c>
      <c r="G3" s="12">
        <f>'Data Sheet'!G56</f>
        <v>43921</v>
      </c>
      <c r="H3" s="12">
        <f>'Data Sheet'!H56</f>
        <v>44286</v>
      </c>
      <c r="I3" s="12">
        <f>'Data Sheet'!I56</f>
        <v>44651</v>
      </c>
      <c r="J3" s="12">
        <f>'Data Sheet'!J56</f>
        <v>45016</v>
      </c>
      <c r="K3" s="12">
        <f>'Data Sheet'!K56</f>
        <v>45382</v>
      </c>
    </row>
    <row r="4" spans="1:11" x14ac:dyDescent="0.3">
      <c r="A4" t="s">
        <v>24</v>
      </c>
      <c r="B4" s="14">
        <f>'Data Sheet'!B57</f>
        <v>2943</v>
      </c>
      <c r="C4" s="14">
        <f>'Data Sheet'!C57</f>
        <v>2948</v>
      </c>
      <c r="D4" s="14">
        <f>'Data Sheet'!D57</f>
        <v>2959</v>
      </c>
      <c r="E4" s="14">
        <f>'Data Sheet'!E57</f>
        <v>5922</v>
      </c>
      <c r="F4" s="14">
        <f>'Data Sheet'!F57</f>
        <v>5926</v>
      </c>
      <c r="G4" s="14">
        <f>'Data Sheet'!G57</f>
        <v>6339</v>
      </c>
      <c r="H4" s="14">
        <f>'Data Sheet'!H57</f>
        <v>6445</v>
      </c>
      <c r="I4" s="14">
        <f>'Data Sheet'!I57</f>
        <v>6765</v>
      </c>
      <c r="J4" s="14">
        <f>'Data Sheet'!J57</f>
        <v>6766</v>
      </c>
      <c r="K4" s="14">
        <f>'Data Sheet'!K57</f>
        <v>6766</v>
      </c>
    </row>
    <row r="5" spans="1:11" x14ac:dyDescent="0.3">
      <c r="A5" t="s">
        <v>25</v>
      </c>
      <c r="B5" s="14">
        <f>'Data Sheet'!B58</f>
        <v>215556</v>
      </c>
      <c r="C5" s="14">
        <f>'Data Sheet'!C58</f>
        <v>228608</v>
      </c>
      <c r="D5" s="14">
        <f>'Data Sheet'!D58</f>
        <v>260750</v>
      </c>
      <c r="E5" s="14">
        <f>'Data Sheet'!E58</f>
        <v>287584</v>
      </c>
      <c r="F5" s="14">
        <f>'Data Sheet'!F58</f>
        <v>381186</v>
      </c>
      <c r="G5" s="14">
        <f>'Data Sheet'!G58</f>
        <v>442827</v>
      </c>
      <c r="H5" s="14">
        <f>'Data Sheet'!H58</f>
        <v>693727</v>
      </c>
      <c r="I5" s="14">
        <f>'Data Sheet'!I58</f>
        <v>772720</v>
      </c>
      <c r="J5" s="14">
        <f>'Data Sheet'!J58</f>
        <v>709106</v>
      </c>
      <c r="K5" s="14">
        <f>'Data Sheet'!K58</f>
        <v>786715</v>
      </c>
    </row>
    <row r="6" spans="1:11" x14ac:dyDescent="0.3">
      <c r="A6" t="s">
        <v>62</v>
      </c>
      <c r="B6" s="14">
        <f>'Data Sheet'!B59</f>
        <v>168251</v>
      </c>
      <c r="C6" s="14">
        <f>'Data Sheet'!C59</f>
        <v>194714</v>
      </c>
      <c r="D6" s="14">
        <f>'Data Sheet'!D59</f>
        <v>217475</v>
      </c>
      <c r="E6" s="14">
        <f>'Data Sheet'!E59</f>
        <v>239843</v>
      </c>
      <c r="F6" s="14">
        <f>'Data Sheet'!F59</f>
        <v>307714</v>
      </c>
      <c r="G6" s="14">
        <f>'Data Sheet'!G59</f>
        <v>355133</v>
      </c>
      <c r="H6" s="14">
        <f>'Data Sheet'!H59</f>
        <v>278962</v>
      </c>
      <c r="I6" s="14">
        <f>'Data Sheet'!I59</f>
        <v>319158</v>
      </c>
      <c r="J6" s="14">
        <f>'Data Sheet'!J59</f>
        <v>451664</v>
      </c>
      <c r="K6" s="14">
        <f>'Data Sheet'!K59</f>
        <v>458991</v>
      </c>
    </row>
    <row r="7" spans="1:11" x14ac:dyDescent="0.3">
      <c r="A7" t="s">
        <v>63</v>
      </c>
      <c r="B7" s="14">
        <f>'Data Sheet'!B60</f>
        <v>117736</v>
      </c>
      <c r="C7" s="14">
        <f>'Data Sheet'!C60</f>
        <v>172727</v>
      </c>
      <c r="D7" s="14">
        <f>'Data Sheet'!D60</f>
        <v>225618</v>
      </c>
      <c r="E7" s="14">
        <f>'Data Sheet'!E60</f>
        <v>277924</v>
      </c>
      <c r="F7" s="14">
        <f>'Data Sheet'!F60</f>
        <v>302804</v>
      </c>
      <c r="G7" s="14">
        <f>'Data Sheet'!G60</f>
        <v>358716</v>
      </c>
      <c r="H7" s="14">
        <f>'Data Sheet'!H60</f>
        <v>340931</v>
      </c>
      <c r="I7" s="14">
        <f>'Data Sheet'!I60</f>
        <v>399979</v>
      </c>
      <c r="J7" s="14">
        <f>'Data Sheet'!J60</f>
        <v>438346</v>
      </c>
      <c r="K7" s="14">
        <f>'Data Sheet'!K60</f>
        <v>502576</v>
      </c>
    </row>
    <row r="8" spans="1:11" s="2" customFormat="1" x14ac:dyDescent="0.3">
      <c r="A8" s="2" t="s">
        <v>26</v>
      </c>
      <c r="B8" s="15">
        <f>'Data Sheet'!B61</f>
        <v>504486</v>
      </c>
      <c r="C8" s="15">
        <f>'Data Sheet'!C61</f>
        <v>598997</v>
      </c>
      <c r="D8" s="15">
        <f>'Data Sheet'!D61</f>
        <v>706802</v>
      </c>
      <c r="E8" s="15">
        <f>'Data Sheet'!E61</f>
        <v>811273</v>
      </c>
      <c r="F8" s="15">
        <f>'Data Sheet'!F61</f>
        <v>997630</v>
      </c>
      <c r="G8" s="15">
        <f>'Data Sheet'!G61</f>
        <v>1163015</v>
      </c>
      <c r="H8" s="15">
        <f>'Data Sheet'!H61</f>
        <v>1320065</v>
      </c>
      <c r="I8" s="15">
        <f>'Data Sheet'!I61</f>
        <v>1498622</v>
      </c>
      <c r="J8" s="15">
        <f>'Data Sheet'!J61</f>
        <v>1605882</v>
      </c>
      <c r="K8" s="15">
        <f>'Data Sheet'!K61</f>
        <v>1755048</v>
      </c>
    </row>
    <row r="9" spans="1:11" s="2" customFormat="1" x14ac:dyDescent="0.3"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3">
      <c r="A10" t="s">
        <v>27</v>
      </c>
      <c r="B10" s="14">
        <f>'Data Sheet'!B62</f>
        <v>156458</v>
      </c>
      <c r="C10" s="14">
        <f>'Data Sheet'!C62</f>
        <v>184910</v>
      </c>
      <c r="D10" s="14">
        <f>'Data Sheet'!D62</f>
        <v>198526</v>
      </c>
      <c r="E10" s="14">
        <f>'Data Sheet'!E62</f>
        <v>403885</v>
      </c>
      <c r="F10" s="14">
        <f>'Data Sheet'!F62</f>
        <v>398374</v>
      </c>
      <c r="G10" s="14">
        <f>'Data Sheet'!G62</f>
        <v>532658</v>
      </c>
      <c r="H10" s="14">
        <f>'Data Sheet'!H62</f>
        <v>541258</v>
      </c>
      <c r="I10" s="14">
        <f>'Data Sheet'!I62</f>
        <v>627798</v>
      </c>
      <c r="J10" s="14">
        <f>'Data Sheet'!J62</f>
        <v>724805</v>
      </c>
      <c r="K10" s="14">
        <f>'Data Sheet'!K62</f>
        <v>779985</v>
      </c>
    </row>
    <row r="11" spans="1:11" x14ac:dyDescent="0.3">
      <c r="A11" t="s">
        <v>28</v>
      </c>
      <c r="B11" s="14">
        <f>'Data Sheet'!B63</f>
        <v>166462</v>
      </c>
      <c r="C11" s="14">
        <f>'Data Sheet'!C63</f>
        <v>228697</v>
      </c>
      <c r="D11" s="14">
        <f>'Data Sheet'!D63</f>
        <v>324837</v>
      </c>
      <c r="E11" s="14">
        <f>'Data Sheet'!E63</f>
        <v>187022</v>
      </c>
      <c r="F11" s="14">
        <f>'Data Sheet'!F63</f>
        <v>179463</v>
      </c>
      <c r="G11" s="14">
        <f>'Data Sheet'!G63</f>
        <v>109106</v>
      </c>
      <c r="H11" s="14">
        <f>'Data Sheet'!H63</f>
        <v>125953</v>
      </c>
      <c r="I11" s="14">
        <f>'Data Sheet'!I63</f>
        <v>172506</v>
      </c>
      <c r="J11" s="14">
        <f>'Data Sheet'!J63</f>
        <v>293752</v>
      </c>
      <c r="K11" s="14">
        <f>'Data Sheet'!K63</f>
        <v>338855</v>
      </c>
    </row>
    <row r="12" spans="1:11" x14ac:dyDescent="0.3">
      <c r="A12" t="s">
        <v>29</v>
      </c>
      <c r="B12" s="14">
        <f>'Data Sheet'!B64</f>
        <v>76451</v>
      </c>
      <c r="C12" s="14">
        <f>'Data Sheet'!C64</f>
        <v>84015</v>
      </c>
      <c r="D12" s="14">
        <f>'Data Sheet'!D64</f>
        <v>82899</v>
      </c>
      <c r="E12" s="14">
        <f>'Data Sheet'!E64</f>
        <v>82862</v>
      </c>
      <c r="F12" s="14">
        <f>'Data Sheet'!F64</f>
        <v>235635</v>
      </c>
      <c r="G12" s="14">
        <f>'Data Sheet'!G64</f>
        <v>276767</v>
      </c>
      <c r="H12" s="14">
        <f>'Data Sheet'!H64</f>
        <v>364828</v>
      </c>
      <c r="I12" s="14">
        <f>'Data Sheet'!I64</f>
        <v>394264</v>
      </c>
      <c r="J12" s="14">
        <f>'Data Sheet'!J64</f>
        <v>235560</v>
      </c>
      <c r="K12" s="14">
        <f>'Data Sheet'!K64</f>
        <v>225672</v>
      </c>
    </row>
    <row r="13" spans="1:11" x14ac:dyDescent="0.3">
      <c r="A13" t="s">
        <v>64</v>
      </c>
      <c r="B13" s="14">
        <f>'Data Sheet'!B65</f>
        <v>105115</v>
      </c>
      <c r="C13" s="14">
        <f>'Data Sheet'!C65</f>
        <v>101375</v>
      </c>
      <c r="D13" s="14">
        <f>'Data Sheet'!D65</f>
        <v>100540</v>
      </c>
      <c r="E13" s="14">
        <f>'Data Sheet'!E65</f>
        <v>137504</v>
      </c>
      <c r="F13" s="14">
        <f>'Data Sheet'!F65</f>
        <v>184158</v>
      </c>
      <c r="G13" s="14">
        <f>'Data Sheet'!G65</f>
        <v>244484</v>
      </c>
      <c r="H13" s="14">
        <f>'Data Sheet'!H65</f>
        <v>288026</v>
      </c>
      <c r="I13" s="14">
        <f>'Data Sheet'!I65</f>
        <v>304054</v>
      </c>
      <c r="J13" s="14">
        <f>'Data Sheet'!J65</f>
        <v>351765</v>
      </c>
      <c r="K13" s="14">
        <f>'Data Sheet'!K65</f>
        <v>410536</v>
      </c>
    </row>
    <row r="14" spans="1:11" s="2" customFormat="1" x14ac:dyDescent="0.3">
      <c r="A14" s="2" t="s">
        <v>26</v>
      </c>
      <c r="B14" s="14">
        <f>'Data Sheet'!B66</f>
        <v>504486</v>
      </c>
      <c r="C14" s="14">
        <f>'Data Sheet'!C66</f>
        <v>598997</v>
      </c>
      <c r="D14" s="14">
        <f>'Data Sheet'!D66</f>
        <v>706802</v>
      </c>
      <c r="E14" s="14">
        <f>'Data Sheet'!E66</f>
        <v>811273</v>
      </c>
      <c r="F14" s="14">
        <f>'Data Sheet'!F66</f>
        <v>997630</v>
      </c>
      <c r="G14" s="14">
        <f>'Data Sheet'!G66</f>
        <v>1163015</v>
      </c>
      <c r="H14" s="14">
        <f>'Data Sheet'!H66</f>
        <v>1320065</v>
      </c>
      <c r="I14" s="14">
        <f>'Data Sheet'!I66</f>
        <v>1498622</v>
      </c>
      <c r="J14" s="14">
        <f>'Data Sheet'!J66</f>
        <v>1605882</v>
      </c>
      <c r="K14" s="14">
        <f>'Data Sheet'!K66</f>
        <v>1755048</v>
      </c>
    </row>
    <row r="15" spans="1:11" x14ac:dyDescent="0.3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">
      <c r="A16" t="s">
        <v>30</v>
      </c>
      <c r="B16" s="4">
        <f>B13-B7</f>
        <v>-12621</v>
      </c>
      <c r="C16" s="4">
        <f t="shared" ref="C16:K16" si="0">C13-C7</f>
        <v>-71352</v>
      </c>
      <c r="D16" s="4">
        <f t="shared" si="0"/>
        <v>-125078</v>
      </c>
      <c r="E16" s="4">
        <f t="shared" si="0"/>
        <v>-140420</v>
      </c>
      <c r="F16" s="4">
        <f t="shared" si="0"/>
        <v>-118646</v>
      </c>
      <c r="G16" s="4">
        <f t="shared" si="0"/>
        <v>-114232</v>
      </c>
      <c r="H16" s="4">
        <f t="shared" si="0"/>
        <v>-52905</v>
      </c>
      <c r="I16" s="4">
        <f t="shared" si="0"/>
        <v>-95925</v>
      </c>
      <c r="J16" s="4">
        <f t="shared" si="0"/>
        <v>-86581</v>
      </c>
      <c r="K16" s="4">
        <f t="shared" si="0"/>
        <v>-92040</v>
      </c>
    </row>
    <row r="17" spans="1:11" x14ac:dyDescent="0.3">
      <c r="A17" t="s">
        <v>44</v>
      </c>
      <c r="B17" s="4">
        <f>'Data Sheet'!B67</f>
        <v>5315</v>
      </c>
      <c r="C17" s="4">
        <f>'Data Sheet'!C67</f>
        <v>4465</v>
      </c>
      <c r="D17" s="4">
        <f>'Data Sheet'!D67</f>
        <v>8177</v>
      </c>
      <c r="E17" s="4">
        <f>'Data Sheet'!E67</f>
        <v>17555</v>
      </c>
      <c r="F17" s="4">
        <f>'Data Sheet'!F67</f>
        <v>30089</v>
      </c>
      <c r="G17" s="4">
        <f>'Data Sheet'!G67</f>
        <v>19656</v>
      </c>
      <c r="H17" s="4">
        <f>'Data Sheet'!H67</f>
        <v>19014</v>
      </c>
      <c r="I17" s="4">
        <f>'Data Sheet'!I67</f>
        <v>23640</v>
      </c>
      <c r="J17" s="4">
        <f>'Data Sheet'!J67</f>
        <v>28448</v>
      </c>
      <c r="K17" s="4">
        <f>'Data Sheet'!K67</f>
        <v>31628</v>
      </c>
    </row>
    <row r="18" spans="1:11" x14ac:dyDescent="0.3">
      <c r="A18" t="s">
        <v>45</v>
      </c>
      <c r="B18" s="4">
        <f>'Data Sheet'!B68</f>
        <v>53248</v>
      </c>
      <c r="C18" s="4">
        <f>'Data Sheet'!C68</f>
        <v>46486</v>
      </c>
      <c r="D18" s="4">
        <f>'Data Sheet'!D68</f>
        <v>48951</v>
      </c>
      <c r="E18" s="4">
        <f>'Data Sheet'!E68</f>
        <v>60837</v>
      </c>
      <c r="F18" s="4">
        <f>'Data Sheet'!F68</f>
        <v>67561</v>
      </c>
      <c r="G18" s="4">
        <f>'Data Sheet'!G68</f>
        <v>73903</v>
      </c>
      <c r="H18" s="4">
        <f>'Data Sheet'!H68</f>
        <v>81672</v>
      </c>
      <c r="I18" s="4">
        <f>'Data Sheet'!I68</f>
        <v>107778</v>
      </c>
      <c r="J18" s="4">
        <f>'Data Sheet'!J68</f>
        <v>140008</v>
      </c>
      <c r="K18" s="4">
        <f>'Data Sheet'!K68</f>
        <v>152770</v>
      </c>
    </row>
    <row r="20" spans="1:11" x14ac:dyDescent="0.3">
      <c r="A20" t="s">
        <v>46</v>
      </c>
      <c r="B20" s="4">
        <f>IF('Profit &amp; Loss'!B4&gt;0,'Balance Sheet'!B17/('Profit &amp; Loss'!B4/365),0)</f>
        <v>5.1819446967187721</v>
      </c>
      <c r="C20" s="4">
        <f>IF('Profit &amp; Loss'!C4&gt;0,'Balance Sheet'!C17/('Profit &amp; Loss'!C4/365),0)</f>
        <v>5.9788211297109504</v>
      </c>
      <c r="D20" s="4">
        <f>IF('Profit &amp; Loss'!D4&gt;0,'Balance Sheet'!D17/('Profit &amp; Loss'!D4/365),0)</f>
        <v>9.8192654151615049</v>
      </c>
      <c r="E20" s="4">
        <f>IF('Profit &amp; Loss'!E4&gt;0,'Balance Sheet'!E17/('Profit &amp; Loss'!E4/365),0)</f>
        <v>16.395081661007669</v>
      </c>
      <c r="F20" s="4">
        <f>IF('Profit &amp; Loss'!F4&gt;0,'Balance Sheet'!F17/('Profit &amp; Loss'!F4/365),0)</f>
        <v>19.323895857563382</v>
      </c>
      <c r="G20" s="4">
        <f>IF('Profit &amp; Loss'!G4&gt;0,'Balance Sheet'!G17/('Profit &amp; Loss'!G4/365),0)</f>
        <v>12.023952577516555</v>
      </c>
      <c r="H20" s="4">
        <f>IF('Profit &amp; Loss'!H4&gt;0,'Balance Sheet'!H17/('Profit &amp; Loss'!H4/365),0)</f>
        <v>14.883134930421376</v>
      </c>
      <c r="I20" s="4">
        <f>IF('Profit &amp; Loss'!I4&gt;0,'Balance Sheet'!I17/('Profit &amp; Loss'!I4/365),0)</f>
        <v>12.421095968894717</v>
      </c>
      <c r="J20" s="4">
        <f>IF('Profit &amp; Loss'!J4&gt;0,'Balance Sheet'!J17/('Profit &amp; Loss'!J4/365),0)</f>
        <v>11.847977398345039</v>
      </c>
      <c r="K20" s="4">
        <f>IF('Profit &amp; Loss'!K4&gt;0,'Balance Sheet'!K17/('Profit &amp; Loss'!K4/365),0)</f>
        <v>12.840593476826974</v>
      </c>
    </row>
    <row r="21" spans="1:11" x14ac:dyDescent="0.3">
      <c r="A21" t="s">
        <v>47</v>
      </c>
      <c r="B21" s="4">
        <f>IF('Balance Sheet'!B18&gt;0,'Profit &amp; Loss'!B4/'Balance Sheet'!B18,0)</f>
        <v>7.0307241586538458</v>
      </c>
      <c r="C21" s="4">
        <f>IF('Balance Sheet'!C18&gt;0,'Profit &amp; Loss'!C4/'Balance Sheet'!C18,0)</f>
        <v>5.8637654347545496</v>
      </c>
      <c r="D21" s="4">
        <f>IF('Balance Sheet'!D18&gt;0,'Profit &amp; Loss'!D4/'Balance Sheet'!D18,0)</f>
        <v>6.2093522093522093</v>
      </c>
      <c r="E21" s="4">
        <f>IF('Balance Sheet'!E18&gt;0,'Profit &amp; Loss'!E4/'Balance Sheet'!E18,0)</f>
        <v>6.4241004651774416</v>
      </c>
      <c r="F21" s="4">
        <f>IF('Balance Sheet'!F18&gt;0,'Profit &amp; Loss'!F4/'Balance Sheet'!F18,0)</f>
        <v>8.41220526635189</v>
      </c>
      <c r="G21" s="4">
        <f>IF('Balance Sheet'!G18&gt;0,'Profit &amp; Loss'!G4/'Balance Sheet'!G18,0)</f>
        <v>8.0738129710566557</v>
      </c>
      <c r="H21" s="4">
        <f>IF('Balance Sheet'!H18&gt;0,'Profit &amp; Loss'!H4/'Balance Sheet'!H18,0)</f>
        <v>5.7095087667744151</v>
      </c>
      <c r="I21" s="4">
        <f>IF('Balance Sheet'!I18&gt;0,'Profit &amp; Loss'!I4/'Balance Sheet'!I18,0)</f>
        <v>6.4454062981313438</v>
      </c>
      <c r="J21" s="4">
        <f>IF('Balance Sheet'!J18&gt;0,'Profit &amp; Loss'!J4/'Balance Sheet'!J18,0)</f>
        <v>6.2596137363579221</v>
      </c>
      <c r="K21" s="4">
        <f>IF('Balance Sheet'!K18&gt;0,'Profit &amp; Loss'!K4/'Balance Sheet'!K18,0)</f>
        <v>5.8849315965176405</v>
      </c>
    </row>
    <row r="23" spans="1:11" s="2" customFormat="1" x14ac:dyDescent="0.3">
      <c r="A23" s="2" t="s">
        <v>50</v>
      </c>
      <c r="B23" s="10">
        <f>IF(SUM('Balance Sheet'!B4:B5)&gt;0,'Profit &amp; Loss'!B12/SUM('Balance Sheet'!B4:B5),"")</f>
        <v>0.10785404052192459</v>
      </c>
      <c r="C23" s="10">
        <f>IF(SUM('Balance Sheet'!C4:C5)&gt;0,'Profit &amp; Loss'!C12/SUM('Balance Sheet'!C4:C5),"")</f>
        <v>0.12845704710739519</v>
      </c>
      <c r="D23" s="10">
        <f>IF(SUM('Balance Sheet'!D4:D5)&gt;0,'Profit &amp; Loss'!D12/SUM('Balance Sheet'!D4:D5),"")</f>
        <v>0.11338634631355016</v>
      </c>
      <c r="E23" s="10">
        <f>IF(SUM('Balance Sheet'!E4:E5)&gt;0,'Profit &amp; Loss'!E12/SUM('Balance Sheet'!E4:E5),"")</f>
        <v>0.12291060489393743</v>
      </c>
      <c r="F23" s="10">
        <f>IF(SUM('Balance Sheet'!F4:F5)&gt;0,'Profit &amp; Loss'!F12/SUM('Balance Sheet'!F4:F5),"")</f>
        <v>0.10226497757754861</v>
      </c>
      <c r="G23" s="10">
        <f>IF(SUM('Balance Sheet'!G4:G5)&gt;0,'Profit &amp; Loss'!G12/SUM('Balance Sheet'!G4:G5),"")</f>
        <v>8.7615714457461163E-2</v>
      </c>
      <c r="H23" s="10">
        <f>IF(SUM('Balance Sheet'!H4:H5)&gt;0,'Profit &amp; Loss'!H12/SUM('Balance Sheet'!H4:H5),"")</f>
        <v>7.0165616448529797E-2</v>
      </c>
      <c r="I23" s="10">
        <f>IF(SUM('Balance Sheet'!I4:I5)&gt;0,'Profit &amp; Loss'!I12/SUM('Balance Sheet'!I4:I5),"")</f>
        <v>7.787834275194519E-2</v>
      </c>
      <c r="J23" s="10">
        <f>IF(SUM('Balance Sheet'!J4:J5)&gt;0,'Profit &amp; Loss'!J12/SUM('Balance Sheet'!J4:J5),"")</f>
        <v>9.3175875016762777E-2</v>
      </c>
      <c r="K23" s="10">
        <f>IF(SUM('Balance Sheet'!K4:K5)&gt;0,'Profit &amp; Loss'!K12/SUM('Balance Sheet'!K4:K5),"")</f>
        <v>8.7741231359036956E-2</v>
      </c>
    </row>
    <row r="24" spans="1:11" s="2" customFormat="1" x14ac:dyDescent="0.3">
      <c r="A24" s="2" t="s">
        <v>51</v>
      </c>
      <c r="B24" s="10"/>
      <c r="C24" s="10">
        <f>IF((B4+B5+B6+C4+C5+C6)&gt;0,('Profit &amp; Loss'!C10+'Profit &amp; Loss'!C9)*2/(B4+B5+B6+C4+C5+C6),"")</f>
        <v>0.1043713561781998</v>
      </c>
      <c r="D24" s="10">
        <f>IF((C4+C5+C6+D4+D5+D6)&gt;0,('Profit &amp; Loss'!D10+'Profit &amp; Loss'!D9)*2/(C4+C5+C6+D4+D5+D6),"")</f>
        <v>9.6716748176767092E-2</v>
      </c>
      <c r="E24" s="10">
        <f>IF((D4+D5+D6+E4+E5+E6)&gt;0,('Profit &amp; Loss'!E10+'Profit &amp; Loss'!E9)*2/(D4+D5+D6+E4+E5+E6),"")</f>
        <v>0.1133092762877107</v>
      </c>
      <c r="F24" s="10">
        <f>IF((E4+E5+E6+F4+F5+F6)&gt;0,('Profit &amp; Loss'!F10+'Profit &amp; Loss'!F9)*2/(E4+E5+E6+F4+F5+F6),"")</f>
        <v>0.11679443076108861</v>
      </c>
      <c r="G24" s="10">
        <f>IF((F4+F5+F6+G4+G5+G6)&gt;0,('Profit &amp; Loss'!G10+'Profit &amp; Loss'!G9)*2/(F4+F5+F6+G4+G5+G6),"")</f>
        <v>0.10090286000166764</v>
      </c>
      <c r="H24" s="10">
        <f>IF((G4+G5+G6+H4+H5+H6)&gt;0,('Profit &amp; Loss'!H10+'Profit &amp; Loss'!H9)*2/(G4+G5+G6+H4+H5+H6),"")</f>
        <v>8.5957812825040239E-2</v>
      </c>
      <c r="I24" s="10">
        <f>IF((H4+H5+H6+I4+I5+I6)&gt;0,('Profit &amp; Loss'!I10+'Profit &amp; Loss'!I9)*2/(H4+H5+H6+I4+I5+I6),"")</f>
        <v>9.4715650428318338E-2</v>
      </c>
      <c r="J24" s="10">
        <f>IF((I4+I5+I6+J4+J5+J6)&gt;0,('Profit &amp; Loss'!J10+'Profit &amp; Loss'!J9)*2/(I4+I5+I6+J4+J5+J6),"")</f>
        <v>0.10064077021276784</v>
      </c>
      <c r="K24" s="10">
        <f>IF((J4+J5+J6+K4+K5+K6)&gt;0,('Profit &amp; Loss'!K10+'Profit &amp; Loss'!K9)*2/(J4+J5+J6+K4+K5+K6),"")</f>
        <v>0.10565667551512227</v>
      </c>
    </row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8"/>
  <sheetViews>
    <sheetView zoomScaleNormal="10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88671875" defaultRowHeight="14.4" x14ac:dyDescent="0.3"/>
  <cols>
    <col min="1" max="1" width="26.88671875" bestFit="1" customWidth="1"/>
    <col min="2" max="6" width="13.44140625" customWidth="1"/>
    <col min="7" max="11" width="13.44140625" bestFit="1" customWidth="1"/>
  </cols>
  <sheetData>
    <row r="1" spans="1:11" s="2" customFormat="1" x14ac:dyDescent="0.3">
      <c r="A1" s="2" t="str">
        <f>'Balance Sheet'!A1</f>
        <v>RELIANCE INDUSTRIES LTD</v>
      </c>
      <c r="E1" t="str">
        <f>UPDATE</f>
        <v/>
      </c>
      <c r="F1"/>
      <c r="J1" s="2" t="s">
        <v>1</v>
      </c>
    </row>
    <row r="3" spans="1:11" s="2" customFormat="1" x14ac:dyDescent="0.3">
      <c r="A3" s="11" t="s">
        <v>2</v>
      </c>
      <c r="B3" s="12">
        <f>'Data Sheet'!B81</f>
        <v>42094</v>
      </c>
      <c r="C3" s="12">
        <f>'Data Sheet'!C81</f>
        <v>42460</v>
      </c>
      <c r="D3" s="12">
        <f>'Data Sheet'!D81</f>
        <v>42825</v>
      </c>
      <c r="E3" s="12">
        <f>'Data Sheet'!E81</f>
        <v>43190</v>
      </c>
      <c r="F3" s="12">
        <f>'Data Sheet'!F81</f>
        <v>43555</v>
      </c>
      <c r="G3" s="12">
        <f>'Data Sheet'!G81</f>
        <v>43921</v>
      </c>
      <c r="H3" s="12">
        <f>'Data Sheet'!H81</f>
        <v>44286</v>
      </c>
      <c r="I3" s="12">
        <f>'Data Sheet'!I81</f>
        <v>44651</v>
      </c>
      <c r="J3" s="12">
        <f>'Data Sheet'!J81</f>
        <v>45016</v>
      </c>
      <c r="K3" s="12">
        <f>'Data Sheet'!K81</f>
        <v>45382</v>
      </c>
    </row>
    <row r="4" spans="1:11" s="2" customFormat="1" x14ac:dyDescent="0.3">
      <c r="A4" s="2" t="s">
        <v>32</v>
      </c>
      <c r="B4" s="1">
        <f>'Data Sheet'!B82</f>
        <v>34374</v>
      </c>
      <c r="C4" s="1">
        <f>'Data Sheet'!C82</f>
        <v>38134</v>
      </c>
      <c r="D4" s="1">
        <f>'Data Sheet'!D82</f>
        <v>49550</v>
      </c>
      <c r="E4" s="1">
        <f>'Data Sheet'!E82</f>
        <v>71459</v>
      </c>
      <c r="F4" s="1">
        <f>'Data Sheet'!F82</f>
        <v>42346</v>
      </c>
      <c r="G4" s="1">
        <f>'Data Sheet'!G82</f>
        <v>94877</v>
      </c>
      <c r="H4" s="1">
        <f>'Data Sheet'!H82</f>
        <v>26958</v>
      </c>
      <c r="I4" s="1">
        <f>'Data Sheet'!I82</f>
        <v>110654</v>
      </c>
      <c r="J4" s="1">
        <f>'Data Sheet'!J82</f>
        <v>115032</v>
      </c>
      <c r="K4" s="1">
        <f>'Data Sheet'!K82</f>
        <v>158788</v>
      </c>
    </row>
    <row r="5" spans="1:11" x14ac:dyDescent="0.3">
      <c r="A5" t="s">
        <v>33</v>
      </c>
      <c r="B5" s="6">
        <f>'Data Sheet'!B83</f>
        <v>-64706</v>
      </c>
      <c r="C5" s="6">
        <f>'Data Sheet'!C83</f>
        <v>-36186</v>
      </c>
      <c r="D5" s="6">
        <f>'Data Sheet'!D83</f>
        <v>-66201</v>
      </c>
      <c r="E5" s="6">
        <f>'Data Sheet'!E83</f>
        <v>-68192</v>
      </c>
      <c r="F5" s="6">
        <f>'Data Sheet'!F83</f>
        <v>-94507</v>
      </c>
      <c r="G5" s="6">
        <f>'Data Sheet'!G83</f>
        <v>-72497</v>
      </c>
      <c r="H5" s="6">
        <f>'Data Sheet'!H83</f>
        <v>-142385</v>
      </c>
      <c r="I5" s="6">
        <f>'Data Sheet'!I83</f>
        <v>-109162</v>
      </c>
      <c r="J5" s="6">
        <f>'Data Sheet'!J83</f>
        <v>-93001</v>
      </c>
      <c r="K5" s="6">
        <f>'Data Sheet'!K83</f>
        <v>-113581</v>
      </c>
    </row>
    <row r="6" spans="1:11" x14ac:dyDescent="0.3">
      <c r="A6" t="s">
        <v>34</v>
      </c>
      <c r="B6" s="6">
        <f>'Data Sheet'!B84</f>
        <v>8444</v>
      </c>
      <c r="C6" s="6">
        <f>'Data Sheet'!C84</f>
        <v>-3210</v>
      </c>
      <c r="D6" s="6">
        <f>'Data Sheet'!D84</f>
        <v>8617</v>
      </c>
      <c r="E6" s="6">
        <f>'Data Sheet'!E84</f>
        <v>-2001</v>
      </c>
      <c r="F6" s="6">
        <f>'Data Sheet'!F84</f>
        <v>55906</v>
      </c>
      <c r="G6" s="6">
        <f>'Data Sheet'!G84</f>
        <v>-2541</v>
      </c>
      <c r="H6" s="6">
        <f>'Data Sheet'!H84</f>
        <v>101904</v>
      </c>
      <c r="I6" s="6">
        <f>'Data Sheet'!I84</f>
        <v>17289</v>
      </c>
      <c r="J6" s="6">
        <f>'Data Sheet'!J84</f>
        <v>10455</v>
      </c>
      <c r="K6" s="6">
        <f>'Data Sheet'!K84</f>
        <v>-16646</v>
      </c>
    </row>
    <row r="7" spans="1:11" s="2" customFormat="1" x14ac:dyDescent="0.3">
      <c r="A7" s="2" t="s">
        <v>35</v>
      </c>
      <c r="B7" s="1">
        <f>'Data Sheet'!B85</f>
        <v>-21888</v>
      </c>
      <c r="C7" s="1">
        <f>'Data Sheet'!C85</f>
        <v>-1262</v>
      </c>
      <c r="D7" s="1">
        <f>'Data Sheet'!D85</f>
        <v>-8034</v>
      </c>
      <c r="E7" s="1">
        <f>'Data Sheet'!E85</f>
        <v>1266</v>
      </c>
      <c r="F7" s="1">
        <f>'Data Sheet'!F85</f>
        <v>3745</v>
      </c>
      <c r="G7" s="1">
        <f>'Data Sheet'!G85</f>
        <v>19839</v>
      </c>
      <c r="H7" s="1">
        <f>'Data Sheet'!H85</f>
        <v>-13523</v>
      </c>
      <c r="I7" s="1">
        <f>'Data Sheet'!I85</f>
        <v>18781</v>
      </c>
      <c r="J7" s="1">
        <f>'Data Sheet'!J85</f>
        <v>32486</v>
      </c>
      <c r="K7" s="1">
        <f>'Data Sheet'!K85</f>
        <v>28561</v>
      </c>
    </row>
    <row r="8" spans="1:11" x14ac:dyDescent="0.3">
      <c r="B8" s="6"/>
      <c r="C8" s="6"/>
      <c r="D8" s="6"/>
      <c r="E8" s="6"/>
      <c r="F8" s="6"/>
      <c r="G8" s="6"/>
      <c r="H8" s="6"/>
      <c r="I8" s="6"/>
      <c r="J8" s="6"/>
      <c r="K8" s="6"/>
    </row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WACC</vt:lpstr>
      <vt:lpstr>BETA Reliance</vt:lpstr>
      <vt:lpstr>BETA IOCL</vt:lpstr>
      <vt:lpstr>BETA BPCL</vt:lpstr>
      <vt:lpstr>BETA HPCL</vt:lpstr>
      <vt:lpstr>BETA MRPL</vt:lpstr>
      <vt:lpstr>Beta Comps</vt:lpstr>
      <vt:lpstr>RM</vt:lpstr>
      <vt:lpstr>historical fs</vt:lpstr>
      <vt:lpstr>ratio analysis</vt:lpstr>
      <vt:lpstr>CFS</vt:lpstr>
      <vt:lpstr>Forecasting</vt:lpstr>
      <vt:lpstr>RAW FS</vt:lpstr>
      <vt:lpstr>Intrisic Growth</vt:lpstr>
      <vt:lpstr>FCFF</vt:lpstr>
      <vt:lpstr>Data Sheet</vt:lpstr>
      <vt:lpstr>Profit &amp; Loss</vt:lpstr>
      <vt:lpstr>Quarters</vt:lpstr>
      <vt:lpstr>Balance Sheet</vt:lpstr>
      <vt:lpstr>Cash Flow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Siddhartha Khandelwal</cp:lastModifiedBy>
  <cp:lastPrinted>2012-12-06T18:14:13Z</cp:lastPrinted>
  <dcterms:created xsi:type="dcterms:W3CDTF">2012-08-17T09:55:37Z</dcterms:created>
  <dcterms:modified xsi:type="dcterms:W3CDTF">2025-02-23T16:11:12Z</dcterms:modified>
</cp:coreProperties>
</file>