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oni\Documents\LPEDT\project\Update#4\"/>
    </mc:Choice>
  </mc:AlternateContent>
  <xr:revisionPtr revIDLastSave="0" documentId="13_ncr:1_{E00CC504-DD10-42EB-8336-0DC7A4B468D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ubit_power_energy_calc" sheetId="5" r:id="rId1"/>
    <sheet name="bq570_solar_panel" sheetId="1" r:id="rId2"/>
    <sheet name="bq570_resistor_voltage_calc" sheetId="4" r:id="rId3"/>
    <sheet name="Timing_info" sheetId="6" r:id="rId4"/>
  </sheets>
  <definedNames>
    <definedName name="RSET1">bq570_resistor_voltage_calc!$C$30</definedName>
    <definedName name="RSET2">bq570_resistor_voltage_calc!$C$31</definedName>
    <definedName name="RSET3">bq570_resistor_voltage_calc!$C$32</definedName>
    <definedName name="VBIAS">bq570_resistor_voltage_calc!#REF!</definedName>
    <definedName name="VOUT">bq570_resistor_voltage_calc!#REF!</definedName>
    <definedName name="VPGOOD">bq570_resistor_voltage_calc!#REF!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O19" i="4"/>
  <c r="I21" i="4"/>
  <c r="L31" i="5"/>
  <c r="K31" i="5"/>
  <c r="J31" i="5"/>
  <c r="I31" i="5"/>
  <c r="H31" i="5"/>
  <c r="G31" i="5"/>
  <c r="F31" i="5"/>
  <c r="E31" i="5"/>
  <c r="D31" i="5"/>
  <c r="C31" i="5"/>
  <c r="J30" i="5"/>
  <c r="G30" i="5"/>
  <c r="B28" i="5"/>
  <c r="B27" i="5"/>
  <c r="B26" i="5"/>
  <c r="B25" i="5"/>
  <c r="B24" i="5"/>
  <c r="B23" i="5"/>
  <c r="B22" i="5"/>
  <c r="S21" i="5"/>
  <c r="S22" i="5" s="1"/>
  <c r="B21" i="5"/>
  <c r="B20" i="5"/>
  <c r="B19" i="5"/>
  <c r="M13" i="5"/>
  <c r="M12" i="5"/>
  <c r="M11" i="5"/>
  <c r="W10" i="5"/>
  <c r="M10" i="5"/>
  <c r="C30" i="5" s="1"/>
  <c r="M9" i="5"/>
  <c r="M8" i="5"/>
  <c r="M7" i="5"/>
  <c r="M6" i="5"/>
  <c r="F30" i="5" s="1"/>
  <c r="M5" i="5"/>
  <c r="L30" i="5" s="1"/>
  <c r="M4" i="5"/>
  <c r="I13" i="4"/>
  <c r="J13" i="4" s="1"/>
  <c r="U13" i="4"/>
  <c r="V13" i="4" s="1"/>
  <c r="U19" i="4" s="1"/>
  <c r="C14" i="4"/>
  <c r="E14" i="4" s="1"/>
  <c r="C19" i="4" s="1"/>
  <c r="O14" i="4"/>
  <c r="P14" i="4"/>
  <c r="Q14" i="4"/>
  <c r="U14" i="4"/>
  <c r="U20" i="4" s="1"/>
  <c r="V14" i="4"/>
  <c r="W14" i="4"/>
  <c r="O15" i="4"/>
  <c r="P15" i="4"/>
  <c r="Q15" i="4"/>
  <c r="U15" i="4"/>
  <c r="V15" i="4" s="1"/>
  <c r="U21" i="4" s="1"/>
  <c r="O16" i="4"/>
  <c r="Q16" i="4" s="1"/>
  <c r="P16" i="4"/>
  <c r="P17" i="4" s="1"/>
  <c r="U16" i="4"/>
  <c r="U22" i="4" s="1"/>
  <c r="V16" i="4"/>
  <c r="W16" i="4"/>
  <c r="O20" i="4"/>
  <c r="O23" i="4" s="1"/>
  <c r="P23" i="4" s="1"/>
  <c r="U24" i="4" l="1"/>
  <c r="W24" i="4" s="1"/>
  <c r="W15" i="4"/>
  <c r="K13" i="4"/>
  <c r="I19" i="4" s="1"/>
  <c r="D14" i="4"/>
  <c r="Q17" i="4"/>
  <c r="C34" i="5"/>
  <c r="H30" i="5"/>
  <c r="I30" i="5"/>
  <c r="K30" i="5"/>
  <c r="D30" i="5"/>
  <c r="E30" i="5"/>
  <c r="V17" i="4"/>
  <c r="W13" i="4"/>
  <c r="C15" i="4"/>
  <c r="I14" i="4"/>
  <c r="W17" i="4" l="1"/>
  <c r="C40" i="5"/>
  <c r="C41" i="5" s="1"/>
  <c r="C35" i="5"/>
  <c r="C39" i="5" s="1"/>
  <c r="V10" i="5" s="1"/>
  <c r="U34" i="5" s="1"/>
  <c r="U35" i="5" s="1"/>
  <c r="U36" i="5" s="1"/>
  <c r="K14" i="4"/>
  <c r="I20" i="4" s="1"/>
  <c r="I15" i="4"/>
  <c r="J14" i="4"/>
  <c r="D15" i="4"/>
  <c r="C20" i="4" s="1"/>
  <c r="E15" i="4"/>
  <c r="I23" i="4" l="1"/>
  <c r="K23" i="4" s="1"/>
  <c r="I24" i="4"/>
  <c r="K24" i="4" s="1"/>
  <c r="D16" i="4"/>
  <c r="C23" i="4"/>
  <c r="E23" i="4" s="1"/>
  <c r="E16" i="4"/>
  <c r="J15" i="4"/>
  <c r="J17" i="4" s="1"/>
  <c r="K15" i="4"/>
  <c r="K17" i="4" s="1"/>
  <c r="J16" i="4"/>
  <c r="K16" i="4"/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<sst xmlns="http://schemas.openxmlformats.org/spreadsheetml/2006/main" count="520" uniqueCount="312">
  <si>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</si>
  <si>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</si>
  <si>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</si>
  <si>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</si>
  <si>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</si>
  <si>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</si>
  <si>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</si>
  <si>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</si>
  <si>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</si>
  <si>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</si>
  <si>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</si>
  <si>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</si>
  <si>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</si>
  <si>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</si>
  <si>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</si>
  <si>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</si>
  <si>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</si>
  <si>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</si>
  <si>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</si>
  <si>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</si>
  <si>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</si>
  <si>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</si>
  <si>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</si>
  <si>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</si>
  <si>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</si>
  <si>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</si>
  <si>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</si>
  <si>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</si>
  <si>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</si>
  <si>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</si>
  <si>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</si>
  <si>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</si>
  <si>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</si>
  <si>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</si>
  <si>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</si>
  <si>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</si>
  <si>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</si>
  <si>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</si>
  <si>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</si>
  <si>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</si>
  <si>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</si>
  <si>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</si>
  <si>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</si>
  <si>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</si>
  <si>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</si>
  <si>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</si>
  <si>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</si>
  <si>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</si>
  <si>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</si>
  <si>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</si>
  <si>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</si>
  <si>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</si>
  <si>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</si>
  <si>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</si>
  <si>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</si>
  <si>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</si>
  <si>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</si>
  <si>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</si>
  <si>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</si>
  <si>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</si>
  <si>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</si>
  <si>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</si>
  <si>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</si>
  <si>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</si>
  <si>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</si>
  <si>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</si>
  <si>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</si>
  <si>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</si>
  <si>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% diff</t>
  </si>
  <si>
    <t>VREF_SAMP</t>
  </si>
  <si>
    <t>VBAT_OK_HYST (typ)</t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</si>
  <si>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</si>
  <si>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VOUT(typ)</t>
  </si>
  <si>
    <t>VBAT_OK (typ)</t>
  </si>
  <si>
    <t>VBAT_OV(typ)</t>
  </si>
  <si>
    <r>
      <t>M</t>
    </r>
    <r>
      <rPr>
        <sz val="11"/>
        <color theme="1"/>
        <rFont val="Symbol"/>
        <family val="1"/>
        <charset val="2"/>
      </rPr>
      <t>W</t>
    </r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</si>
  <si>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</si>
  <si>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t>ROC2</t>
  </si>
  <si>
    <t>ROUT2</t>
  </si>
  <si>
    <t>ROK3</t>
  </si>
  <si>
    <t>Selected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</si>
  <si>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</si>
  <si>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ROK2</t>
  </si>
  <si>
    <t>ROV2</t>
  </si>
  <si>
    <t>ROC1</t>
  </si>
  <si>
    <t>ROUT1</t>
  </si>
  <si>
    <t>ROK1</t>
  </si>
  <si>
    <t>ROV1</t>
  </si>
  <si>
    <t>VREF SAMP</t>
  </si>
  <si>
    <t>VOUT</t>
  </si>
  <si>
    <t>VBAT_OK_HYST</t>
  </si>
  <si>
    <t>Computed</t>
  </si>
  <si>
    <r>
      <t>M</t>
    </r>
    <r>
      <rPr>
        <sz val="11"/>
        <color rgb="FFC00000"/>
        <rFont val="Symbol"/>
        <family val="1"/>
        <charset val="2"/>
      </rPr>
      <t>W</t>
    </r>
  </si>
  <si>
    <t>VBAT_OK</t>
  </si>
  <si>
    <t>VBAT_OV</t>
  </si>
  <si>
    <t xml:space="preserve">&gt; </t>
  </si>
  <si>
    <t>&lt;</t>
  </si>
  <si>
    <t>Exact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</si>
  <si>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</si>
  <si>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MPP voltage</t>
  </si>
  <si>
    <t>&gt; VBAT_OK</t>
  </si>
  <si>
    <t>Desired</t>
  </si>
  <si>
    <t>Open Circuit Volts</t>
  </si>
  <si>
    <t>VIN_DC(OC)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</si>
  <si>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</si>
  <si>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t>&gt; VBAT_UV</t>
  </si>
  <si>
    <t>MPPT</t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</si>
  <si>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</si>
  <si>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</si>
  <si>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</si>
  <si>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below VBAT_OK.</t>
  </si>
  <si>
    <t>e.g. 4.2V for LiIon battery.</t>
  </si>
  <si>
    <t>solar panel's open circuit voltage.</t>
  </si>
  <si>
    <t>for VOUT of buck converter.</t>
  </si>
  <si>
    <t>VSTOR has risen above VBAT_OK_HYST or fallen</t>
  </si>
  <si>
    <t xml:space="preserve">Typically the max storage element voltage, </t>
  </si>
  <si>
    <t>Maximum power point threshold, e.g. ~0.7-0.8 of</t>
  </si>
  <si>
    <t>For the bq25570 only, comparator threshold</t>
  </si>
  <si>
    <t>Comparator threshold voltages indicating when</t>
  </si>
  <si>
    <t>Comparator threshold for VSTOR of charger.</t>
  </si>
  <si>
    <t>Fixed</t>
  </si>
  <si>
    <t>VBIAS</t>
  </si>
  <si>
    <t>Power and Energy Calculations for CUBIT (Smart Measuring Instrument)</t>
  </si>
  <si>
    <t>Supercap vs Battery analysis for CUBIT</t>
  </si>
  <si>
    <t>Current(uA)</t>
  </si>
  <si>
    <t>Voltage</t>
  </si>
  <si>
    <t>Power(uW)</t>
  </si>
  <si>
    <t>Considerations:</t>
  </si>
  <si>
    <t>state 1 - microcontroller startup</t>
  </si>
  <si>
    <t>Power Supply Quiescent</t>
  </si>
  <si>
    <t>8Hrs of continuous usage</t>
  </si>
  <si>
    <t>state 2 - LCD(display on), GPIO(peripheral on)</t>
  </si>
  <si>
    <t>Microcontroller EM2 mode</t>
  </si>
  <si>
    <t>Minimum of 3 Days battery life without requiring a recharge (8hrs/Day)</t>
  </si>
  <si>
    <t xml:space="preserve">state 2.1 - Bluetooth advertising </t>
  </si>
  <si>
    <t>Microcontroller GPIO</t>
  </si>
  <si>
    <t>state 2.2 - Bluetooth connected</t>
  </si>
  <si>
    <t>Rotary Encoder</t>
  </si>
  <si>
    <t>state 3 -  LCD(display on), GPIO(peripheral on), Bluetooth(on), take sensor measurement</t>
  </si>
  <si>
    <t>IMU sensor</t>
  </si>
  <si>
    <t>state 3.1 - use rotary encoder</t>
  </si>
  <si>
    <t>Magnetometer</t>
  </si>
  <si>
    <t>state 3.2 - use IMU sensor</t>
  </si>
  <si>
    <t>LCD Display</t>
  </si>
  <si>
    <t>Charge required for 8 Hrs of continuous measurement</t>
  </si>
  <si>
    <t>state 3.3 - use magnetometer</t>
  </si>
  <si>
    <t>Bluetooth Advertising</t>
  </si>
  <si>
    <t>state 4 - turn off sensor, LCD(display on), GPIO(peripheral on), bluetooth transmit(if bluetooth is connected)</t>
  </si>
  <si>
    <t>Bluetooth Connected</t>
  </si>
  <si>
    <t>Bluetooth Transmission</t>
  </si>
  <si>
    <t>1 unit time = 1 measurement = (estimated) 13.5s</t>
  </si>
  <si>
    <t>Super capacitor</t>
  </si>
  <si>
    <t>Supercap: https://www.tecategroup.com/products/data_sheet.php?i=TPLC-3R8/100MR12X25</t>
  </si>
  <si>
    <t>Capacitance</t>
  </si>
  <si>
    <t>Assumption for capacitance is based on energy requirements for Prof Graham's project energy requirement for his project &amp; multiplier (20)</t>
  </si>
  <si>
    <t>State 1</t>
  </si>
  <si>
    <t>State 2</t>
  </si>
  <si>
    <t>State 3</t>
  </si>
  <si>
    <t>State 4</t>
  </si>
  <si>
    <t>Vmax</t>
  </si>
  <si>
    <t>v</t>
  </si>
  <si>
    <t>State 2.1</t>
  </si>
  <si>
    <t>State 2.2</t>
  </si>
  <si>
    <t>State 3.1*</t>
  </si>
  <si>
    <t>State 3.2*</t>
  </si>
  <si>
    <t>State 3.3*</t>
  </si>
  <si>
    <t>Vmin</t>
  </si>
  <si>
    <t>P</t>
  </si>
  <si>
    <t>Average Supercap Voltage</t>
  </si>
  <si>
    <t>Energy (E)</t>
  </si>
  <si>
    <t>J</t>
  </si>
  <si>
    <t>Charge</t>
  </si>
  <si>
    <t>mAh</t>
  </si>
  <si>
    <t>Charge = (Energy) /(3.6 * average supercap voltage)</t>
  </si>
  <si>
    <t>This charge is not even enough for 8 hrs of continuous usage</t>
  </si>
  <si>
    <t>As required charge in this case is 109.42mAh</t>
  </si>
  <si>
    <t>Battery</t>
  </si>
  <si>
    <t>Battery: https://www.digikey.com/en/products/detail/jauch-quartz/LP802036JU-PCM-2-WIRES-50MM/9560981</t>
  </si>
  <si>
    <t>Capacity</t>
  </si>
  <si>
    <t>Time taken (ms)</t>
  </si>
  <si>
    <t>Discharge</t>
  </si>
  <si>
    <t>State Power (uW)</t>
  </si>
  <si>
    <t>Charging cycles</t>
  </si>
  <si>
    <t>%Time</t>
  </si>
  <si>
    <t>* - For states 3.1,3.2 and 3.3 multiple modes of bluetooth (Advertising / connected) are considered. Max value is selected for calculation.</t>
  </si>
  <si>
    <t>Weighted average Power</t>
  </si>
  <si>
    <t>Number of days on battery without recharge</t>
  </si>
  <si>
    <t>days</t>
  </si>
  <si>
    <t>Current (I)</t>
  </si>
  <si>
    <t>mA</t>
  </si>
  <si>
    <t>#These calculations have been changed as per requirement changes</t>
  </si>
  <si>
    <t>Total number of days considering battery life</t>
  </si>
  <si>
    <t>Voltage(V)</t>
  </si>
  <si>
    <t>Battery life in years</t>
  </si>
  <si>
    <t>years</t>
  </si>
  <si>
    <t>Duration(t)</t>
  </si>
  <si>
    <t>s</t>
  </si>
  <si>
    <t>Above calculations clearly state that Battery would be more preferable than Super capacitor</t>
  </si>
  <si>
    <t>Charge (mAh)</t>
  </si>
  <si>
    <t>Energy (mWh)</t>
  </si>
  <si>
    <t>mWh</t>
  </si>
  <si>
    <t>Energy (Joule)</t>
  </si>
  <si>
    <t>AS5147 SPI</t>
  </si>
  <si>
    <t>Parameter</t>
  </si>
  <si>
    <t>Description</t>
  </si>
  <si>
    <t>Min</t>
  </si>
  <si>
    <t>Max</t>
  </si>
  <si>
    <t>Units</t>
  </si>
  <si>
    <t>tL</t>
  </si>
  <si>
    <t>Time between CSn falling edge and CLK rising edge</t>
  </si>
  <si>
    <t>ns</t>
  </si>
  <si>
    <t>tclk</t>
  </si>
  <si>
    <t>Serial clock period</t>
  </si>
  <si>
    <t>tclkL</t>
  </si>
  <si>
    <t>Low period of serial clock</t>
  </si>
  <si>
    <t>tclkH</t>
  </si>
  <si>
    <t>High period of serial clock</t>
  </si>
  <si>
    <t>tH</t>
  </si>
  <si>
    <t>Time between last falling edge of CLK and rising edge of CSn</t>
  </si>
  <si>
    <t>tclk/2</t>
  </si>
  <si>
    <t>tCSn</t>
  </si>
  <si>
    <t>High time of CSn between two transmissions</t>
  </si>
  <si>
    <t>tMOSI</t>
  </si>
  <si>
    <t>Data input valid to falling clock edge</t>
  </si>
  <si>
    <t>tMISO</t>
  </si>
  <si>
    <t>CLK edge to data output valid</t>
  </si>
  <si>
    <t>tOZ</t>
  </si>
  <si>
    <t>Release bus time after CS rising edge.</t>
  </si>
  <si>
    <t>BNO055</t>
  </si>
  <si>
    <t>Symbol</t>
  </si>
  <si>
    <t>Clock Frequency</t>
  </si>
  <si>
    <t>fSCL</t>
  </si>
  <si>
    <t>kHz</t>
  </si>
  <si>
    <t>SCL Low Period</t>
  </si>
  <si>
    <t>tLOW</t>
  </si>
  <si>
    <t>μs</t>
  </si>
  <si>
    <t>SCL High Period</t>
  </si>
  <si>
    <t>tHIGH</t>
  </si>
  <si>
    <t>SDA Setup Time</t>
  </si>
  <si>
    <t>tSUDAT</t>
  </si>
  <si>
    <t>SDA Hold Time</t>
  </si>
  <si>
    <t>tHDDAT</t>
  </si>
  <si>
    <t>Setup Time for a repeated Start Condition</t>
  </si>
  <si>
    <t>tSUSTA</t>
  </si>
  <si>
    <t>Hold Time for a Start Condition</t>
  </si>
  <si>
    <t>tHDSTA</t>
  </si>
  <si>
    <t>Setup Time for a Stop Condition</t>
  </si>
  <si>
    <t>tSUSTO</t>
  </si>
  <si>
    <t>Time before a new Transmission can start</t>
  </si>
  <si>
    <t>tBUF</t>
  </si>
  <si>
    <t>Idle time between write accesses, normal mode,  standby mode, lowpower mode 2</t>
  </si>
  <si>
    <t>tIDLE_wacc_nm</t>
  </si>
  <si>
    <t>Idle time between write accesses, suspend mode, low-power mode 1</t>
  </si>
  <si>
    <t>tIDLE_wacc_sum</t>
  </si>
  <si>
    <t>LCD</t>
  </si>
  <si>
    <t>Item</t>
  </si>
  <si>
    <t>MIN</t>
  </si>
  <si>
    <t>TYP</t>
  </si>
  <si>
    <t>MAX</t>
  </si>
  <si>
    <t>Unit</t>
  </si>
  <si>
    <t>Frame frequency</t>
  </si>
  <si>
    <t>fSCS</t>
  </si>
  <si>
    <t>Hz</t>
  </si>
  <si>
    <t>Clock frequency</t>
  </si>
  <si>
    <t>fSCLK</t>
  </si>
  <si>
    <t>MHz</t>
  </si>
  <si>
    <t>Vertical Interval</t>
  </si>
  <si>
    <t>tV</t>
  </si>
  <si>
    <t>ms</t>
  </si>
  <si>
    <t>COM Frequency</t>
  </si>
  <si>
    <t>fCOM</t>
  </si>
  <si>
    <t>SCS Rising time</t>
  </si>
  <si>
    <t>trSCS</t>
  </si>
  <si>
    <t>SCS Falling time</t>
  </si>
  <si>
    <t>tfSCS</t>
  </si>
  <si>
    <t>SCS High duration</t>
  </si>
  <si>
    <t>twSCSH</t>
  </si>
  <si>
    <t>us</t>
  </si>
  <si>
    <t>SCS Low duration</t>
  </si>
  <si>
    <t>twSCSL</t>
  </si>
  <si>
    <t>SCS set up time</t>
  </si>
  <si>
    <t>tsSCS</t>
  </si>
  <si>
    <t>SCS hold time</t>
  </si>
  <si>
    <t>thSCS</t>
  </si>
  <si>
    <t>SI Rising time</t>
  </si>
  <si>
    <t>trSI</t>
  </si>
  <si>
    <t>SI Folling time</t>
  </si>
  <si>
    <t>tfSI</t>
  </si>
  <si>
    <t>SI set up time</t>
  </si>
  <si>
    <t>tsSI</t>
  </si>
  <si>
    <t>SI hold time</t>
  </si>
  <si>
    <t>thSI</t>
  </si>
  <si>
    <t>SCLK Rising time</t>
  </si>
  <si>
    <t>trSCLK</t>
  </si>
  <si>
    <t>SCLK Folling time</t>
  </si>
  <si>
    <t>tfSCLK</t>
  </si>
  <si>
    <t>SCLK High duration</t>
  </si>
  <si>
    <t>twSCLKH</t>
  </si>
  <si>
    <t>SCLK Low duration</t>
  </si>
  <si>
    <t>twSCLKL</t>
  </si>
  <si>
    <t>ETCOMIN signal frequency</t>
  </si>
  <si>
    <t>fEXTCOMIN</t>
  </si>
  <si>
    <t>EXTCOMIN signal rising time</t>
  </si>
  <si>
    <t>trEXTCOMIN</t>
  </si>
  <si>
    <t>EXTCOMIN signal folling time</t>
  </si>
  <si>
    <t>twEXTCOMIN</t>
  </si>
  <si>
    <t>EXTCOMIN signalHigh duration</t>
  </si>
  <si>
    <t>thIEXTCOMIN</t>
  </si>
  <si>
    <t>DISP Rising time</t>
  </si>
  <si>
    <t>trDISP</t>
  </si>
  <si>
    <t>DISP Folling time</t>
  </si>
  <si>
    <t>tfDISP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</si>
</sst>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Calibri"/>
      <family val="2"/>
      <scheme val="minor"/>
    </font>
    <font>
      <sz val="11"/>
      <color rgb="FFC00000"/>
      <name val="Symbol"/>
      <family val="1"/>
      <charset val="2"/>
    </font>
    <font>
      <vertAlign val="superscript"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2" fillId="5" borderId="0" applyNumberFormat="0" applyBorder="0" applyAlignment="0" applyProtection="0"/>
    <xf numFmtId="0" fontId="13" fillId="6" borderId="9" applyNumberFormat="0" applyAlignment="0" applyProtection="0"/>
  </cellStyleXfs>
  <cellXfs count="257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/>
    <xf numFmtId="2" fontId="14" fillId="0" borderId="0" xfId="0" applyNumberFormat="1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3" fillId="0" borderId="0" xfId="0" applyFont="1"/>
    <xf numFmtId="9" fontId="0" fillId="0" borderId="0" xfId="0" applyNumberFormat="1"/>
    <xf numFmtId="0" fontId="0" fillId="0" borderId="11" xfId="0" applyBorder="1"/>
    <xf numFmtId="0" fontId="1" fillId="0" borderId="0" xfId="0" applyFont="1"/>
    <xf numFmtId="0" fontId="1" fillId="7" borderId="12" xfId="0" applyFont="1" applyFill="1" applyBorder="1"/>
    <xf numFmtId="2" fontId="5" fillId="7" borderId="13" xfId="0" applyNumberFormat="1" applyFont="1" applyFill="1" applyBorder="1"/>
    <xf numFmtId="0" fontId="0" fillId="7" borderId="14" xfId="0" applyFill="1" applyBorder="1"/>
    <xf numFmtId="164" fontId="1" fillId="7" borderId="13" xfId="0" applyNumberFormat="1" applyFont="1" applyFill="1" applyBorder="1"/>
    <xf numFmtId="0" fontId="1" fillId="7" borderId="15" xfId="0" applyFont="1" applyFill="1" applyBorder="1"/>
    <xf numFmtId="0" fontId="0" fillId="8" borderId="16" xfId="0" applyFill="1" applyBorder="1"/>
    <xf numFmtId="0" fontId="0" fillId="8" borderId="13" xfId="0" applyFill="1" applyBorder="1"/>
    <xf numFmtId="2" fontId="0" fillId="8" borderId="13" xfId="0" applyNumberFormat="1" applyFill="1" applyBorder="1"/>
    <xf numFmtId="0" fontId="0" fillId="8" borderId="15" xfId="0" applyFill="1" applyBorder="1"/>
    <xf numFmtId="2" fontId="1" fillId="7" borderId="4" xfId="0" applyNumberFormat="1" applyFont="1" applyFill="1" applyBorder="1"/>
    <xf numFmtId="0" fontId="1" fillId="7" borderId="13" xfId="0" applyFont="1" applyFill="1" applyBorder="1"/>
    <xf numFmtId="164" fontId="1" fillId="7" borderId="4" xfId="0" applyNumberFormat="1" applyFont="1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18" xfId="0" applyFill="1" applyBorder="1"/>
    <xf numFmtId="0" fontId="1" fillId="7" borderId="3" xfId="0" applyFont="1" applyFill="1" applyBorder="1"/>
    <xf numFmtId="2" fontId="5" fillId="7" borderId="3" xfId="0" applyNumberFormat="1" applyFont="1" applyFill="1" applyBorder="1"/>
    <xf numFmtId="164" fontId="1" fillId="7" borderId="3" xfId="0" applyNumberFormat="1" applyFont="1" applyFill="1" applyBorder="1"/>
    <xf numFmtId="0" fontId="1" fillId="7" borderId="18" xfId="0" applyFont="1" applyFill="1" applyBorder="1"/>
    <xf numFmtId="0" fontId="1" fillId="7" borderId="17" xfId="0" applyFont="1" applyFill="1" applyBorder="1"/>
    <xf numFmtId="0" fontId="1" fillId="7" borderId="10" xfId="0" applyFont="1" applyFill="1" applyBorder="1"/>
    <xf numFmtId="0" fontId="3" fillId="7" borderId="0" xfId="0" applyFont="1" applyFill="1"/>
    <xf numFmtId="0" fontId="0" fillId="7" borderId="3" xfId="0" applyFill="1" applyBorder="1"/>
    <xf numFmtId="164" fontId="0" fillId="7" borderId="3" xfId="0" applyNumberFormat="1" applyFill="1" applyBorder="1"/>
    <xf numFmtId="0" fontId="0" fillId="7" borderId="18" xfId="0" quotePrefix="1" applyFill="1" applyBorder="1"/>
    <xf numFmtId="0" fontId="0" fillId="9" borderId="3" xfId="0" applyFill="1" applyBorder="1" applyProtection="1">
      <protection locked="0"/>
    </xf>
    <xf numFmtId="0" fontId="0" fillId="7" borderId="18" xfId="0" applyFill="1" applyBorder="1"/>
    <xf numFmtId="0" fontId="0" fillId="8" borderId="3" xfId="0" applyFill="1" applyBorder="1" applyProtection="1">
      <protection locked="0"/>
    </xf>
    <xf numFmtId="2" fontId="0" fillId="7" borderId="3" xfId="0" applyNumberFormat="1" applyFill="1" applyBorder="1"/>
    <xf numFmtId="0" fontId="0" fillId="8" borderId="6" xfId="0" applyFill="1" applyBorder="1"/>
    <xf numFmtId="0" fontId="18" fillId="7" borderId="17" xfId="0" applyFont="1" applyFill="1" applyBorder="1"/>
    <xf numFmtId="164" fontId="18" fillId="7" borderId="3" xfId="0" applyNumberFormat="1" applyFont="1" applyFill="1" applyBorder="1"/>
    <xf numFmtId="0" fontId="18" fillId="7" borderId="3" xfId="0" applyFont="1" applyFill="1" applyBorder="1"/>
    <xf numFmtId="164" fontId="18" fillId="7" borderId="4" xfId="0" applyNumberFormat="1" applyFont="1" applyFill="1" applyBorder="1"/>
    <xf numFmtId="0" fontId="0" fillId="7" borderId="19" xfId="0" applyFill="1" applyBorder="1"/>
    <xf numFmtId="164" fontId="0" fillId="8" borderId="3" xfId="0" applyNumberFormat="1" applyFill="1" applyBorder="1"/>
    <xf numFmtId="164" fontId="18" fillId="7" borderId="5" xfId="0" applyNumberFormat="1" applyFont="1" applyFill="1" applyBorder="1"/>
    <xf numFmtId="164" fontId="3" fillId="7" borderId="5" xfId="0" applyNumberFormat="1" applyFont="1" applyFill="1" applyBorder="1"/>
    <xf numFmtId="164" fontId="0" fillId="7" borderId="5" xfId="0" applyNumberFormat="1" applyFill="1" applyBorder="1"/>
    <xf numFmtId="0" fontId="18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7" fillId="8" borderId="3" xfId="0" applyFont="1" applyFill="1" applyBorder="1"/>
    <xf numFmtId="0" fontId="3" fillId="8" borderId="3" xfId="0" applyFont="1" applyFill="1" applyBorder="1"/>
    <xf numFmtId="0" fontId="3" fillId="7" borderId="18" xfId="0" applyFont="1" applyFill="1" applyBorder="1"/>
    <xf numFmtId="0" fontId="0" fillId="8" borderId="20" xfId="0" applyFill="1" applyBorder="1"/>
    <xf numFmtId="0" fontId="7" fillId="8" borderId="21" xfId="0" applyFont="1" applyFill="1" applyBorder="1"/>
    <xf numFmtId="0" fontId="7" fillId="8" borderId="22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28" xfId="0" applyFont="1" applyBorder="1"/>
    <xf numFmtId="0" fontId="0" fillId="0" borderId="31" xfId="0" applyBorder="1"/>
    <xf numFmtId="0" fontId="3" fillId="0" borderId="31" xfId="0" applyFont="1" applyBorder="1"/>
    <xf numFmtId="0" fontId="0" fillId="4" borderId="0" xfId="0" applyFill="1"/>
    <xf numFmtId="0" fontId="0" fillId="0" borderId="32" xfId="0" applyBorder="1"/>
    <xf numFmtId="0" fontId="3" fillId="4" borderId="33" xfId="0" applyFont="1" applyFill="1" applyBorder="1"/>
    <xf numFmtId="0" fontId="3" fillId="0" borderId="33" xfId="0" applyFont="1" applyBorder="1"/>
    <xf numFmtId="0" fontId="0" fillId="4" borderId="33" xfId="0" applyFill="1" applyBorder="1"/>
    <xf numFmtId="0" fontId="0" fillId="0" borderId="34" xfId="0" applyBorder="1"/>
    <xf numFmtId="0" fontId="0" fillId="0" borderId="35" xfId="0" applyBorder="1"/>
    <xf numFmtId="0" fontId="3" fillId="4" borderId="36" xfId="0" applyFont="1" applyFill="1" applyBorder="1"/>
    <xf numFmtId="0" fontId="0" fillId="0" borderId="37" xfId="0" applyBorder="1"/>
    <xf numFmtId="0" fontId="0" fillId="0" borderId="38" xfId="0" applyBorder="1"/>
    <xf numFmtId="0" fontId="0" fillId="4" borderId="36" xfId="0" applyFill="1" applyBorder="1"/>
    <xf numFmtId="0" fontId="0" fillId="0" borderId="36" xfId="0" applyBorder="1"/>
    <xf numFmtId="0" fontId="0" fillId="7" borderId="0" xfId="0" applyFill="1"/>
    <xf numFmtId="0" fontId="0" fillId="7" borderId="21" xfId="0" applyFill="1" applyBorder="1"/>
    <xf numFmtId="0" fontId="3" fillId="7" borderId="22" xfId="0" applyFont="1" applyFill="1" applyBorder="1"/>
    <xf numFmtId="0" fontId="0" fillId="9" borderId="0" xfId="0" applyFill="1"/>
    <xf numFmtId="0" fontId="29" fillId="0" borderId="0" xfId="0" applyFont="1"/>
    <xf numFmtId="0" fontId="0" fillId="0" borderId="39" xfId="0" applyBorder="1"/>
    <xf numFmtId="0" fontId="1" fillId="10" borderId="3" xfId="0" applyFont="1" applyFill="1" applyBorder="1"/>
    <xf numFmtId="0" fontId="0" fillId="11" borderId="36" xfId="0" applyFill="1" applyBorder="1"/>
    <xf numFmtId="0" fontId="0" fillId="11" borderId="35" xfId="0" applyFill="1" applyBorder="1"/>
    <xf numFmtId="0" fontId="0" fillId="10" borderId="3" xfId="0" applyFill="1" applyBorder="1"/>
    <xf numFmtId="0" fontId="0" fillId="11" borderId="33" xfId="0" applyFill="1" applyBorder="1"/>
    <xf numFmtId="0" fontId="0" fillId="11" borderId="0" xfId="0" applyFill="1"/>
    <xf numFmtId="0" fontId="0" fillId="11" borderId="32" xfId="0" applyFill="1" applyBorder="1"/>
    <xf numFmtId="0" fontId="0" fillId="11" borderId="31" xfId="0" applyFill="1" applyBorder="1"/>
    <xf numFmtId="0" fontId="0" fillId="11" borderId="30" xfId="0" applyFill="1" applyBorder="1"/>
    <xf numFmtId="0" fontId="0" fillId="11" borderId="29" xfId="0" applyFill="1" applyBorder="1"/>
    <xf numFmtId="0" fontId="0" fillId="12" borderId="5" xfId="0" applyFill="1" applyBorder="1"/>
    <xf numFmtId="0" fontId="0" fillId="12" borderId="7" xfId="0" applyFill="1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0" fillId="0" borderId="10" xfId="0" applyBorder="1"/>
    <xf numFmtId="0" fontId="31" fillId="0" borderId="10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31" fillId="0" borderId="6" xfId="0" applyFont="1" applyBorder="1" applyAlignment="1">
      <alignment horizontal="center" vertical="center"/>
    </xf>
    <xf numFmtId="0" fontId="0" fillId="13" borderId="5" xfId="0" applyFill="1" applyBorder="1"/>
    <xf numFmtId="0" fontId="0" fillId="13" borderId="7" xfId="0" applyFill="1" applyBorder="1"/>
    <xf numFmtId="2" fontId="0" fillId="0" borderId="4" xfId="0" applyNumberFormat="1" applyBorder="1"/>
    <xf numFmtId="2" fontId="0" fillId="0" borderId="35" xfId="0" applyNumberFormat="1" applyBorder="1"/>
    <xf numFmtId="2" fontId="0" fillId="0" borderId="34" xfId="0" applyNumberFormat="1" applyBorder="1"/>
    <xf numFmtId="2" fontId="0" fillId="0" borderId="33" xfId="0" applyNumberFormat="1" applyBorder="1"/>
    <xf numFmtId="9" fontId="0" fillId="13" borderId="5" xfId="0" applyNumberFormat="1" applyFill="1" applyBorder="1"/>
    <xf numFmtId="2" fontId="0" fillId="0" borderId="10" xfId="0" applyNumberFormat="1" applyBorder="1"/>
    <xf numFmtId="2" fontId="0" fillId="0" borderId="32" xfId="0" applyNumberFormat="1" applyBorder="1"/>
    <xf numFmtId="2" fontId="0" fillId="0" borderId="6" xfId="0" applyNumberFormat="1" applyBorder="1"/>
    <xf numFmtId="2" fontId="0" fillId="0" borderId="30" xfId="0" applyNumberFormat="1" applyBorder="1"/>
    <xf numFmtId="2" fontId="0" fillId="0" borderId="29" xfId="0" applyNumberFormat="1" applyBorder="1"/>
    <xf numFmtId="2" fontId="0" fillId="0" borderId="31" xfId="0" applyNumberFormat="1" applyBorder="1"/>
    <xf numFmtId="0" fontId="32" fillId="0" borderId="0" xfId="0" applyFont="1"/>
    <xf numFmtId="0" fontId="13" fillId="6" borderId="40" xfId="2" applyBorder="1" applyAlignment="1">
      <alignment wrapText="1"/>
    </xf>
    <xf numFmtId="2" fontId="13" fillId="6" borderId="36" xfId="2" applyNumberFormat="1" applyBorder="1"/>
    <xf numFmtId="0" fontId="13" fillId="6" borderId="34" xfId="2" applyBorder="1"/>
    <xf numFmtId="0" fontId="12" fillId="5" borderId="35" xfId="1" applyBorder="1"/>
    <xf numFmtId="0" fontId="12" fillId="5" borderId="34" xfId="1" applyBorder="1"/>
    <xf numFmtId="0" fontId="13" fillId="6" borderId="40" xfId="2" applyBorder="1"/>
    <xf numFmtId="2" fontId="13" fillId="6" borderId="5" xfId="2" applyNumberFormat="1" applyBorder="1"/>
    <xf numFmtId="0" fontId="13" fillId="6" borderId="7" xfId="2" applyBorder="1"/>
    <xf numFmtId="0" fontId="12" fillId="5" borderId="0" xfId="1" applyBorder="1"/>
    <xf numFmtId="0" fontId="12" fillId="5" borderId="32" xfId="1" applyBorder="1"/>
    <xf numFmtId="2" fontId="13" fillId="6" borderId="33" xfId="2" applyNumberFormat="1" applyBorder="1"/>
    <xf numFmtId="0" fontId="13" fillId="6" borderId="32" xfId="2" applyBorder="1"/>
    <xf numFmtId="0" fontId="12" fillId="5" borderId="31" xfId="1" applyBorder="1"/>
    <xf numFmtId="0" fontId="12" fillId="5" borderId="30" xfId="1" applyBorder="1"/>
    <xf numFmtId="0" fontId="12" fillId="5" borderId="29" xfId="1" applyBorder="1"/>
    <xf numFmtId="0" fontId="1" fillId="0" borderId="5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0" fillId="0" borderId="33" xfId="0" applyBorder="1"/>
    <xf numFmtId="0" fontId="0" fillId="0" borderId="0" xfId="0" applyAlignment="1">
      <alignment horizontal="right"/>
    </xf>
    <xf numFmtId="164" fontId="0" fillId="9" borderId="3" xfId="0" applyNumberFormat="1" applyFill="1" applyBorder="1" applyProtection="1">
      <protection locked="0"/>
    </xf>
    <xf numFmtId="0" fontId="0" fillId="11" borderId="32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1" xfId="0" applyFill="1" applyBorder="1"/>
    <xf numFmtId="0" fontId="0" fillId="11" borderId="30" xfId="0" applyFill="1" applyBorder="1"/>
    <xf numFmtId="0" fontId="0" fillId="11" borderId="29" xfId="0" applyFill="1" applyBorder="1"/>
    <xf numFmtId="0" fontId="0" fillId="11" borderId="36" xfId="0" applyFill="1" applyBorder="1"/>
    <xf numFmtId="0" fontId="0" fillId="11" borderId="35" xfId="0" applyFill="1" applyBorder="1"/>
    <xf numFmtId="0" fontId="0" fillId="11" borderId="34" xfId="0" applyFill="1" applyBorder="1"/>
    <xf numFmtId="0" fontId="0" fillId="11" borderId="35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3" xfId="0" applyFill="1" applyBorder="1"/>
    <xf numFmtId="0" fontId="0" fillId="11" borderId="0" xfId="0" applyFill="1"/>
    <xf numFmtId="0" fontId="0" fillId="11" borderId="32" xfId="0" applyFill="1" applyBorder="1"/>
    <xf numFmtId="0" fontId="30" fillId="12" borderId="5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0" fillId="12" borderId="5" xfId="0" applyFill="1" applyBorder="1"/>
    <xf numFmtId="0" fontId="0" fillId="12" borderId="1" xfId="0" applyFill="1" applyBorder="1"/>
    <xf numFmtId="0" fontId="0" fillId="12" borderId="7" xfId="0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13" borderId="5" xfId="0" applyFill="1" applyBorder="1"/>
    <xf numFmtId="0" fontId="0" fillId="13" borderId="1" xfId="0" applyFill="1" applyBorder="1"/>
    <xf numFmtId="0" fontId="0" fillId="13" borderId="7" xfId="0" applyFill="1" applyBorder="1"/>
    <xf numFmtId="0" fontId="12" fillId="5" borderId="36" xfId="1" applyBorder="1"/>
    <xf numFmtId="0" fontId="12" fillId="5" borderId="35" xfId="1" applyBorder="1"/>
    <xf numFmtId="0" fontId="12" fillId="5" borderId="33" xfId="1" applyBorder="1"/>
    <xf numFmtId="0" fontId="12" fillId="5" borderId="0" xfId="1" applyBorder="1"/>
    <xf numFmtId="0" fontId="30" fillId="13" borderId="5" xfId="0" applyFont="1" applyFill="1" applyBorder="1" applyAlignment="1">
      <alignment horizontal="center"/>
    </xf>
    <xf numFmtId="0" fontId="30" fillId="13" borderId="1" xfId="0" applyFont="1" applyFill="1" applyBorder="1" applyAlignment="1">
      <alignment horizontal="center"/>
    </xf>
    <xf numFmtId="0" fontId="30" fillId="13" borderId="7" xfId="0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21" fillId="0" borderId="25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29554</xdr:colOff>
      <xdr:row>19</xdr:row>
      <xdr:rowOff>214801</xdr:rowOff>
    </xdr:from>
    <xdr:ext cx="2083805" cy="238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7428554" y="4056551"/>
              <a:ext cx="2083805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𝐸𝑛𝑒𝑟𝑔𝑦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𝑚𝑎𝑥</m:t>
                          </m:r>
                        </m:sub>
                      </m:sSub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sub>
                      </m:sSub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B6AD3B-42B3-42C2-8D47-0BD949F09E82}"/>
                </a:ext>
              </a:extLst>
            </xdr:cNvPr>
            <xdr:cNvSpPr txBox="1"/>
          </xdr:nvSpPr>
          <xdr:spPr>
            <a:xfrm>
              <a:off x="17428554" y="4056551"/>
              <a:ext cx="2083805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𝐸𝑛𝑒𝑟𝑔𝑦=1/2 𝐶〖(𝑉_𝑚𝑎𝑥〗^2−〖𝑉_𝑚𝑖𝑛〗^2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1438275" y="3749675"/>
          <a:ext cx="0" cy="301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5095875" y="3895725"/>
          <a:ext cx="0" cy="165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2430125" y="4060825"/>
          <a:ext cx="0" cy="174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28725" y="2886075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876800" y="2876550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4886325" y="3060700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12201525" y="3060700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8753475" y="3876675"/>
          <a:ext cx="0" cy="174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8543925" y="3051175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8543925" y="3051175"/>
          <a:ext cx="6096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114300</xdr:colOff>
          <xdr:row>66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A3FA-5202-4827-93C5-8471858381DE}">
  <dimension ref="A1:W41"/>
  <sheetViews>
    <sheetView zoomScale="55" zoomScaleNormal="55" workbookViewId="0">
      <selection activeCell="H38" sqref="H38"/>
    </sheetView>
  </sheetViews>
  <sheetFormatPr defaultRowHeight="14.5" x14ac:dyDescent="0.35"/>
  <cols>
    <col min="2" max="2" width="31.1796875" customWidth="1"/>
    <col min="3" max="3" width="16.81640625" customWidth="1"/>
    <col min="4" max="4" width="10.81640625" customWidth="1"/>
    <col min="5" max="5" width="11.81640625" customWidth="1"/>
    <col min="6" max="6" width="13.54296875" customWidth="1"/>
    <col min="7" max="7" width="13.36328125" customWidth="1"/>
    <col min="8" max="8" width="11.81640625" customWidth="1"/>
    <col min="9" max="9" width="12" customWidth="1"/>
    <col min="10" max="10" width="13.453125" customWidth="1"/>
    <col min="11" max="11" width="11" customWidth="1"/>
    <col min="12" max="12" width="11.1796875" customWidth="1"/>
    <col min="13" max="13" width="12.26953125" customWidth="1"/>
    <col min="16" max="16" width="10" customWidth="1"/>
  </cols>
  <sheetData>
    <row r="1" spans="1:23" ht="26" x14ac:dyDescent="0.6">
      <c r="A1" s="118"/>
      <c r="B1" s="118"/>
      <c r="C1" s="118" t="s">
        <v>122</v>
      </c>
      <c r="E1" s="118"/>
      <c r="G1" s="118"/>
      <c r="N1" s="119"/>
      <c r="R1" s="118" t="s">
        <v>123</v>
      </c>
    </row>
    <row r="2" spans="1:23" ht="26" x14ac:dyDescent="0.6">
      <c r="B2" s="118"/>
      <c r="N2" s="119"/>
    </row>
    <row r="3" spans="1:23" x14ac:dyDescent="0.35">
      <c r="I3" s="189"/>
      <c r="J3" s="189"/>
      <c r="K3" s="120" t="s">
        <v>124</v>
      </c>
      <c r="L3" s="120" t="s">
        <v>125</v>
      </c>
      <c r="M3" s="120" t="s">
        <v>126</v>
      </c>
      <c r="N3" s="119"/>
      <c r="P3" s="193" t="s">
        <v>127</v>
      </c>
      <c r="Q3" s="194"/>
      <c r="R3" s="194"/>
      <c r="S3" s="194"/>
      <c r="T3" s="194"/>
      <c r="U3" s="194"/>
      <c r="V3" s="194"/>
      <c r="W3" s="195"/>
    </row>
    <row r="4" spans="1:23" x14ac:dyDescent="0.35">
      <c r="B4" s="121" t="s">
        <v>128</v>
      </c>
      <c r="C4" s="122"/>
      <c r="D4" s="122"/>
      <c r="E4" s="122"/>
      <c r="F4" s="196"/>
      <c r="G4" s="197"/>
      <c r="I4" s="189" t="s">
        <v>129</v>
      </c>
      <c r="J4" s="189"/>
      <c r="K4" s="123">
        <v>0.06</v>
      </c>
      <c r="L4" s="123">
        <v>3</v>
      </c>
      <c r="M4" s="123">
        <f t="shared" ref="M4:M13" si="0">K4*L4</f>
        <v>0.18</v>
      </c>
      <c r="N4" s="119"/>
      <c r="P4" s="198" t="s">
        <v>130</v>
      </c>
      <c r="Q4" s="199"/>
      <c r="R4" s="199"/>
      <c r="S4" s="199"/>
      <c r="T4" s="199"/>
      <c r="U4" s="199"/>
      <c r="V4" s="199"/>
      <c r="W4" s="200"/>
    </row>
    <row r="5" spans="1:23" x14ac:dyDescent="0.35">
      <c r="B5" s="124" t="s">
        <v>131</v>
      </c>
      <c r="C5" s="125"/>
      <c r="D5" s="125"/>
      <c r="E5" s="125"/>
      <c r="F5" s="188"/>
      <c r="G5" s="188"/>
      <c r="I5" s="189" t="s">
        <v>132</v>
      </c>
      <c r="J5" s="189"/>
      <c r="K5" s="123">
        <v>4</v>
      </c>
      <c r="L5" s="123">
        <v>3</v>
      </c>
      <c r="M5" s="123">
        <f t="shared" si="0"/>
        <v>12</v>
      </c>
      <c r="N5" s="119"/>
      <c r="P5" s="190" t="s">
        <v>133</v>
      </c>
      <c r="Q5" s="191"/>
      <c r="R5" s="191"/>
      <c r="S5" s="191"/>
      <c r="T5" s="191"/>
      <c r="U5" s="191"/>
      <c r="V5" s="191"/>
      <c r="W5" s="192"/>
    </row>
    <row r="6" spans="1:23" x14ac:dyDescent="0.35">
      <c r="B6" s="124" t="s">
        <v>134</v>
      </c>
      <c r="C6" s="125"/>
      <c r="D6" s="125"/>
      <c r="E6" s="125"/>
      <c r="F6" s="188"/>
      <c r="G6" s="188"/>
      <c r="I6" s="189" t="s">
        <v>135</v>
      </c>
      <c r="J6" s="189"/>
      <c r="K6" s="123">
        <v>300</v>
      </c>
      <c r="L6" s="123">
        <v>3</v>
      </c>
      <c r="M6" s="123">
        <f t="shared" si="0"/>
        <v>900</v>
      </c>
      <c r="N6" s="119"/>
    </row>
    <row r="7" spans="1:23" x14ac:dyDescent="0.35">
      <c r="B7" s="124" t="s">
        <v>136</v>
      </c>
      <c r="C7" s="125"/>
      <c r="D7" s="125"/>
      <c r="E7" s="125"/>
      <c r="F7" s="188"/>
      <c r="G7" s="188"/>
      <c r="I7" s="189" t="s">
        <v>137</v>
      </c>
      <c r="J7" s="189"/>
      <c r="K7" s="123">
        <v>10500</v>
      </c>
      <c r="L7" s="123">
        <v>3</v>
      </c>
      <c r="M7" s="123">
        <f t="shared" si="0"/>
        <v>31500</v>
      </c>
      <c r="N7" s="119"/>
    </row>
    <row r="8" spans="1:23" x14ac:dyDescent="0.35">
      <c r="B8" s="124" t="s">
        <v>138</v>
      </c>
      <c r="C8" s="125"/>
      <c r="D8" s="125"/>
      <c r="E8" s="125"/>
      <c r="F8" s="125"/>
      <c r="G8" s="126"/>
      <c r="I8" s="189" t="s">
        <v>139</v>
      </c>
      <c r="J8" s="189"/>
      <c r="K8" s="123">
        <v>12300</v>
      </c>
      <c r="L8" s="123">
        <v>3</v>
      </c>
      <c r="M8" s="123">
        <f t="shared" si="0"/>
        <v>36900</v>
      </c>
      <c r="N8" s="119"/>
    </row>
    <row r="9" spans="1:23" x14ac:dyDescent="0.35">
      <c r="B9" s="124" t="s">
        <v>140</v>
      </c>
      <c r="C9" s="125"/>
      <c r="D9" s="125"/>
      <c r="E9" s="125"/>
      <c r="F9" s="188"/>
      <c r="G9" s="188"/>
      <c r="I9" s="189" t="s">
        <v>141</v>
      </c>
      <c r="J9" s="189"/>
      <c r="K9" s="123">
        <v>4000</v>
      </c>
      <c r="L9" s="123">
        <v>3</v>
      </c>
      <c r="M9" s="123">
        <f t="shared" si="0"/>
        <v>12000</v>
      </c>
      <c r="N9" s="119"/>
    </row>
    <row r="10" spans="1:23" x14ac:dyDescent="0.35">
      <c r="B10" s="124" t="s">
        <v>142</v>
      </c>
      <c r="C10" s="125"/>
      <c r="D10" s="125"/>
      <c r="E10" s="125"/>
      <c r="F10" s="188"/>
      <c r="G10" s="188"/>
      <c r="I10" s="189" t="s">
        <v>143</v>
      </c>
      <c r="J10" s="189"/>
      <c r="K10" s="123">
        <v>4</v>
      </c>
      <c r="L10" s="123">
        <v>3</v>
      </c>
      <c r="M10" s="123">
        <f t="shared" si="0"/>
        <v>12</v>
      </c>
      <c r="N10" s="119"/>
      <c r="P10" t="s">
        <v>144</v>
      </c>
      <c r="V10" s="37">
        <f>C39</f>
        <v>109.4657991111111</v>
      </c>
      <c r="W10" t="str">
        <f>D39</f>
        <v>mAh</v>
      </c>
    </row>
    <row r="11" spans="1:23" x14ac:dyDescent="0.35">
      <c r="B11" s="124" t="s">
        <v>145</v>
      </c>
      <c r="C11" s="125"/>
      <c r="D11" s="125"/>
      <c r="E11" s="125"/>
      <c r="F11" s="188"/>
      <c r="G11" s="188"/>
      <c r="I11" s="189" t="s">
        <v>146</v>
      </c>
      <c r="J11" s="189"/>
      <c r="K11" s="123">
        <v>10500</v>
      </c>
      <c r="L11" s="123">
        <v>3</v>
      </c>
      <c r="M11" s="123">
        <f t="shared" si="0"/>
        <v>31500</v>
      </c>
      <c r="N11" s="119"/>
    </row>
    <row r="12" spans="1:23" x14ac:dyDescent="0.35">
      <c r="B12" s="127" t="s">
        <v>147</v>
      </c>
      <c r="C12" s="128"/>
      <c r="D12" s="128"/>
      <c r="E12" s="128"/>
      <c r="F12" s="128"/>
      <c r="G12" s="129"/>
      <c r="I12" s="189" t="s">
        <v>148</v>
      </c>
      <c r="J12" s="189"/>
      <c r="K12" s="123">
        <v>15000</v>
      </c>
      <c r="L12" s="123">
        <v>3</v>
      </c>
      <c r="M12" s="123">
        <f t="shared" si="0"/>
        <v>45000</v>
      </c>
      <c r="N12" s="119"/>
    </row>
    <row r="13" spans="1:23" x14ac:dyDescent="0.35">
      <c r="I13" s="189" t="s">
        <v>149</v>
      </c>
      <c r="J13" s="189"/>
      <c r="K13" s="123">
        <v>25000</v>
      </c>
      <c r="L13" s="123">
        <v>3</v>
      </c>
      <c r="M13" s="123">
        <f t="shared" si="0"/>
        <v>75000</v>
      </c>
      <c r="N13" s="119"/>
    </row>
    <row r="14" spans="1:23" x14ac:dyDescent="0.35">
      <c r="B14" t="s">
        <v>150</v>
      </c>
      <c r="N14" s="119"/>
    </row>
    <row r="15" spans="1:23" ht="15.5" x14ac:dyDescent="0.35">
      <c r="N15" s="119"/>
      <c r="P15" s="201" t="s">
        <v>151</v>
      </c>
      <c r="Q15" s="202"/>
      <c r="R15" s="202"/>
      <c r="S15" s="202"/>
      <c r="T15" s="203"/>
      <c r="V15" t="s">
        <v>152</v>
      </c>
    </row>
    <row r="16" spans="1:23" x14ac:dyDescent="0.35">
      <c r="N16" s="119"/>
      <c r="P16" s="204" t="s">
        <v>153</v>
      </c>
      <c r="Q16" s="205"/>
      <c r="R16" s="206"/>
      <c r="S16" s="130">
        <v>100</v>
      </c>
      <c r="T16" s="131" t="s">
        <v>22</v>
      </c>
      <c r="V16" t="s">
        <v>154</v>
      </c>
    </row>
    <row r="17" spans="2:22" x14ac:dyDescent="0.35">
      <c r="C17" s="132" t="s">
        <v>155</v>
      </c>
      <c r="D17" s="207" t="s">
        <v>156</v>
      </c>
      <c r="E17" s="208"/>
      <c r="F17" s="207" t="s">
        <v>157</v>
      </c>
      <c r="G17" s="209"/>
      <c r="H17" s="209"/>
      <c r="I17" s="209"/>
      <c r="J17" s="209"/>
      <c r="K17" s="208"/>
      <c r="L17" s="210" t="s">
        <v>158</v>
      </c>
      <c r="N17" s="119"/>
      <c r="P17" s="204" t="s">
        <v>159</v>
      </c>
      <c r="Q17" s="205"/>
      <c r="R17" s="206"/>
      <c r="S17" s="130">
        <v>3.7</v>
      </c>
      <c r="T17" s="131" t="s">
        <v>160</v>
      </c>
    </row>
    <row r="18" spans="2:22" x14ac:dyDescent="0.35">
      <c r="C18" s="133"/>
      <c r="D18" s="134" t="s">
        <v>161</v>
      </c>
      <c r="E18" s="135" t="s">
        <v>162</v>
      </c>
      <c r="F18" s="212" t="s">
        <v>163</v>
      </c>
      <c r="G18" s="213"/>
      <c r="H18" s="212" t="s">
        <v>164</v>
      </c>
      <c r="I18" s="213"/>
      <c r="J18" s="214" t="s">
        <v>165</v>
      </c>
      <c r="K18" s="213"/>
      <c r="L18" s="211"/>
      <c r="N18" s="119"/>
      <c r="P18" s="204" t="s">
        <v>166</v>
      </c>
      <c r="Q18" s="205"/>
      <c r="R18" s="206"/>
      <c r="S18" s="130">
        <v>3</v>
      </c>
      <c r="T18" s="131" t="s">
        <v>160</v>
      </c>
    </row>
    <row r="19" spans="2:22" ht="17.5" x14ac:dyDescent="0.35">
      <c r="B19" s="25" t="str">
        <f>I4</f>
        <v>Power Supply Quiescent</v>
      </c>
      <c r="C19" s="136" t="s">
        <v>167</v>
      </c>
      <c r="D19" s="137" t="s">
        <v>167</v>
      </c>
      <c r="E19" s="137" t="s">
        <v>167</v>
      </c>
      <c r="F19" s="138" t="s">
        <v>167</v>
      </c>
      <c r="G19" s="137" t="s">
        <v>167</v>
      </c>
      <c r="H19" s="138" t="s">
        <v>167</v>
      </c>
      <c r="I19" s="137" t="s">
        <v>167</v>
      </c>
      <c r="J19" s="138" t="s">
        <v>167</v>
      </c>
      <c r="K19" s="139" t="s">
        <v>167</v>
      </c>
      <c r="L19" s="136" t="s">
        <v>167</v>
      </c>
      <c r="N19" s="119"/>
      <c r="P19" s="204" t="s">
        <v>168</v>
      </c>
      <c r="Q19" s="205"/>
      <c r="R19" s="206"/>
      <c r="S19" s="130">
        <v>3.5</v>
      </c>
      <c r="T19" s="131" t="s">
        <v>160</v>
      </c>
    </row>
    <row r="20" spans="2:22" ht="17.5" x14ac:dyDescent="0.35">
      <c r="B20" s="140" t="str">
        <f t="shared" ref="B20:B28" si="1">I5</f>
        <v>Microcontroller EM2 mode</v>
      </c>
      <c r="C20" s="141" t="s">
        <v>167</v>
      </c>
      <c r="D20" s="137" t="s">
        <v>167</v>
      </c>
      <c r="E20" s="137" t="s">
        <v>167</v>
      </c>
      <c r="F20" s="142" t="s">
        <v>167</v>
      </c>
      <c r="G20" s="137" t="s">
        <v>167</v>
      </c>
      <c r="H20" s="142" t="s">
        <v>167</v>
      </c>
      <c r="I20" s="137" t="s">
        <v>167</v>
      </c>
      <c r="J20" s="142" t="s">
        <v>167</v>
      </c>
      <c r="K20" s="143" t="s">
        <v>167</v>
      </c>
      <c r="L20" s="141" t="s">
        <v>167</v>
      </c>
      <c r="N20" s="119"/>
      <c r="P20" s="204"/>
      <c r="Q20" s="205"/>
      <c r="R20" s="206"/>
      <c r="S20" s="130"/>
      <c r="T20" s="131"/>
    </row>
    <row r="21" spans="2:22" ht="17.5" x14ac:dyDescent="0.35">
      <c r="B21" s="140" t="str">
        <f t="shared" si="1"/>
        <v>Microcontroller GPIO</v>
      </c>
      <c r="C21" s="144"/>
      <c r="D21" s="137" t="s">
        <v>167</v>
      </c>
      <c r="E21" s="137" t="s">
        <v>167</v>
      </c>
      <c r="F21" s="142" t="s">
        <v>167</v>
      </c>
      <c r="G21" s="137" t="s">
        <v>167</v>
      </c>
      <c r="H21" s="142" t="s">
        <v>167</v>
      </c>
      <c r="I21" s="137" t="s">
        <v>167</v>
      </c>
      <c r="J21" s="142" t="s">
        <v>167</v>
      </c>
      <c r="K21" s="143" t="s">
        <v>167</v>
      </c>
      <c r="L21" s="141" t="s">
        <v>167</v>
      </c>
      <c r="N21" s="119"/>
      <c r="P21" s="204" t="s">
        <v>169</v>
      </c>
      <c r="Q21" s="205"/>
      <c r="R21" s="206"/>
      <c r="S21" s="130">
        <f>0.5*S16*(S17*S17 - S18*S18)</f>
        <v>234.50000000000006</v>
      </c>
      <c r="T21" s="131" t="s">
        <v>170</v>
      </c>
      <c r="U21" t="s">
        <v>5</v>
      </c>
    </row>
    <row r="22" spans="2:22" ht="17.5" x14ac:dyDescent="0.35">
      <c r="B22" s="140" t="str">
        <f t="shared" si="1"/>
        <v>Rotary Encoder</v>
      </c>
      <c r="C22" s="144"/>
      <c r="D22" s="145"/>
      <c r="E22" s="145"/>
      <c r="F22" s="142" t="s">
        <v>167</v>
      </c>
      <c r="G22" s="137" t="s">
        <v>167</v>
      </c>
      <c r="H22" s="146"/>
      <c r="I22" s="145"/>
      <c r="J22" s="146"/>
      <c r="K22" s="147"/>
      <c r="L22" s="144"/>
      <c r="N22" s="119"/>
      <c r="P22" s="204" t="s">
        <v>171</v>
      </c>
      <c r="Q22" s="205"/>
      <c r="R22" s="206"/>
      <c r="S22" s="130">
        <f>S21/(3.6*S19)</f>
        <v>18.611111111111118</v>
      </c>
      <c r="T22" s="131" t="s">
        <v>172</v>
      </c>
      <c r="V22" t="s">
        <v>173</v>
      </c>
    </row>
    <row r="23" spans="2:22" ht="17.5" x14ac:dyDescent="0.35">
      <c r="B23" s="140" t="str">
        <f t="shared" si="1"/>
        <v>IMU sensor</v>
      </c>
      <c r="C23" s="144"/>
      <c r="D23" s="145"/>
      <c r="E23" s="145"/>
      <c r="F23" s="146"/>
      <c r="G23" s="145"/>
      <c r="H23" s="142" t="s">
        <v>167</v>
      </c>
      <c r="I23" s="137" t="s">
        <v>167</v>
      </c>
      <c r="J23" s="146"/>
      <c r="K23" s="147"/>
      <c r="L23" s="144"/>
      <c r="N23" s="119"/>
      <c r="V23" s="42" t="s">
        <v>174</v>
      </c>
    </row>
    <row r="24" spans="2:22" ht="17.5" x14ac:dyDescent="0.35">
      <c r="B24" s="140" t="str">
        <f t="shared" si="1"/>
        <v>Magnetometer</v>
      </c>
      <c r="C24" s="144"/>
      <c r="D24" s="145"/>
      <c r="E24" s="145"/>
      <c r="F24" s="146"/>
      <c r="G24" s="145"/>
      <c r="H24" s="146"/>
      <c r="I24" s="145"/>
      <c r="J24" s="142" t="s">
        <v>167</v>
      </c>
      <c r="K24" s="143" t="s">
        <v>167</v>
      </c>
      <c r="L24" s="144"/>
      <c r="N24" s="119"/>
      <c r="V24" s="42" t="s">
        <v>175</v>
      </c>
    </row>
    <row r="25" spans="2:22" ht="17.5" x14ac:dyDescent="0.35">
      <c r="B25" s="140" t="str">
        <f t="shared" si="1"/>
        <v>LCD Display</v>
      </c>
      <c r="C25" s="141" t="s">
        <v>167</v>
      </c>
      <c r="D25" s="137" t="s">
        <v>167</v>
      </c>
      <c r="E25" s="137" t="s">
        <v>167</v>
      </c>
      <c r="F25" s="142" t="s">
        <v>167</v>
      </c>
      <c r="G25" s="137" t="s">
        <v>167</v>
      </c>
      <c r="H25" s="142" t="s">
        <v>167</v>
      </c>
      <c r="I25" s="137" t="s">
        <v>167</v>
      </c>
      <c r="J25" s="142" t="s">
        <v>167</v>
      </c>
      <c r="K25" s="143" t="s">
        <v>167</v>
      </c>
      <c r="L25" s="141" t="s">
        <v>167</v>
      </c>
      <c r="N25" s="119"/>
    </row>
    <row r="26" spans="2:22" ht="17.5" x14ac:dyDescent="0.35">
      <c r="B26" s="140" t="str">
        <f t="shared" si="1"/>
        <v>Bluetooth Advertising</v>
      </c>
      <c r="C26" s="144"/>
      <c r="D26" s="137" t="s">
        <v>167</v>
      </c>
      <c r="E26" s="145"/>
      <c r="F26" s="142" t="s">
        <v>167</v>
      </c>
      <c r="G26" s="145"/>
      <c r="H26" s="142" t="s">
        <v>167</v>
      </c>
      <c r="I26" s="137" t="s">
        <v>167</v>
      </c>
      <c r="J26" s="142" t="s">
        <v>167</v>
      </c>
      <c r="K26" s="147"/>
      <c r="L26" s="144"/>
      <c r="N26" s="119"/>
    </row>
    <row r="27" spans="2:22" ht="17.5" x14ac:dyDescent="0.35">
      <c r="B27" s="140" t="str">
        <f t="shared" si="1"/>
        <v>Bluetooth Connected</v>
      </c>
      <c r="C27" s="144"/>
      <c r="D27" s="145"/>
      <c r="E27" s="137" t="s">
        <v>167</v>
      </c>
      <c r="F27" s="146"/>
      <c r="G27" s="137" t="s">
        <v>167</v>
      </c>
      <c r="H27" s="146"/>
      <c r="I27" s="145"/>
      <c r="J27" s="146"/>
      <c r="K27" s="143" t="s">
        <v>167</v>
      </c>
      <c r="L27" s="144"/>
      <c r="N27" s="119"/>
      <c r="P27" s="222" t="s">
        <v>176</v>
      </c>
      <c r="Q27" s="223"/>
      <c r="R27" s="223"/>
      <c r="S27" s="223"/>
      <c r="T27" s="224"/>
      <c r="V27" t="s">
        <v>177</v>
      </c>
    </row>
    <row r="28" spans="2:22" ht="17.5" x14ac:dyDescent="0.35">
      <c r="B28" s="148" t="str">
        <f t="shared" si="1"/>
        <v>Bluetooth Transmission</v>
      </c>
      <c r="C28" s="144"/>
      <c r="D28" s="145"/>
      <c r="E28" s="145"/>
      <c r="F28" s="149"/>
      <c r="G28" s="145"/>
      <c r="H28" s="149"/>
      <c r="I28" s="145"/>
      <c r="J28" s="149"/>
      <c r="K28" s="150"/>
      <c r="L28" s="151" t="s">
        <v>167</v>
      </c>
      <c r="N28" s="119"/>
      <c r="P28" s="215" t="s">
        <v>178</v>
      </c>
      <c r="Q28" s="216"/>
      <c r="R28" s="217"/>
      <c r="S28" s="152">
        <v>480</v>
      </c>
      <c r="T28" s="153" t="s">
        <v>172</v>
      </c>
    </row>
    <row r="29" spans="2:22" x14ac:dyDescent="0.35">
      <c r="B29" s="25" t="s">
        <v>179</v>
      </c>
      <c r="C29" s="154">
        <v>17</v>
      </c>
      <c r="D29" s="155">
        <v>1000</v>
      </c>
      <c r="E29" s="156">
        <v>3200</v>
      </c>
      <c r="F29" s="155">
        <v>10000</v>
      </c>
      <c r="G29" s="156">
        <v>10000</v>
      </c>
      <c r="H29" s="155">
        <v>10000</v>
      </c>
      <c r="I29" s="155">
        <v>10000</v>
      </c>
      <c r="J29" s="157">
        <v>10000</v>
      </c>
      <c r="K29" s="156">
        <v>10000</v>
      </c>
      <c r="L29" s="156">
        <v>350</v>
      </c>
      <c r="N29" s="119"/>
      <c r="P29" s="215" t="s">
        <v>180</v>
      </c>
      <c r="Q29" s="216"/>
      <c r="R29" s="217"/>
      <c r="S29" s="158">
        <v>0.8</v>
      </c>
      <c r="T29" s="153"/>
    </row>
    <row r="30" spans="2:22" x14ac:dyDescent="0.35">
      <c r="B30" s="140" t="s">
        <v>181</v>
      </c>
      <c r="C30" s="159">
        <f>M5+M10</f>
        <v>24</v>
      </c>
      <c r="D30" s="37">
        <f>M5+M6+M10+M11</f>
        <v>32424</v>
      </c>
      <c r="E30" s="160">
        <f>M5+M6+M10+M12</f>
        <v>45924</v>
      </c>
      <c r="F30" s="37">
        <f>M6+M5+M7+M10+544</f>
        <v>32968</v>
      </c>
      <c r="G30" s="160">
        <f>M5+M6+M7+M10+240</f>
        <v>32664</v>
      </c>
      <c r="H30" s="37">
        <f>M5+M6+M10+M12+544</f>
        <v>46468</v>
      </c>
      <c r="I30" s="37">
        <f>M5+M6+M8+M10+240</f>
        <v>38064</v>
      </c>
      <c r="J30" s="157">
        <f>M5+M6+M9+M10+544</f>
        <v>13468</v>
      </c>
      <c r="K30" s="160">
        <f>M5+M6+M9+M10+240</f>
        <v>13164</v>
      </c>
      <c r="L30" s="160">
        <f>M5+M6+M10+M13</f>
        <v>75924</v>
      </c>
      <c r="N30" s="119"/>
      <c r="P30" s="215" t="s">
        <v>182</v>
      </c>
      <c r="Q30" s="216"/>
      <c r="R30" s="217"/>
      <c r="S30" s="152">
        <v>300</v>
      </c>
      <c r="T30" s="153"/>
    </row>
    <row r="31" spans="2:22" x14ac:dyDescent="0.35">
      <c r="B31" s="148" t="s">
        <v>183</v>
      </c>
      <c r="C31" s="161">
        <f>C29/13500</f>
        <v>1.2592592592592592E-3</v>
      </c>
      <c r="D31" s="162">
        <f t="shared" ref="D31:L31" si="2">D29/13500</f>
        <v>7.407407407407407E-2</v>
      </c>
      <c r="E31" s="163">
        <f t="shared" si="2"/>
        <v>0.23703703703703705</v>
      </c>
      <c r="F31" s="164">
        <f t="shared" si="2"/>
        <v>0.7407407407407407</v>
      </c>
      <c r="G31" s="163">
        <f t="shared" si="2"/>
        <v>0.7407407407407407</v>
      </c>
      <c r="H31" s="162">
        <f t="shared" si="2"/>
        <v>0.7407407407407407</v>
      </c>
      <c r="I31" s="163">
        <f t="shared" si="2"/>
        <v>0.7407407407407407</v>
      </c>
      <c r="J31" s="162">
        <f t="shared" si="2"/>
        <v>0.7407407407407407</v>
      </c>
      <c r="K31" s="163">
        <f t="shared" si="2"/>
        <v>0.7407407407407407</v>
      </c>
      <c r="L31" s="163">
        <f t="shared" si="2"/>
        <v>2.5925925925925925E-2</v>
      </c>
      <c r="N31" s="119"/>
    </row>
    <row r="32" spans="2:22" x14ac:dyDescent="0.35">
      <c r="C32" s="165" t="s">
        <v>184</v>
      </c>
      <c r="K32" s="108"/>
      <c r="N32" s="119"/>
    </row>
    <row r="33" spans="2:23" x14ac:dyDescent="0.35">
      <c r="N33" s="119"/>
    </row>
    <row r="34" spans="2:23" x14ac:dyDescent="0.35">
      <c r="B34" s="166" t="s">
        <v>185</v>
      </c>
      <c r="C34" s="167">
        <f>((C30*C31)+(E30*E31)+(I30*H31)+(L30*L31))/1000</f>
        <v>41.049674666666668</v>
      </c>
      <c r="D34" s="168" t="s">
        <v>4</v>
      </c>
      <c r="N34" s="119"/>
      <c r="P34" s="218" t="s">
        <v>186</v>
      </c>
      <c r="Q34" s="219"/>
      <c r="R34" s="219"/>
      <c r="S34" s="219"/>
      <c r="T34" s="219"/>
      <c r="U34" s="169">
        <f>INT(S28*S29/V10)</f>
        <v>3</v>
      </c>
      <c r="V34" s="169" t="s">
        <v>187</v>
      </c>
      <c r="W34" s="170"/>
    </row>
    <row r="35" spans="2:23" x14ac:dyDescent="0.35">
      <c r="B35" s="171" t="s">
        <v>188</v>
      </c>
      <c r="C35" s="172">
        <f>C34/C36</f>
        <v>13.683224888888889</v>
      </c>
      <c r="D35" s="173" t="s">
        <v>189</v>
      </c>
      <c r="F35" t="s">
        <v>190</v>
      </c>
      <c r="N35" s="119"/>
      <c r="P35" s="220" t="s">
        <v>191</v>
      </c>
      <c r="Q35" s="221"/>
      <c r="R35" s="221"/>
      <c r="S35" s="221"/>
      <c r="T35" s="221"/>
      <c r="U35" s="174">
        <f>S30*U34</f>
        <v>900</v>
      </c>
      <c r="V35" s="174" t="s">
        <v>187</v>
      </c>
      <c r="W35" s="175"/>
    </row>
    <row r="36" spans="2:23" x14ac:dyDescent="0.35">
      <c r="B36" s="171" t="s">
        <v>192</v>
      </c>
      <c r="C36" s="176">
        <v>3</v>
      </c>
      <c r="D36" s="177" t="s">
        <v>9</v>
      </c>
      <c r="N36" s="119"/>
      <c r="P36" s="178" t="s">
        <v>193</v>
      </c>
      <c r="Q36" s="179"/>
      <c r="R36" s="179"/>
      <c r="S36" s="179"/>
      <c r="T36" s="179"/>
      <c r="U36" s="179">
        <f>INT(U35/365)</f>
        <v>2</v>
      </c>
      <c r="V36" s="179" t="s">
        <v>194</v>
      </c>
      <c r="W36" s="180"/>
    </row>
    <row r="37" spans="2:23" x14ac:dyDescent="0.35">
      <c r="B37" s="171" t="s">
        <v>195</v>
      </c>
      <c r="C37" s="172">
        <v>28800</v>
      </c>
      <c r="D37" s="173" t="s">
        <v>196</v>
      </c>
      <c r="N37" s="119"/>
    </row>
    <row r="38" spans="2:23" x14ac:dyDescent="0.35">
      <c r="B38" s="171"/>
      <c r="C38" s="176"/>
      <c r="D38" s="177"/>
      <c r="N38" s="119"/>
      <c r="P38" s="46" t="s">
        <v>197</v>
      </c>
    </row>
    <row r="39" spans="2:23" x14ac:dyDescent="0.35">
      <c r="B39" s="171" t="s">
        <v>198</v>
      </c>
      <c r="C39" s="172">
        <f>(C35*C37)/3600</f>
        <v>109.4657991111111</v>
      </c>
      <c r="D39" s="173" t="s">
        <v>172</v>
      </c>
      <c r="N39" s="119"/>
    </row>
    <row r="40" spans="2:23" x14ac:dyDescent="0.35">
      <c r="B40" s="171" t="s">
        <v>199</v>
      </c>
      <c r="C40" s="176">
        <f>(C34*C37)/3600</f>
        <v>328.39739733333334</v>
      </c>
      <c r="D40" s="177" t="s">
        <v>200</v>
      </c>
      <c r="N40" s="119"/>
    </row>
    <row r="41" spans="2:23" x14ac:dyDescent="0.35">
      <c r="B41" s="171" t="s">
        <v>201</v>
      </c>
      <c r="C41" s="172">
        <f>C40*3.6</f>
        <v>1182.2306304000001</v>
      </c>
      <c r="D41" s="173" t="s">
        <v>170</v>
      </c>
      <c r="N41" s="119"/>
    </row>
  </sheetData>
  <mergeCells count="41">
    <mergeCell ref="P29:R29"/>
    <mergeCell ref="P30:R30"/>
    <mergeCell ref="P34:T34"/>
    <mergeCell ref="P35:T35"/>
    <mergeCell ref="P19:R19"/>
    <mergeCell ref="P20:R20"/>
    <mergeCell ref="P21:R21"/>
    <mergeCell ref="P22:R22"/>
    <mergeCell ref="P27:T27"/>
    <mergeCell ref="P28:R28"/>
    <mergeCell ref="P15:T15"/>
    <mergeCell ref="P16:R16"/>
    <mergeCell ref="D17:E17"/>
    <mergeCell ref="F17:K17"/>
    <mergeCell ref="L17:L18"/>
    <mergeCell ref="P17:R17"/>
    <mergeCell ref="F18:G18"/>
    <mergeCell ref="H18:I18"/>
    <mergeCell ref="J18:K18"/>
    <mergeCell ref="P18:R18"/>
    <mergeCell ref="I13:J13"/>
    <mergeCell ref="F6:G6"/>
    <mergeCell ref="I6:J6"/>
    <mergeCell ref="F7:G7"/>
    <mergeCell ref="I7:J7"/>
    <mergeCell ref="I8:J8"/>
    <mergeCell ref="F9:G9"/>
    <mergeCell ref="I9:J9"/>
    <mergeCell ref="F10:G10"/>
    <mergeCell ref="I10:J10"/>
    <mergeCell ref="F11:G11"/>
    <mergeCell ref="I11:J11"/>
    <mergeCell ref="I12:J12"/>
    <mergeCell ref="F5:G5"/>
    <mergeCell ref="I5:J5"/>
    <mergeCell ref="P5:W5"/>
    <mergeCell ref="I3:J3"/>
    <mergeCell ref="P3:W3"/>
    <mergeCell ref="F4:G4"/>
    <mergeCell ref="I4:J4"/>
    <mergeCell ref="P4:W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19" workbookViewId="0">
      <selection activeCell="L30" sqref="L30"/>
    </sheetView>
  </sheetViews>
  <sheetFormatPr defaultRowHeight="14.5" x14ac:dyDescent="0.35"/>
  <cols>
    <col min="1" max="1" width="29.7265625" customWidth="1"/>
    <col min="2" max="3" width="8.7265625" customWidth="1"/>
    <col min="4" max="4" width="9.7265625" customWidth="1"/>
    <col min="5" max="5" width="13" customWidth="1"/>
    <col min="6" max="7" width="10.7265625" customWidth="1"/>
    <col min="8" max="8" width="12.54296875" customWidth="1"/>
    <col min="9" max="9" width="9.54296875" bestFit="1" customWidth="1"/>
    <col min="10" max="10" width="10.54296875" bestFit="1" customWidth="1"/>
    <col min="11" max="11" width="10.54296875" customWidth="1"/>
  </cols>
  <sheetData>
    <row r="1" spans="1:11" x14ac:dyDescent="0.35">
      <c r="A1" s="8" t="s">
        <v>3</v>
      </c>
    </row>
    <row r="2" spans="1:11" x14ac:dyDescent="0.35">
      <c r="A2" s="9" t="s">
        <v>13</v>
      </c>
    </row>
    <row r="3" spans="1:11" ht="30" customHeight="1" x14ac:dyDescent="0.35">
      <c r="D3" s="30" t="s">
        <v>23</v>
      </c>
      <c r="E3" s="31">
        <v>3</v>
      </c>
      <c r="F3" s="32" t="s">
        <v>9</v>
      </c>
      <c r="K3" s="29" t="s">
        <v>42</v>
      </c>
    </row>
    <row r="4" spans="1:11" ht="73.5" x14ac:dyDescent="0.4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35">
      <c r="A5" s="1" t="s">
        <v>43</v>
      </c>
      <c r="B5" s="24">
        <v>3.2</v>
      </c>
      <c r="C5" s="6">
        <v>35</v>
      </c>
      <c r="D5" s="6">
        <v>0.93</v>
      </c>
      <c r="E5" s="10">
        <f>(B5*C5)/($E$3*D5)</f>
        <v>40.143369175627242</v>
      </c>
      <c r="F5" s="4"/>
      <c r="G5" s="4"/>
      <c r="H5" s="4"/>
      <c r="I5" s="4"/>
      <c r="J5" s="4"/>
      <c r="K5" s="29"/>
    </row>
    <row r="6" spans="1:11" x14ac:dyDescent="0.35">
      <c r="A6" s="25" t="s">
        <v>44</v>
      </c>
      <c r="B6" s="14" t="s">
        <v>5</v>
      </c>
      <c r="C6" s="14" t="s">
        <v>5</v>
      </c>
      <c r="D6" s="14" t="s">
        <v>5</v>
      </c>
      <c r="E6" s="19">
        <v>8</v>
      </c>
      <c r="F6" s="4"/>
      <c r="G6" s="4"/>
      <c r="H6" s="4"/>
      <c r="I6" s="4"/>
      <c r="J6" s="4"/>
      <c r="K6" s="29" t="s">
        <v>6</v>
      </c>
    </row>
    <row r="7" spans="1:11" ht="15" thickBot="1" x14ac:dyDescent="0.4">
      <c r="A7" s="248" t="s">
        <v>12</v>
      </c>
      <c r="B7" s="248"/>
      <c r="C7" s="248"/>
      <c r="D7" s="248"/>
      <c r="E7" s="17">
        <f>SUM(E5:E6)</f>
        <v>48.143369175627242</v>
      </c>
      <c r="F7" s="6">
        <v>260</v>
      </c>
      <c r="G7" s="6">
        <v>3600</v>
      </c>
      <c r="H7" s="3">
        <f>24*F7/G7</f>
        <v>1.7333333333333334</v>
      </c>
      <c r="I7" s="3">
        <f>H7*E7</f>
        <v>83.448506571087222</v>
      </c>
      <c r="J7" s="3">
        <f>I7*$E$3</f>
        <v>250.34551971326167</v>
      </c>
      <c r="K7" s="29"/>
    </row>
    <row r="8" spans="1:11" ht="15" thickTop="1" x14ac:dyDescent="0.35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35">
      <c r="A9" s="1" t="s">
        <v>45</v>
      </c>
      <c r="B9" s="24">
        <v>0</v>
      </c>
      <c r="C9" s="6">
        <v>0</v>
      </c>
      <c r="D9" s="6">
        <v>0.85</v>
      </c>
      <c r="E9" s="10">
        <f>(B9*C9)/($E$3*D9)</f>
        <v>0</v>
      </c>
      <c r="F9" s="20"/>
      <c r="G9" s="20"/>
      <c r="H9" s="20"/>
      <c r="I9" s="20"/>
      <c r="J9" s="20"/>
      <c r="K9" s="29" t="s">
        <v>7</v>
      </c>
    </row>
    <row r="10" spans="1:11" x14ac:dyDescent="0.35">
      <c r="A10" s="25" t="s">
        <v>46</v>
      </c>
      <c r="B10" s="14" t="s">
        <v>5</v>
      </c>
      <c r="C10" s="14" t="s">
        <v>5</v>
      </c>
      <c r="D10" s="14" t="s">
        <v>5</v>
      </c>
      <c r="E10" s="19">
        <v>0</v>
      </c>
      <c r="F10" s="20"/>
      <c r="G10" s="20"/>
      <c r="H10" s="20"/>
      <c r="I10" s="20"/>
      <c r="J10" s="20"/>
      <c r="K10" s="29" t="s">
        <v>8</v>
      </c>
    </row>
    <row r="11" spans="1:11" ht="15" thickBot="1" x14ac:dyDescent="0.4">
      <c r="A11" s="248" t="s">
        <v>11</v>
      </c>
      <c r="B11" s="248"/>
      <c r="C11" s="248"/>
      <c r="D11" s="248"/>
      <c r="E11" s="17">
        <f>SUM(E9:E10)</f>
        <v>0</v>
      </c>
      <c r="F11" s="6">
        <v>0</v>
      </c>
      <c r="G11" s="6">
        <v>60</v>
      </c>
      <c r="H11" s="3">
        <f>24*F11/G11</f>
        <v>0</v>
      </c>
      <c r="I11" s="3">
        <f>H11*E11</f>
        <v>0</v>
      </c>
      <c r="J11" s="3">
        <f>I11*$E$3</f>
        <v>0</v>
      </c>
      <c r="K11" s="29"/>
    </row>
    <row r="12" spans="1:11" ht="15" thickTop="1" x14ac:dyDescent="0.35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35">
      <c r="A13" s="248" t="s">
        <v>61</v>
      </c>
      <c r="B13" s="248"/>
      <c r="C13" s="248"/>
      <c r="D13" s="248"/>
      <c r="E13" s="18">
        <v>0.1</v>
      </c>
      <c r="F13" s="244"/>
      <c r="G13" s="245"/>
      <c r="H13" s="3">
        <f>24-H7-H11</f>
        <v>22.266666666666666</v>
      </c>
      <c r="I13" s="3">
        <f>H13*E13</f>
        <v>2.2266666666666666</v>
      </c>
      <c r="J13" s="3">
        <f>I13*$E$3</f>
        <v>6.68</v>
      </c>
      <c r="K13" s="29" t="s">
        <v>20</v>
      </c>
    </row>
    <row r="14" spans="1:11" x14ac:dyDescent="0.35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35">
      <c r="A15" s="248" t="s">
        <v>63</v>
      </c>
      <c r="B15" s="248"/>
      <c r="C15" s="248"/>
      <c r="D15" s="248"/>
      <c r="E15" s="18">
        <v>1E-3</v>
      </c>
      <c r="F15" s="246"/>
      <c r="G15" s="247"/>
      <c r="H15" s="3">
        <v>24</v>
      </c>
      <c r="I15" s="3">
        <f>H15*E15</f>
        <v>2.4E-2</v>
      </c>
      <c r="J15" s="3">
        <f>I15*$E$3</f>
        <v>7.2000000000000008E-2</v>
      </c>
      <c r="K15" s="29" t="s">
        <v>21</v>
      </c>
    </row>
    <row r="16" spans="1:11" x14ac:dyDescent="0.35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35">
      <c r="A17" s="13"/>
      <c r="B17" s="228" t="s">
        <v>55</v>
      </c>
      <c r="C17" s="229"/>
      <c r="D17" s="229"/>
      <c r="E17" s="229"/>
      <c r="F17" s="229"/>
      <c r="G17" s="229"/>
      <c r="H17" s="230"/>
      <c r="I17" s="23">
        <f>SUM(I7:I15)</f>
        <v>85.699173237753882</v>
      </c>
      <c r="J17" s="20" t="s">
        <v>19</v>
      </c>
    </row>
    <row r="18" spans="1:19" x14ac:dyDescent="0.35">
      <c r="A18" s="13"/>
      <c r="B18" s="227" t="s">
        <v>48</v>
      </c>
      <c r="C18" s="227"/>
      <c r="D18" s="227"/>
      <c r="E18" s="227"/>
      <c r="F18" s="227"/>
      <c r="G18" s="227"/>
      <c r="H18" s="227"/>
      <c r="I18" s="15">
        <v>2</v>
      </c>
      <c r="J18" s="20" t="s">
        <v>30</v>
      </c>
    </row>
    <row r="19" spans="1:19" ht="15" thickBot="1" x14ac:dyDescent="0.4">
      <c r="A19" s="13"/>
      <c r="B19" s="225" t="s">
        <v>50</v>
      </c>
      <c r="C19" s="225"/>
      <c r="D19" s="225"/>
      <c r="E19" s="225"/>
      <c r="F19" s="225"/>
      <c r="G19" s="225"/>
      <c r="H19" s="225"/>
      <c r="I19" s="7">
        <f>I17*I18</f>
        <v>171.39834647550776</v>
      </c>
      <c r="J19" s="20" t="s">
        <v>0</v>
      </c>
    </row>
    <row r="20" spans="1:19" ht="15" thickTop="1" x14ac:dyDescent="0.35">
      <c r="A20" s="13"/>
      <c r="B20" s="232" t="s">
        <v>25</v>
      </c>
      <c r="C20" s="233"/>
      <c r="D20" s="233"/>
      <c r="E20" s="233"/>
      <c r="F20" s="233"/>
      <c r="G20" s="233"/>
      <c r="H20" s="234"/>
      <c r="I20" s="28"/>
      <c r="J20" s="20"/>
    </row>
    <row r="21" spans="1:19" x14ac:dyDescent="0.35">
      <c r="A21" s="13"/>
      <c r="B21" s="235" t="s">
        <v>41</v>
      </c>
      <c r="C21" s="236"/>
      <c r="D21" s="236"/>
      <c r="E21" s="236"/>
      <c r="F21" s="236"/>
      <c r="G21" s="236"/>
      <c r="H21" s="237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35">
      <c r="A22" s="13"/>
      <c r="B22" s="235" t="s">
        <v>38</v>
      </c>
      <c r="C22" s="236"/>
      <c r="D22" s="236"/>
      <c r="E22" s="236"/>
      <c r="F22" s="236"/>
      <c r="G22" s="236"/>
      <c r="H22" s="237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8" thickBot="1" x14ac:dyDescent="0.5">
      <c r="A23" s="13"/>
      <c r="B23" s="241" t="s">
        <v>35</v>
      </c>
      <c r="C23" s="242"/>
      <c r="D23" s="242"/>
      <c r="E23" s="242"/>
      <c r="F23" s="242"/>
      <c r="G23" s="242"/>
      <c r="H23" s="243"/>
      <c r="I23" s="26">
        <f>2*I19/1000*3600*E3/(I22^2-I21^2)</f>
        <v>379.71325988420176</v>
      </c>
      <c r="J23" s="20" t="s">
        <v>22</v>
      </c>
      <c r="K23" s="29" t="s">
        <v>26</v>
      </c>
    </row>
    <row r="24" spans="1:19" ht="15" thickTop="1" x14ac:dyDescent="0.35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35">
      <c r="A25" s="13"/>
      <c r="C25" s="238" t="s">
        <v>54</v>
      </c>
      <c r="D25" s="239"/>
      <c r="E25" s="239"/>
      <c r="F25" s="239"/>
      <c r="G25" s="239"/>
      <c r="H25" s="239"/>
      <c r="I25" s="240"/>
      <c r="J25" s="3">
        <f>SUM(J7:J15)</f>
        <v>257.09751971326165</v>
      </c>
      <c r="K25" t="s">
        <v>18</v>
      </c>
    </row>
    <row r="26" spans="1:19" x14ac:dyDescent="0.35">
      <c r="A26" s="13"/>
      <c r="C26" s="235" t="s">
        <v>36</v>
      </c>
      <c r="D26" s="236"/>
      <c r="E26" s="236"/>
      <c r="F26" s="236"/>
      <c r="G26" s="236"/>
      <c r="H26" s="236"/>
      <c r="I26" s="237"/>
      <c r="J26" s="6">
        <v>5</v>
      </c>
      <c r="K26" t="s">
        <v>30</v>
      </c>
    </row>
    <row r="27" spans="1:19" x14ac:dyDescent="0.35">
      <c r="A27" s="13"/>
      <c r="C27" s="238" t="s">
        <v>49</v>
      </c>
      <c r="D27" s="239"/>
      <c r="E27" s="239"/>
      <c r="F27" s="239"/>
      <c r="G27" s="239"/>
      <c r="H27" s="239"/>
      <c r="I27" s="240"/>
      <c r="J27" s="3">
        <f>J25*J26</f>
        <v>1285.4875985663082</v>
      </c>
      <c r="K27" t="s">
        <v>53</v>
      </c>
    </row>
    <row r="28" spans="1:19" x14ac:dyDescent="0.35">
      <c r="A28" s="13"/>
      <c r="C28" s="235" t="s">
        <v>37</v>
      </c>
      <c r="D28" s="236"/>
      <c r="E28" s="236"/>
      <c r="F28" s="236"/>
      <c r="G28" s="236"/>
      <c r="H28" s="236"/>
      <c r="I28" s="237"/>
      <c r="J28" s="3">
        <f>J26-I18</f>
        <v>3</v>
      </c>
      <c r="K28" t="s">
        <v>30</v>
      </c>
      <c r="M28" s="29" t="s">
        <v>52</v>
      </c>
    </row>
    <row r="29" spans="1:19" x14ac:dyDescent="0.35">
      <c r="A29" s="13"/>
      <c r="C29" s="238" t="s">
        <v>58</v>
      </c>
      <c r="D29" s="239"/>
      <c r="E29" s="239"/>
      <c r="F29" s="239"/>
      <c r="G29" s="239"/>
      <c r="H29" s="239"/>
      <c r="I29" s="240"/>
      <c r="J29" s="3">
        <f>J27/J28</f>
        <v>428.49586618876941</v>
      </c>
      <c r="K29" t="s">
        <v>18</v>
      </c>
      <c r="L29" s="34"/>
      <c r="M29" s="29" t="s">
        <v>59</v>
      </c>
    </row>
    <row r="30" spans="1:19" x14ac:dyDescent="0.35">
      <c r="A30" s="13"/>
      <c r="C30" s="235" t="s">
        <v>31</v>
      </c>
      <c r="D30" s="236"/>
      <c r="E30" s="236"/>
      <c r="F30" s="236"/>
      <c r="G30" s="236"/>
      <c r="H30" s="236"/>
      <c r="I30" s="237"/>
      <c r="J30" s="6">
        <v>1.5</v>
      </c>
      <c r="K30" t="s">
        <v>17</v>
      </c>
      <c r="M30" s="29" t="s">
        <v>60</v>
      </c>
    </row>
    <row r="31" spans="1:19" x14ac:dyDescent="0.35">
      <c r="A31" s="13"/>
      <c r="C31" s="241" t="s">
        <v>51</v>
      </c>
      <c r="D31" s="242"/>
      <c r="E31" s="242"/>
      <c r="F31" s="242"/>
      <c r="G31" s="242"/>
      <c r="H31" s="242"/>
      <c r="I31" s="243"/>
      <c r="J31" s="3">
        <f>J29/J30</f>
        <v>285.66391079251292</v>
      </c>
      <c r="K31" t="s">
        <v>4</v>
      </c>
    </row>
    <row r="32" spans="1:19" x14ac:dyDescent="0.35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35">
      <c r="A33" s="13"/>
      <c r="B33" s="20"/>
      <c r="D33" s="226" t="s">
        <v>47</v>
      </c>
      <c r="E33" s="226"/>
      <c r="F33" s="226"/>
      <c r="G33" s="226"/>
      <c r="H33" s="226"/>
      <c r="I33" s="226"/>
      <c r="J33" s="15">
        <v>0.8</v>
      </c>
    </row>
    <row r="34" spans="1:13" ht="15" thickBot="1" x14ac:dyDescent="0.4">
      <c r="A34" s="13"/>
      <c r="B34" s="20"/>
      <c r="C34" s="21"/>
      <c r="D34" s="225" t="s">
        <v>32</v>
      </c>
      <c r="E34" s="225"/>
      <c r="F34" s="225"/>
      <c r="G34" s="225"/>
      <c r="H34" s="225"/>
      <c r="I34" s="225"/>
      <c r="J34" s="7">
        <f>J31/J33</f>
        <v>357.07988849064111</v>
      </c>
      <c r="K34" t="s">
        <v>4</v>
      </c>
    </row>
    <row r="35" spans="1:13" ht="15" thickTop="1" x14ac:dyDescent="0.35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6.5" x14ac:dyDescent="0.35">
      <c r="A36" s="13"/>
      <c r="B36" s="20"/>
      <c r="C36" s="21"/>
      <c r="E36" s="226" t="s">
        <v>34</v>
      </c>
      <c r="F36" s="226"/>
      <c r="G36" s="226"/>
      <c r="H36" s="226"/>
      <c r="I36" s="226"/>
      <c r="J36" s="15">
        <v>13.04</v>
      </c>
      <c r="K36" t="s">
        <v>14</v>
      </c>
      <c r="M36" s="29" t="s">
        <v>62</v>
      </c>
    </row>
    <row r="37" spans="1:13" ht="17" thickBot="1" x14ac:dyDescent="0.4">
      <c r="A37" s="4"/>
      <c r="B37" s="20"/>
      <c r="C37" s="20"/>
      <c r="E37" s="231" t="s">
        <v>33</v>
      </c>
      <c r="F37" s="231"/>
      <c r="G37" s="231"/>
      <c r="H37" s="231"/>
      <c r="I37" s="231"/>
      <c r="J37" s="7">
        <f>J34/J36</f>
        <v>27.383427031490886</v>
      </c>
      <c r="K37" t="s">
        <v>15</v>
      </c>
    </row>
    <row r="38" spans="1:13" ht="15" thickTop="1" x14ac:dyDescent="0.35"/>
  </sheetData>
  <mergeCells count="24">
    <mergeCell ref="C31:I31"/>
    <mergeCell ref="D33:I33"/>
    <mergeCell ref="F13:G13"/>
    <mergeCell ref="F15:G15"/>
    <mergeCell ref="A7:D7"/>
    <mergeCell ref="A11:D11"/>
    <mergeCell ref="A13:D13"/>
    <mergeCell ref="A15:D15"/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62FF-6271-40D7-AC2F-1FE952678B29}">
  <dimension ref="A1:AB153"/>
  <sheetViews>
    <sheetView tabSelected="1" topLeftCell="A4" zoomScale="85" zoomScaleNormal="85" workbookViewId="0">
      <pane xSplit="1" topLeftCell="B1" activePane="topRight" state="frozen"/>
      <selection pane="topRight" activeCell="K18" sqref="K18"/>
    </sheetView>
  </sheetViews>
  <sheetFormatPr defaultRowHeight="14.5" x14ac:dyDescent="0.35"/>
  <cols>
    <col min="1" max="1" width="13.1796875" customWidth="1"/>
    <col min="2" max="2" width="14.1796875" customWidth="1"/>
    <col min="3" max="3" width="6.7265625" customWidth="1"/>
    <col min="4" max="5" width="8.7265625" customWidth="1"/>
    <col min="6" max="6" width="6.7265625" customWidth="1"/>
    <col min="7" max="7" width="2.7265625" customWidth="1"/>
    <col min="8" max="8" width="19.26953125" customWidth="1"/>
    <col min="9" max="9" width="6.7265625" customWidth="1"/>
    <col min="10" max="11" width="8.7265625" customWidth="1"/>
    <col min="12" max="12" width="6.7265625" customWidth="1"/>
    <col min="13" max="13" width="2.7265625" customWidth="1"/>
    <col min="14" max="14" width="13.81640625" customWidth="1"/>
    <col min="15" max="15" width="6.7265625" customWidth="1"/>
    <col min="16" max="17" width="8.7265625" customWidth="1"/>
    <col min="18" max="18" width="6.7265625" customWidth="1"/>
    <col min="19" max="19" width="2.7265625" customWidth="1"/>
    <col min="20" max="20" width="12.7265625" customWidth="1"/>
    <col min="21" max="21" width="6.7265625" customWidth="1"/>
    <col min="22" max="24" width="8.7265625" customWidth="1"/>
  </cols>
  <sheetData>
    <row r="1" spans="1:24" x14ac:dyDescent="0.35">
      <c r="A1" s="117" t="s">
        <v>3</v>
      </c>
      <c r="B1" s="116" t="s">
        <v>121</v>
      </c>
      <c r="C1" s="115">
        <v>1.21</v>
      </c>
      <c r="D1" s="115" t="s">
        <v>9</v>
      </c>
    </row>
    <row r="2" spans="1:24" ht="15" thickBot="1" x14ac:dyDescent="0.4">
      <c r="A2" s="114" t="s">
        <v>120</v>
      </c>
    </row>
    <row r="3" spans="1:24" x14ac:dyDescent="0.35">
      <c r="A3" s="102"/>
      <c r="B3" s="113" t="s">
        <v>119</v>
      </c>
      <c r="C3" s="108"/>
      <c r="D3" s="108"/>
      <c r="E3" s="108"/>
      <c r="F3" s="107"/>
      <c r="H3" s="112" t="s">
        <v>118</v>
      </c>
      <c r="I3" s="108"/>
      <c r="J3" s="108"/>
      <c r="K3" s="108"/>
      <c r="L3" s="107"/>
      <c r="N3" s="111" t="s">
        <v>117</v>
      </c>
      <c r="O3" s="45"/>
      <c r="P3" s="45"/>
      <c r="Q3" s="45"/>
      <c r="R3" s="110"/>
      <c r="T3" s="109" t="s">
        <v>116</v>
      </c>
      <c r="U3" s="108"/>
      <c r="V3" s="108"/>
      <c r="W3" s="108"/>
      <c r="X3" s="107"/>
    </row>
    <row r="4" spans="1:24" x14ac:dyDescent="0.35">
      <c r="A4" s="102"/>
      <c r="B4" s="105" t="s">
        <v>115</v>
      </c>
      <c r="F4" s="103"/>
      <c r="H4" s="106" t="s">
        <v>114</v>
      </c>
      <c r="L4" s="103"/>
      <c r="N4" s="105" t="s">
        <v>113</v>
      </c>
      <c r="R4" s="103"/>
      <c r="T4" s="104" t="s">
        <v>112</v>
      </c>
      <c r="X4" s="103"/>
    </row>
    <row r="5" spans="1:24" ht="15" thickBot="1" x14ac:dyDescent="0.4">
      <c r="A5" s="102"/>
      <c r="B5" s="101" t="s">
        <v>111</v>
      </c>
      <c r="C5" s="98"/>
      <c r="D5" s="98"/>
      <c r="E5" s="98"/>
      <c r="F5" s="97"/>
      <c r="H5" s="100" t="s">
        <v>110</v>
      </c>
      <c r="I5" s="98"/>
      <c r="J5" s="98"/>
      <c r="K5" s="98"/>
      <c r="L5" s="97"/>
      <c r="N5" s="99"/>
      <c r="O5" s="98"/>
      <c r="P5" s="98"/>
      <c r="Q5" s="98"/>
      <c r="R5" s="97"/>
      <c r="T5" s="96"/>
      <c r="U5" s="95"/>
      <c r="V5" s="95"/>
      <c r="W5" s="95"/>
      <c r="X5" s="94"/>
    </row>
    <row r="6" spans="1:24" ht="19" thickBot="1" x14ac:dyDescent="0.5">
      <c r="B6" s="249" t="s">
        <v>109</v>
      </c>
      <c r="C6" s="250"/>
      <c r="D6" s="250"/>
      <c r="E6" s="250"/>
      <c r="F6" s="251"/>
      <c r="H6" s="249" t="s">
        <v>108</v>
      </c>
      <c r="I6" s="250"/>
      <c r="J6" s="250"/>
      <c r="K6" s="250"/>
      <c r="L6" s="251"/>
      <c r="N6" s="249" t="s">
        <v>107</v>
      </c>
      <c r="O6" s="250"/>
      <c r="P6" s="250"/>
      <c r="Q6" s="250"/>
      <c r="R6" s="251"/>
      <c r="T6" s="249" t="s">
        <v>106</v>
      </c>
      <c r="U6" s="250"/>
      <c r="V6" s="250"/>
      <c r="W6" s="250"/>
      <c r="X6" s="251"/>
    </row>
    <row r="7" spans="1:24" ht="16.5" x14ac:dyDescent="0.35">
      <c r="A7" s="46" t="s">
        <v>101</v>
      </c>
      <c r="B7" s="93"/>
      <c r="C7" s="88"/>
      <c r="D7" s="88"/>
      <c r="E7" s="92"/>
      <c r="F7" s="91"/>
      <c r="H7" s="90" t="s">
        <v>104</v>
      </c>
      <c r="I7" s="72">
        <v>13</v>
      </c>
      <c r="J7" s="69" t="s">
        <v>75</v>
      </c>
      <c r="K7" s="88"/>
      <c r="L7" s="59"/>
      <c r="N7" s="93"/>
      <c r="O7" s="88"/>
      <c r="P7" s="88"/>
      <c r="Q7" s="92"/>
      <c r="R7" s="91"/>
      <c r="T7" s="90" t="s">
        <v>104</v>
      </c>
      <c r="U7" s="72">
        <v>20</v>
      </c>
      <c r="V7" s="69" t="s">
        <v>75</v>
      </c>
      <c r="W7" s="88"/>
      <c r="X7" s="59"/>
    </row>
    <row r="8" spans="1:24" ht="16.5" x14ac:dyDescent="0.35">
      <c r="A8" s="46" t="s">
        <v>101</v>
      </c>
      <c r="B8" s="90" t="s">
        <v>104</v>
      </c>
      <c r="C8" s="72">
        <v>13</v>
      </c>
      <c r="D8" s="69" t="s">
        <v>75</v>
      </c>
      <c r="E8" s="88"/>
      <c r="F8" s="59"/>
      <c r="H8" s="73" t="s">
        <v>93</v>
      </c>
      <c r="I8" s="72">
        <v>3.2</v>
      </c>
      <c r="J8" s="69" t="s">
        <v>9</v>
      </c>
      <c r="K8" s="89" t="s">
        <v>105</v>
      </c>
      <c r="L8" s="59"/>
      <c r="N8" s="90" t="s">
        <v>104</v>
      </c>
      <c r="O8" s="72">
        <v>13</v>
      </c>
      <c r="P8" s="69" t="s">
        <v>75</v>
      </c>
      <c r="Q8" s="88"/>
      <c r="R8" s="59"/>
      <c r="T8" s="73" t="s">
        <v>103</v>
      </c>
      <c r="U8" s="72">
        <v>5</v>
      </c>
      <c r="V8" s="69" t="s">
        <v>9</v>
      </c>
      <c r="W8" s="89" t="s">
        <v>102</v>
      </c>
      <c r="X8" s="59"/>
    </row>
    <row r="9" spans="1:24" x14ac:dyDescent="0.35">
      <c r="A9" s="46" t="s">
        <v>101</v>
      </c>
      <c r="B9" s="73" t="s">
        <v>94</v>
      </c>
      <c r="C9" s="72">
        <v>4.2</v>
      </c>
      <c r="D9" s="69" t="s">
        <v>9</v>
      </c>
      <c r="E9" s="89"/>
      <c r="F9" s="59"/>
      <c r="H9" s="73" t="s">
        <v>90</v>
      </c>
      <c r="I9" s="72">
        <v>3.6</v>
      </c>
      <c r="J9" s="69" t="s">
        <v>9</v>
      </c>
      <c r="K9" s="89" t="s">
        <v>100</v>
      </c>
      <c r="L9" s="59"/>
      <c r="N9" s="73" t="s">
        <v>89</v>
      </c>
      <c r="O9" s="72">
        <v>3.2</v>
      </c>
      <c r="P9" s="69" t="s">
        <v>9</v>
      </c>
      <c r="Q9" s="89"/>
      <c r="R9" s="59"/>
      <c r="T9" s="73" t="s">
        <v>69</v>
      </c>
      <c r="U9" s="72">
        <v>3</v>
      </c>
      <c r="V9" s="69" t="s">
        <v>9</v>
      </c>
      <c r="W9" s="89" t="s">
        <v>99</v>
      </c>
      <c r="X9" s="59"/>
    </row>
    <row r="10" spans="1:24" x14ac:dyDescent="0.35">
      <c r="B10" s="61"/>
      <c r="C10" s="74"/>
      <c r="D10" s="60"/>
      <c r="E10" s="88"/>
      <c r="F10" s="59"/>
      <c r="H10" s="61"/>
      <c r="I10" s="60"/>
      <c r="J10" s="60"/>
      <c r="K10" s="88"/>
      <c r="L10" s="59"/>
      <c r="N10" s="61"/>
      <c r="O10" s="74"/>
      <c r="P10" s="60"/>
      <c r="Q10" s="88"/>
      <c r="R10" s="59"/>
      <c r="T10" s="61"/>
      <c r="U10" s="74"/>
      <c r="V10" s="60"/>
      <c r="W10" s="60"/>
      <c r="X10" s="59"/>
    </row>
    <row r="11" spans="1:24" ht="16.5" x14ac:dyDescent="0.35">
      <c r="B11" s="61"/>
      <c r="C11" s="60"/>
      <c r="D11" s="60"/>
      <c r="E11" s="88"/>
      <c r="F11" s="59"/>
      <c r="H11" s="61"/>
      <c r="I11" s="60"/>
      <c r="J11" s="252" t="s">
        <v>98</v>
      </c>
      <c r="K11" s="253"/>
      <c r="L11" s="59"/>
      <c r="N11" s="61"/>
      <c r="O11" s="60"/>
      <c r="P11" s="60"/>
      <c r="Q11" s="88"/>
      <c r="R11" s="59"/>
      <c r="T11" s="61"/>
      <c r="U11" s="60"/>
      <c r="V11" s="252" t="s">
        <v>98</v>
      </c>
      <c r="W11" s="253"/>
      <c r="X11" s="59"/>
    </row>
    <row r="12" spans="1:24" ht="16.5" x14ac:dyDescent="0.35">
      <c r="B12" s="61"/>
      <c r="C12" s="60"/>
      <c r="D12" s="252" t="s">
        <v>98</v>
      </c>
      <c r="E12" s="253"/>
      <c r="F12" s="59"/>
      <c r="H12" s="61"/>
      <c r="I12" s="87" t="s">
        <v>97</v>
      </c>
      <c r="J12" s="86" t="s">
        <v>96</v>
      </c>
      <c r="K12" s="86" t="s">
        <v>95</v>
      </c>
      <c r="L12" s="59"/>
      <c r="N12" s="61"/>
      <c r="O12" s="60"/>
      <c r="P12" s="252" t="s">
        <v>98</v>
      </c>
      <c r="Q12" s="253"/>
      <c r="R12" s="59"/>
      <c r="T12" s="61"/>
      <c r="U12" s="87" t="s">
        <v>97</v>
      </c>
      <c r="V12" s="86" t="s">
        <v>96</v>
      </c>
      <c r="W12" s="86" t="s">
        <v>95</v>
      </c>
      <c r="X12" s="59"/>
    </row>
    <row r="13" spans="1:24" x14ac:dyDescent="0.35">
      <c r="A13" s="46" t="s">
        <v>91</v>
      </c>
      <c r="B13" s="61"/>
      <c r="C13" s="87" t="s">
        <v>97</v>
      </c>
      <c r="D13" s="86" t="s">
        <v>96</v>
      </c>
      <c r="E13" s="86" t="s">
        <v>95</v>
      </c>
      <c r="F13" s="59"/>
      <c r="H13" s="73" t="s">
        <v>86</v>
      </c>
      <c r="I13" s="70">
        <f>C1/I9*I7</f>
        <v>4.3694444444444445</v>
      </c>
      <c r="J13" s="78">
        <f>IF(I13&gt;1,VLOOKUP(I13*10,$AA$27:$AA$133,1)/10,IF(I13&gt;0.099,VLOOKUP(I13*100,$AB$27:$AB$133,1)/100,VLOOKUP(I13*1000,$AB$27:$AB$133,1)/1000))</f>
        <v>4.32</v>
      </c>
      <c r="K13" s="78">
        <f ca="1">IF(I13&gt;1,OFFSET($AA$27,MATCH(I13*10,$AA$27:$AA$133,1),0)/10,IF(I13&gt;0.099, OFFSET($AB$27,MATCH(I13*100,$AB$27:$AB$133,1),0)/100,OFFSET($AB$27,MATCH(I13*1000,$AB$27:$AB$133,1),0)/1000))</f>
        <v>4.42</v>
      </c>
      <c r="L13" s="77" t="s">
        <v>92</v>
      </c>
      <c r="N13" s="61"/>
      <c r="O13" s="87" t="s">
        <v>97</v>
      </c>
      <c r="P13" s="86" t="s">
        <v>96</v>
      </c>
      <c r="Q13" s="86" t="s">
        <v>95</v>
      </c>
      <c r="R13" s="59"/>
      <c r="T13" s="73" t="s">
        <v>84</v>
      </c>
      <c r="U13" s="70">
        <f>IF(U9/U8*U7&gt;10, U9/U8*U7-10, U9/U8*U7)</f>
        <v>2</v>
      </c>
      <c r="V13" s="78">
        <f>IF(U13&gt;1,VLOOKUP(U13*10,$AA$27:$AA$133,1)/10,IF(U13&gt;0.099,VLOOKUP(U13*100,$AB$27:$AB$133,1)/100,VLOOKUP(U13*1000,$AB$27:$AB$133,1)/1000))</f>
        <v>2</v>
      </c>
      <c r="W13" s="78">
        <f ca="1">IF(U13&gt;1,OFFSET($AA$27,MATCH(U13*10,$AA$27:$AA$133,1),0)/10,IF(U13&gt;0.099, OFFSET($AB$27,MATCH(U13*100,$AB$27:$AB$133,1),0)/100,OFFSET($AB$27,MATCH(U13*1000,$AB$27:$AB$133,1),0)/1000))</f>
        <v>2.0499999999999998</v>
      </c>
      <c r="X13" s="77" t="s">
        <v>92</v>
      </c>
    </row>
    <row r="14" spans="1:24" ht="16.5" x14ac:dyDescent="0.35">
      <c r="A14" s="46" t="s">
        <v>91</v>
      </c>
      <c r="B14" s="73" t="s">
        <v>87</v>
      </c>
      <c r="C14" s="70">
        <f>C8*$C$1/C9*3/2</f>
        <v>5.6178571428571429</v>
      </c>
      <c r="D14" s="78">
        <f>IF(C14&gt;1,VLOOKUP(C14*10,$AA$27:$AA$133,1)/10,IF(C14&gt;0.099,VLOOKUP(C14*100,$AB$27:$AB$133,1)/100,VLOOKUP(C14*1000,$AB$27:$AB$133,1)/1000))</f>
        <v>5.49</v>
      </c>
      <c r="E14" s="78">
        <f ca="1">IF(C14&gt;1,OFFSET($AA$27,MATCH(C14*10,$AA$27:$AA$133,1),0)/10,IF(C14&gt;0.099, OFFSET($AB$27,MATCH(C14*100,$AB$27:$AB$133,1),0)/100,OFFSET($AB$27,MATCH(C14*1000,$AB$27:$AB$133,1),0)/1000))</f>
        <v>5.62</v>
      </c>
      <c r="F14" s="77" t="s">
        <v>92</v>
      </c>
      <c r="H14" s="73" t="s">
        <v>82</v>
      </c>
      <c r="I14" s="70">
        <f>(I8/C1-1)*I13</f>
        <v>7.1861111111111118</v>
      </c>
      <c r="J14" s="78">
        <f>IF(I14&gt;1,VLOOKUP(I14*10,$AA$27:$AA$133,1)/10,IF(I14&gt;0.099,VLOOKUP(I14*100,$AB$27:$AB$133,1)/100,VLOOKUP(I14*1000,$AB$27:$AB$133,1)/1000))</f>
        <v>7.15</v>
      </c>
      <c r="K14" s="78">
        <f ca="1">IF(I14&gt;1,OFFSET($AA$27,MATCH(I14*10,$AA$27:$AA$133,1),0)/10,IF(I14&gt;0.099, OFFSET($AB$27,MATCH(I14*100,$AB$27:$AB$133,1),0)/100,OFFSET($AB$27,MATCH(I14*1000,$AB$27:$AB$133,1),0)/1000))</f>
        <v>7.32</v>
      </c>
      <c r="L14" s="77" t="s">
        <v>92</v>
      </c>
      <c r="N14" s="73" t="s">
        <v>85</v>
      </c>
      <c r="O14" s="70">
        <f>IF(O8*$C$1/O9&lt;=10, O8*$C$1/O9, O8*$C$1/O9-10)</f>
        <v>4.9156249999999995</v>
      </c>
      <c r="P14" s="78">
        <f>IF(O14&gt;1,VLOOKUP(O14*10,$AA$26:$AA$132,1)/10,IF(O14&gt;0.099,VLOOKUP(O14*100,$AB$26:$AB$132,1)/100,VLOOKUP(O14*1000,$AB$26:$AB$132,1)/1000))</f>
        <v>4.87</v>
      </c>
      <c r="Q14" s="78">
        <f ca="1">IF(O14&gt;1,OFFSET($AA$26,MATCH(O14*10,$AA$26:$AA$132,1),0)/10,IF(O14&gt;0.099, OFFSET($AB$26,MATCH(O14*100,$AB$26:$AB$132,1),0)/100,OFFSET($AB$26,MATCH(O14*1000,$AB$26:$AB$132,1),0)/1000))</f>
        <v>4.99</v>
      </c>
      <c r="R14" s="77" t="s">
        <v>92</v>
      </c>
      <c r="T14" s="71" t="s">
        <v>76</v>
      </c>
      <c r="U14" s="85">
        <f>IF(U9/U8*U7&lt;=10,0,10)</f>
        <v>10</v>
      </c>
      <c r="V14" s="83">
        <f>IF(U9/U8*U7&lt;=10,0,10)</f>
        <v>10</v>
      </c>
      <c r="W14" s="83">
        <f>IF(U9/U8*U7&lt;=10,0,10)</f>
        <v>10</v>
      </c>
      <c r="X14" s="77" t="s">
        <v>92</v>
      </c>
    </row>
    <row r="15" spans="1:24" ht="16.5" x14ac:dyDescent="0.35">
      <c r="A15" s="46" t="s">
        <v>91</v>
      </c>
      <c r="B15" s="73" t="s">
        <v>83</v>
      </c>
      <c r="C15" s="70">
        <f>C8-C14</f>
        <v>7.3821428571428571</v>
      </c>
      <c r="D15" s="78">
        <f>IF(C15&gt;1,VLOOKUP(C15*10,$AA$27:$AA$133,1)/10,IF(C15&gt;0.099,VLOOKUP(C15*100,$AB$27:$AB$133,1)/100,VLOOKUP(C15*1000,$AB$27:$AB$133,1)/1000))</f>
        <v>7.32</v>
      </c>
      <c r="E15" s="78">
        <f ca="1">IF(C15&gt;1,OFFSET($AA$27,MATCH(C15*10,$AA$27:$AA$133,1),0)/10,IF(C15&gt;0.099, OFFSET($AB$27,MATCH(C15*100,$AB$27:$AB$133,1),0)/100,OFFSET($AB$27,MATCH(C15*1000,$AB$27:$AB$133,1),0)/1000))</f>
        <v>7.5</v>
      </c>
      <c r="F15" s="77" t="s">
        <v>92</v>
      </c>
      <c r="H15" s="73" t="s">
        <v>79</v>
      </c>
      <c r="I15" s="70">
        <f>I7-I13-I14</f>
        <v>1.4444444444444446</v>
      </c>
      <c r="J15" s="78">
        <f>IF(I15&gt;1,VLOOKUP(I15*10,$AA$27:$AA$133,1)/10,IF(I15&gt;0.099,VLOOKUP(I15*100,$AB$27:$AB$133,1)/100,VLOOKUP(I15*1000,$AB$27:$AB$133,1)/1000))</f>
        <v>1.4300000000000002</v>
      </c>
      <c r="K15" s="78">
        <f ca="1">IF(I15&gt;1,OFFSET($AA$27,MATCH(I15*10,$AA$27:$AA$133,1),0)/10,IF(I15&gt;0.099, OFFSET($AB$27,MATCH(I15*100,$AB$27:$AB$133,1),0)/100,OFFSET($AB$27,MATCH(I15*1000,$AB$27:$AB$133,1),0)/1000))</f>
        <v>1.47</v>
      </c>
      <c r="L15" s="77" t="s">
        <v>92</v>
      </c>
      <c r="N15" s="71" t="s">
        <v>76</v>
      </c>
      <c r="O15" s="84">
        <f>IF(O8*$C$1/O9&lt;=10,0,10)</f>
        <v>0</v>
      </c>
      <c r="P15" s="83">
        <f>IF(O8*$C$1/O9&lt;=10,0,10)</f>
        <v>0</v>
      </c>
      <c r="Q15" s="83">
        <f>IF(O8*$C$1/O9&lt;=10,0,10)</f>
        <v>0</v>
      </c>
      <c r="R15" s="77" t="s">
        <v>92</v>
      </c>
      <c r="T15" s="73" t="s">
        <v>77</v>
      </c>
      <c r="U15" s="70">
        <f>IF(U7-U9/U8*U7&gt;10, U7-U9/U8*U7-10, U7-U9/U8*U7)</f>
        <v>8</v>
      </c>
      <c r="V15" s="78">
        <f>IF(U15&gt;1,VLOOKUP(U15*10,$AA$27:$AA$133,1)/10,IF(U15&gt;0.099,VLOOKUP(U15*100,$AB$27:$AB$133,1)/100,VLOOKUP(U15*1000,$AB$27:$AB$133,1)/1000))</f>
        <v>7.87</v>
      </c>
      <c r="W15" s="78">
        <f ca="1">IF(U15&gt;1,OFFSET($AA$27,MATCH(U15*10,$AA$27:$AA$133,1),0)/10,IF(U15&gt;0.099, OFFSET($AB$27,MATCH(U15*100,$AB$27:$AB$133,1),0)/100,OFFSET($AB$27,MATCH(U15*1000,$AB$27:$AB$133,1),0)/1000))</f>
        <v>8.0599999999999987</v>
      </c>
      <c r="X15" s="77" t="s">
        <v>92</v>
      </c>
    </row>
    <row r="16" spans="1:24" ht="16.5" x14ac:dyDescent="0.35">
      <c r="A16" s="46" t="s">
        <v>91</v>
      </c>
      <c r="B16" s="73" t="s">
        <v>94</v>
      </c>
      <c r="C16" s="82"/>
      <c r="D16" s="78">
        <f>C1*(1+D15/D14)*3/2</f>
        <v>4.2349999999999994</v>
      </c>
      <c r="E16" s="78">
        <f ca="1">C1*(1+E15/E14)*3/2</f>
        <v>4.2371530249110325</v>
      </c>
      <c r="F16" s="77" t="s">
        <v>9</v>
      </c>
      <c r="H16" s="73" t="s">
        <v>93</v>
      </c>
      <c r="I16" s="60"/>
      <c r="J16" s="78">
        <f>C1*(1+J14/J13)</f>
        <v>3.2126620370370369</v>
      </c>
      <c r="K16" s="78">
        <f ca="1">C1*(1+K14/K13)</f>
        <v>3.2138914027149323</v>
      </c>
      <c r="L16" s="77" t="s">
        <v>9</v>
      </c>
      <c r="N16" s="73" t="s">
        <v>78</v>
      </c>
      <c r="O16" s="70">
        <f>IF(O8*$C$1/O9&lt;=10, O8-O14, O8-O14-10)</f>
        <v>8.0843750000000014</v>
      </c>
      <c r="P16" s="78">
        <f>IF(O16&gt;1,VLOOKUP(O16*10,$AA$26:$AA$132,1)/10,IF(O16&gt;0.099,VLOOKUP(O16*100,$AB$26:$AB$132,1)/100,VLOOKUP(O16*1000,$AB$26:$AB$132,1)/1000))</f>
        <v>8.0599999999999987</v>
      </c>
      <c r="Q16" s="78">
        <f ca="1">IF(O16&gt;1,OFFSET($AA$26,MATCH(O16*10,$AA$26:$AA$132,1),0)/10,IF(O16&gt;0.099, OFFSET($AB$26,MATCH(O16*100,$AB$26:$AB$132,1),0)/100,OFFSET($AB$26,MATCH(O16*1000,$AB$26:$AB$132,1),0)/1000))</f>
        <v>8.25</v>
      </c>
      <c r="R16" s="77" t="s">
        <v>92</v>
      </c>
      <c r="T16" s="71" t="s">
        <v>76</v>
      </c>
      <c r="U16" s="70">
        <f>IF(U7-U9/U8*U7&lt;=10, 0, 10)</f>
        <v>0</v>
      </c>
      <c r="V16" s="78">
        <f>IF(U7-U9/U8*U7&lt;=10, 0, 10)</f>
        <v>0</v>
      </c>
      <c r="W16" s="78">
        <f>IF(U7-U9/U8*U7&lt;=10, 0, 10)</f>
        <v>0</v>
      </c>
      <c r="X16" s="77" t="s">
        <v>92</v>
      </c>
    </row>
    <row r="17" spans="1:28" x14ac:dyDescent="0.35">
      <c r="A17" s="46" t="s">
        <v>91</v>
      </c>
      <c r="B17" s="61"/>
      <c r="C17" s="60"/>
      <c r="D17" s="60"/>
      <c r="E17" s="60"/>
      <c r="F17" s="59"/>
      <c r="H17" s="81" t="s">
        <v>90</v>
      </c>
      <c r="I17" s="60"/>
      <c r="J17" s="78">
        <f>(C1*((J13+J14+J15)/J13))</f>
        <v>3.6131944444444444</v>
      </c>
      <c r="K17" s="80">
        <f ca="1">(C1*((K13+K14+K15)/K13))</f>
        <v>3.6163122171945701</v>
      </c>
      <c r="L17" s="77" t="s">
        <v>9</v>
      </c>
      <c r="N17" s="73" t="s">
        <v>89</v>
      </c>
      <c r="O17" s="60"/>
      <c r="P17" s="78">
        <f>$C$1*(1+P16/(P14+P15))</f>
        <v>3.2125872689938393</v>
      </c>
      <c r="Q17" s="78">
        <f ca="1">$C$1*(1+Q16/(Q14+Q15))</f>
        <v>3.2105010020040079</v>
      </c>
      <c r="R17" s="79" t="s">
        <v>9</v>
      </c>
      <c r="T17" s="73" t="s">
        <v>88</v>
      </c>
      <c r="U17" s="60"/>
      <c r="V17" s="78">
        <f>U8*(V13+V14)/(V13+V14+V15+V16)</f>
        <v>3.0196275792652236</v>
      </c>
      <c r="W17" s="78">
        <f ca="1">U8*(W13+W14)/(W13+W14+W15+W16)</f>
        <v>2.9960218796618601</v>
      </c>
      <c r="X17" s="77" t="s">
        <v>9</v>
      </c>
    </row>
    <row r="18" spans="1:28" x14ac:dyDescent="0.35">
      <c r="A18" s="46"/>
      <c r="B18" s="61"/>
      <c r="C18" s="60"/>
      <c r="D18" s="60"/>
      <c r="E18" s="60"/>
      <c r="F18" s="59"/>
      <c r="H18" s="61"/>
      <c r="I18" s="60"/>
      <c r="J18" s="76"/>
      <c r="K18" s="60"/>
      <c r="L18" s="59"/>
      <c r="N18" s="61"/>
      <c r="O18" s="60"/>
      <c r="P18" s="60"/>
      <c r="Q18" s="60"/>
      <c r="R18" s="59"/>
      <c r="T18" s="61"/>
      <c r="U18" s="60"/>
      <c r="V18" s="60"/>
      <c r="W18" s="60"/>
      <c r="X18" s="59"/>
    </row>
    <row r="19" spans="1:28" x14ac:dyDescent="0.35">
      <c r="A19" s="46" t="s">
        <v>80</v>
      </c>
      <c r="B19" s="73" t="s">
        <v>87</v>
      </c>
      <c r="C19" s="187">
        <f ca="1">E14</f>
        <v>5.62</v>
      </c>
      <c r="D19" s="69" t="s">
        <v>75</v>
      </c>
      <c r="E19" s="60"/>
      <c r="F19" s="59"/>
      <c r="H19" s="73" t="s">
        <v>86</v>
      </c>
      <c r="I19" s="187">
        <f ca="1">K13</f>
        <v>4.42</v>
      </c>
      <c r="J19" s="69" t="s">
        <v>75</v>
      </c>
      <c r="K19" s="60"/>
      <c r="L19" s="59"/>
      <c r="N19" s="73" t="s">
        <v>85</v>
      </c>
      <c r="O19" s="187">
        <f>P14</f>
        <v>4.87</v>
      </c>
      <c r="P19" s="69" t="s">
        <v>75</v>
      </c>
      <c r="Q19" s="60"/>
      <c r="R19" s="59"/>
      <c r="T19" s="73" t="s">
        <v>84</v>
      </c>
      <c r="U19" s="187">
        <f>V13</f>
        <v>2</v>
      </c>
      <c r="V19" s="69" t="s">
        <v>75</v>
      </c>
      <c r="W19" s="60"/>
      <c r="X19" s="59"/>
    </row>
    <row r="20" spans="1:28" ht="16.5" x14ac:dyDescent="0.35">
      <c r="A20" s="46" t="s">
        <v>80</v>
      </c>
      <c r="B20" s="73" t="s">
        <v>83</v>
      </c>
      <c r="C20" s="187">
        <f>D15</f>
        <v>7.32</v>
      </c>
      <c r="D20" s="69" t="s">
        <v>75</v>
      </c>
      <c r="E20" s="60"/>
      <c r="F20" s="59"/>
      <c r="H20" s="73" t="s">
        <v>82</v>
      </c>
      <c r="I20" s="187">
        <f ca="1">K14</f>
        <v>7.32</v>
      </c>
      <c r="J20" s="69" t="s">
        <v>75</v>
      </c>
      <c r="K20" s="60"/>
      <c r="L20" s="59"/>
      <c r="N20" s="71" t="s">
        <v>81</v>
      </c>
      <c r="O20" s="75">
        <f>O15</f>
        <v>0</v>
      </c>
      <c r="P20" s="69" t="s">
        <v>75</v>
      </c>
      <c r="Q20" s="60"/>
      <c r="R20" s="59"/>
      <c r="T20" s="71" t="s">
        <v>76</v>
      </c>
      <c r="U20" s="70">
        <f>U14</f>
        <v>10</v>
      </c>
      <c r="V20" s="69" t="s">
        <v>75</v>
      </c>
      <c r="W20" s="60"/>
      <c r="X20" s="59"/>
    </row>
    <row r="21" spans="1:28" x14ac:dyDescent="0.35">
      <c r="A21" s="46" t="s">
        <v>80</v>
      </c>
      <c r="B21" s="61"/>
      <c r="C21" s="74"/>
      <c r="D21" s="60"/>
      <c r="E21" s="60"/>
      <c r="F21" s="59"/>
      <c r="H21" s="73" t="s">
        <v>79</v>
      </c>
      <c r="I21" s="187">
        <f>J15</f>
        <v>1.4300000000000002</v>
      </c>
      <c r="J21" s="69" t="s">
        <v>75</v>
      </c>
      <c r="K21" s="60"/>
      <c r="L21" s="59"/>
      <c r="N21" s="73" t="s">
        <v>78</v>
      </c>
      <c r="O21" s="187">
        <f>P16</f>
        <v>8.0599999999999987</v>
      </c>
      <c r="P21" s="69" t="s">
        <v>75</v>
      </c>
      <c r="Q21" s="60"/>
      <c r="R21" s="59"/>
      <c r="T21" s="73" t="s">
        <v>77</v>
      </c>
      <c r="U21" s="187">
        <f>V15</f>
        <v>7.87</v>
      </c>
      <c r="V21" s="69" t="s">
        <v>75</v>
      </c>
      <c r="W21" s="60"/>
      <c r="X21" s="59"/>
    </row>
    <row r="22" spans="1:28" ht="16.5" x14ac:dyDescent="0.35">
      <c r="A22" s="46"/>
      <c r="B22" s="61"/>
      <c r="C22" s="60"/>
      <c r="D22" s="60"/>
      <c r="E22" s="60"/>
      <c r="F22" s="59"/>
      <c r="H22" s="61"/>
      <c r="I22" s="60"/>
      <c r="J22" s="60"/>
      <c r="K22" s="60"/>
      <c r="L22" s="59"/>
      <c r="N22" s="61"/>
      <c r="O22" s="60"/>
      <c r="P22" s="60"/>
      <c r="Q22" s="60"/>
      <c r="R22" s="59"/>
      <c r="T22" s="71" t="s">
        <v>76</v>
      </c>
      <c r="U22" s="70">
        <f>U16</f>
        <v>0</v>
      </c>
      <c r="V22" s="69" t="s">
        <v>75</v>
      </c>
      <c r="W22" s="60"/>
      <c r="X22" s="59"/>
    </row>
    <row r="23" spans="1:28" ht="16.5" x14ac:dyDescent="0.35">
      <c r="A23" s="46" t="s">
        <v>71</v>
      </c>
      <c r="B23" s="65" t="s">
        <v>74</v>
      </c>
      <c r="C23" s="64">
        <f ca="1">$C$1*(1+C20/C19)*3/2</f>
        <v>4.1790213523131667</v>
      </c>
      <c r="D23" s="68" t="s">
        <v>9</v>
      </c>
      <c r="E23" s="63">
        <f ca="1">(C23-C9)/C23*100</f>
        <v>-0.50199905476006634</v>
      </c>
      <c r="F23" s="66" t="s">
        <v>68</v>
      </c>
      <c r="H23" s="65" t="s">
        <v>73</v>
      </c>
      <c r="I23" s="64">
        <f ca="1">C1*(1+I20/I19)</f>
        <v>3.2138914027149323</v>
      </c>
      <c r="J23" s="67" t="s">
        <v>9</v>
      </c>
      <c r="K23" s="63">
        <f ca="1">(I23-I8)/I23*100</f>
        <v>0.43222999704337906</v>
      </c>
      <c r="L23" s="66" t="s">
        <v>68</v>
      </c>
      <c r="N23" s="65" t="s">
        <v>72</v>
      </c>
      <c r="O23" s="64">
        <f>$C$1*(1+O21/(O19+O20))</f>
        <v>3.2125872689938393</v>
      </c>
      <c r="P23" s="63">
        <f>(O23-O9)/O23*100</f>
        <v>0.39181095920178238</v>
      </c>
      <c r="Q23" s="62" t="s">
        <v>68</v>
      </c>
      <c r="R23" s="59"/>
      <c r="T23" s="61"/>
      <c r="U23" s="60"/>
      <c r="V23" s="60"/>
      <c r="W23" s="60"/>
      <c r="X23" s="59"/>
    </row>
    <row r="24" spans="1:28" ht="17" thickBot="1" x14ac:dyDescent="0.4">
      <c r="A24" s="46" t="s">
        <v>71</v>
      </c>
      <c r="B24" s="55"/>
      <c r="C24" s="54"/>
      <c r="D24" s="54"/>
      <c r="E24" s="53"/>
      <c r="F24" s="52"/>
      <c r="H24" s="51" t="s">
        <v>70</v>
      </c>
      <c r="I24" s="58">
        <f ca="1">(C1*((I19+I20+I21)/I19))</f>
        <v>3.6053619909502261</v>
      </c>
      <c r="J24" s="57" t="s">
        <v>9</v>
      </c>
      <c r="K24" s="56">
        <f ca="1">(I24-I9)/I24*100</f>
        <v>0.14872267926730004</v>
      </c>
      <c r="L24" s="47" t="s">
        <v>68</v>
      </c>
      <c r="N24" s="55"/>
      <c r="O24" s="54"/>
      <c r="P24" s="54"/>
      <c r="Q24" s="53"/>
      <c r="R24" s="52"/>
      <c r="T24" s="51" t="s">
        <v>69</v>
      </c>
      <c r="U24" s="50">
        <f>U8*(U19+U20)/(U19+U20+U21+U22)</f>
        <v>3.0196275792652236</v>
      </c>
      <c r="V24" s="49" t="s">
        <v>9</v>
      </c>
      <c r="W24" s="48">
        <f>(U24-U9)/U24*100</f>
        <v>0.64999999999998925</v>
      </c>
      <c r="X24" s="47" t="s">
        <v>68</v>
      </c>
    </row>
    <row r="25" spans="1:28" x14ac:dyDescent="0.35">
      <c r="A25" s="46"/>
      <c r="E25" s="29"/>
      <c r="F25" s="45"/>
      <c r="I25" s="45"/>
      <c r="J25" s="45"/>
      <c r="K25" s="45"/>
      <c r="R25" s="45"/>
    </row>
    <row r="26" spans="1:28" ht="16.5" x14ac:dyDescent="0.35">
      <c r="B26" s="43"/>
      <c r="E26" s="42" t="s">
        <v>67</v>
      </c>
      <c r="AA26" s="44">
        <v>0.01</v>
      </c>
      <c r="AB26" s="44">
        <v>0.01</v>
      </c>
    </row>
    <row r="27" spans="1:28" x14ac:dyDescent="0.35">
      <c r="B27" s="43"/>
      <c r="E27" s="42" t="s">
        <v>66</v>
      </c>
      <c r="AA27" s="2">
        <v>10</v>
      </c>
      <c r="AB27" s="2">
        <v>10</v>
      </c>
    </row>
    <row r="28" spans="1:28" ht="16.5" x14ac:dyDescent="0.35">
      <c r="E28" t="s">
        <v>65</v>
      </c>
      <c r="AA28" s="2">
        <v>11</v>
      </c>
      <c r="AB28" s="2">
        <v>11</v>
      </c>
    </row>
    <row r="29" spans="1:28" ht="16.5" x14ac:dyDescent="0.35">
      <c r="D29" s="41"/>
      <c r="E29" s="40" t="s">
        <v>64</v>
      </c>
      <c r="AA29" s="2">
        <v>11.3</v>
      </c>
      <c r="AB29" s="2">
        <v>11.3</v>
      </c>
    </row>
    <row r="30" spans="1:28" x14ac:dyDescent="0.35">
      <c r="C30" s="39"/>
      <c r="AA30" s="2">
        <v>12.7</v>
      </c>
      <c r="AB30" s="2">
        <v>12.4</v>
      </c>
    </row>
    <row r="31" spans="1:28" x14ac:dyDescent="0.35">
      <c r="C31" s="39"/>
      <c r="AA31" s="2">
        <v>13</v>
      </c>
      <c r="AB31" s="2">
        <v>12.7</v>
      </c>
    </row>
    <row r="32" spans="1:28" x14ac:dyDescent="0.35">
      <c r="C32" s="39"/>
      <c r="AA32" s="2">
        <v>13.3</v>
      </c>
      <c r="AB32" s="2">
        <v>13</v>
      </c>
    </row>
    <row r="33" spans="3:28" x14ac:dyDescent="0.35">
      <c r="AA33" s="2">
        <v>13.7</v>
      </c>
      <c r="AB33" s="2">
        <v>13.3</v>
      </c>
    </row>
    <row r="34" spans="3:28" x14ac:dyDescent="0.35">
      <c r="C34" s="37"/>
      <c r="D34" s="38"/>
      <c r="AA34" s="2">
        <v>14</v>
      </c>
      <c r="AB34" s="2">
        <v>13.7</v>
      </c>
    </row>
    <row r="35" spans="3:28" x14ac:dyDescent="0.35">
      <c r="C35" s="37"/>
      <c r="D35" s="37"/>
      <c r="AA35" s="2">
        <v>14.3</v>
      </c>
      <c r="AB35" s="2">
        <v>14</v>
      </c>
    </row>
    <row r="36" spans="3:28" x14ac:dyDescent="0.35">
      <c r="AA36" s="2">
        <v>14.7</v>
      </c>
      <c r="AB36" s="2">
        <v>14.3</v>
      </c>
    </row>
    <row r="37" spans="3:28" x14ac:dyDescent="0.35">
      <c r="AA37" s="2">
        <v>15</v>
      </c>
      <c r="AB37" s="2">
        <v>14.7</v>
      </c>
    </row>
    <row r="38" spans="3:28" x14ac:dyDescent="0.35">
      <c r="AA38" s="2">
        <v>15.4</v>
      </c>
      <c r="AB38" s="2">
        <v>15</v>
      </c>
    </row>
    <row r="39" spans="3:28" x14ac:dyDescent="0.35">
      <c r="AA39" s="2">
        <v>15.8</v>
      </c>
      <c r="AB39" s="2">
        <v>15.4</v>
      </c>
    </row>
    <row r="40" spans="3:28" x14ac:dyDescent="0.35">
      <c r="AA40" s="2">
        <v>16.2</v>
      </c>
      <c r="AB40" s="2">
        <v>15.8</v>
      </c>
    </row>
    <row r="41" spans="3:28" x14ac:dyDescent="0.35">
      <c r="AA41" s="2">
        <v>16.5</v>
      </c>
      <c r="AB41" s="2">
        <v>16</v>
      </c>
    </row>
    <row r="42" spans="3:28" x14ac:dyDescent="0.35">
      <c r="AA42" s="2">
        <v>16.899999999999999</v>
      </c>
      <c r="AB42" s="2">
        <v>16.2</v>
      </c>
    </row>
    <row r="43" spans="3:28" x14ac:dyDescent="0.35">
      <c r="AA43" s="2">
        <v>17.399999999999999</v>
      </c>
      <c r="AB43" s="2">
        <v>16.5</v>
      </c>
    </row>
    <row r="44" spans="3:28" x14ac:dyDescent="0.35">
      <c r="AA44" s="2">
        <v>17.8</v>
      </c>
      <c r="AB44" s="2">
        <v>16.899999999999999</v>
      </c>
    </row>
    <row r="45" spans="3:28" x14ac:dyDescent="0.35">
      <c r="AA45" s="2">
        <v>18.2</v>
      </c>
      <c r="AB45" s="2">
        <v>17.399999999999999</v>
      </c>
    </row>
    <row r="46" spans="3:28" x14ac:dyDescent="0.35">
      <c r="AA46" s="2">
        <v>18.7</v>
      </c>
      <c r="AB46" s="2">
        <v>17.8</v>
      </c>
    </row>
    <row r="47" spans="3:28" x14ac:dyDescent="0.35">
      <c r="AA47" s="2">
        <v>19.100000000000001</v>
      </c>
      <c r="AB47" s="2">
        <v>18</v>
      </c>
    </row>
    <row r="48" spans="3:28" x14ac:dyDescent="0.35">
      <c r="AA48" s="2">
        <v>19.600000000000001</v>
      </c>
      <c r="AB48" s="2">
        <v>18.2</v>
      </c>
    </row>
    <row r="49" spans="27:28" x14ac:dyDescent="0.35">
      <c r="AA49" s="2">
        <v>20</v>
      </c>
      <c r="AB49" s="2">
        <v>18.7</v>
      </c>
    </row>
    <row r="50" spans="27:28" x14ac:dyDescent="0.35">
      <c r="AA50" s="2">
        <v>20.5</v>
      </c>
      <c r="AB50" s="2">
        <v>19.100000000000001</v>
      </c>
    </row>
    <row r="51" spans="27:28" x14ac:dyDescent="0.35">
      <c r="AA51" s="2">
        <v>21</v>
      </c>
      <c r="AB51" s="2">
        <v>19.600000000000001</v>
      </c>
    </row>
    <row r="52" spans="27:28" x14ac:dyDescent="0.35">
      <c r="AA52" s="2">
        <v>21.5</v>
      </c>
      <c r="AB52" s="2">
        <v>20</v>
      </c>
    </row>
    <row r="53" spans="27:28" x14ac:dyDescent="0.35">
      <c r="AA53" s="2">
        <v>22.1</v>
      </c>
      <c r="AB53" s="2">
        <v>20.5</v>
      </c>
    </row>
    <row r="54" spans="27:28" x14ac:dyDescent="0.35">
      <c r="AA54" s="2">
        <v>22.6</v>
      </c>
      <c r="AB54" s="2">
        <v>21</v>
      </c>
    </row>
    <row r="55" spans="27:28" x14ac:dyDescent="0.35">
      <c r="AA55" s="2">
        <v>23.2</v>
      </c>
      <c r="AB55" s="2">
        <v>21.5</v>
      </c>
    </row>
    <row r="56" spans="27:28" x14ac:dyDescent="0.35">
      <c r="AA56" s="2">
        <v>23.7</v>
      </c>
      <c r="AB56" s="2">
        <v>22</v>
      </c>
    </row>
    <row r="57" spans="27:28" x14ac:dyDescent="0.35">
      <c r="AA57" s="2">
        <v>24.3</v>
      </c>
      <c r="AB57" s="2">
        <v>22.1</v>
      </c>
    </row>
    <row r="58" spans="27:28" x14ac:dyDescent="0.35">
      <c r="AA58" s="2">
        <v>24.9</v>
      </c>
      <c r="AB58" s="2">
        <v>22.6</v>
      </c>
    </row>
    <row r="59" spans="27:28" x14ac:dyDescent="0.35">
      <c r="AA59" s="2">
        <v>25.5</v>
      </c>
      <c r="AB59" s="2">
        <v>23.2</v>
      </c>
    </row>
    <row r="60" spans="27:28" x14ac:dyDescent="0.35">
      <c r="AA60" s="2">
        <v>26.1</v>
      </c>
      <c r="AB60" s="2">
        <v>23.7</v>
      </c>
    </row>
    <row r="61" spans="27:28" x14ac:dyDescent="0.35">
      <c r="AA61" s="2">
        <v>26.7</v>
      </c>
      <c r="AB61" s="2">
        <v>24.3</v>
      </c>
    </row>
    <row r="62" spans="27:28" x14ac:dyDescent="0.35">
      <c r="AA62" s="2">
        <v>27.4</v>
      </c>
      <c r="AB62" s="2">
        <v>24.9</v>
      </c>
    </row>
    <row r="63" spans="27:28" x14ac:dyDescent="0.35">
      <c r="AA63" s="2">
        <v>28</v>
      </c>
      <c r="AB63" s="2">
        <v>25.5</v>
      </c>
    </row>
    <row r="64" spans="27:28" x14ac:dyDescent="0.35">
      <c r="AA64" s="2">
        <v>28.7</v>
      </c>
      <c r="AB64" s="2">
        <v>26.1</v>
      </c>
    </row>
    <row r="65" spans="27:28" x14ac:dyDescent="0.35">
      <c r="AA65" s="2">
        <v>29.4</v>
      </c>
      <c r="AB65" s="2">
        <v>26.7</v>
      </c>
    </row>
    <row r="66" spans="27:28" x14ac:dyDescent="0.35">
      <c r="AA66" s="2">
        <v>30.1</v>
      </c>
      <c r="AB66" s="2">
        <v>27</v>
      </c>
    </row>
    <row r="67" spans="27:28" x14ac:dyDescent="0.35">
      <c r="AA67" s="2">
        <v>30.9</v>
      </c>
      <c r="AB67" s="2">
        <v>27.4</v>
      </c>
    </row>
    <row r="68" spans="27:28" x14ac:dyDescent="0.35">
      <c r="AA68" s="2">
        <v>31.6</v>
      </c>
      <c r="AB68" s="2">
        <v>28</v>
      </c>
    </row>
    <row r="69" spans="27:28" x14ac:dyDescent="0.35">
      <c r="AA69" s="2">
        <v>32.4</v>
      </c>
      <c r="AB69" s="2">
        <v>28.7</v>
      </c>
    </row>
    <row r="70" spans="27:28" x14ac:dyDescent="0.35">
      <c r="AA70" s="2">
        <v>33.200000000000003</v>
      </c>
      <c r="AB70" s="2">
        <v>29.4</v>
      </c>
    </row>
    <row r="71" spans="27:28" x14ac:dyDescent="0.35">
      <c r="AA71" s="2">
        <v>34</v>
      </c>
      <c r="AB71" s="2">
        <v>30</v>
      </c>
    </row>
    <row r="72" spans="27:28" x14ac:dyDescent="0.35">
      <c r="AA72" s="2">
        <v>34.799999999999997</v>
      </c>
      <c r="AB72" s="2">
        <v>30.1</v>
      </c>
    </row>
    <row r="73" spans="27:28" x14ac:dyDescent="0.35">
      <c r="AA73" s="2">
        <v>35.700000000000003</v>
      </c>
      <c r="AB73" s="2">
        <v>30.9</v>
      </c>
    </row>
    <row r="74" spans="27:28" x14ac:dyDescent="0.35">
      <c r="AA74" s="2">
        <v>36.5</v>
      </c>
      <c r="AB74" s="2">
        <v>31.6</v>
      </c>
    </row>
    <row r="75" spans="27:28" x14ac:dyDescent="0.35">
      <c r="AA75" s="2">
        <v>37.4</v>
      </c>
      <c r="AB75" s="2">
        <v>32.4</v>
      </c>
    </row>
    <row r="76" spans="27:28" x14ac:dyDescent="0.35">
      <c r="AA76" s="2">
        <v>38.299999999999997</v>
      </c>
      <c r="AB76" s="2">
        <v>33</v>
      </c>
    </row>
    <row r="77" spans="27:28" x14ac:dyDescent="0.35">
      <c r="AA77" s="2">
        <v>39.200000000000003</v>
      </c>
      <c r="AB77" s="2">
        <v>33.200000000000003</v>
      </c>
    </row>
    <row r="78" spans="27:28" x14ac:dyDescent="0.35">
      <c r="AA78" s="2">
        <v>40.200000000000003</v>
      </c>
      <c r="AB78" s="2">
        <v>34</v>
      </c>
    </row>
    <row r="79" spans="27:28" x14ac:dyDescent="0.35">
      <c r="AA79" s="2">
        <v>41.2</v>
      </c>
      <c r="AB79" s="2">
        <v>34.799999999999997</v>
      </c>
    </row>
    <row r="80" spans="27:28" x14ac:dyDescent="0.35">
      <c r="AA80" s="2">
        <v>42.2</v>
      </c>
      <c r="AB80" s="2">
        <v>35.700000000000003</v>
      </c>
    </row>
    <row r="81" spans="27:28" x14ac:dyDescent="0.35">
      <c r="AA81" s="2">
        <v>43.2</v>
      </c>
      <c r="AB81" s="2">
        <v>36</v>
      </c>
    </row>
    <row r="82" spans="27:28" x14ac:dyDescent="0.35">
      <c r="AA82" s="2">
        <v>44.2</v>
      </c>
      <c r="AB82" s="2">
        <v>36.5</v>
      </c>
    </row>
    <row r="83" spans="27:28" x14ac:dyDescent="0.35">
      <c r="AA83" s="2">
        <v>45.3</v>
      </c>
      <c r="AB83" s="2">
        <v>37.4</v>
      </c>
    </row>
    <row r="84" spans="27:28" x14ac:dyDescent="0.35">
      <c r="AA84" s="2">
        <v>46.4</v>
      </c>
      <c r="AB84" s="2">
        <v>38.299999999999997</v>
      </c>
    </row>
    <row r="85" spans="27:28" x14ac:dyDescent="0.35">
      <c r="AA85" s="2">
        <v>47.5</v>
      </c>
      <c r="AB85" s="2">
        <v>39</v>
      </c>
    </row>
    <row r="86" spans="27:28" x14ac:dyDescent="0.35">
      <c r="AA86" s="2">
        <v>48.7</v>
      </c>
      <c r="AB86" s="2">
        <v>39.200000000000003</v>
      </c>
    </row>
    <row r="87" spans="27:28" x14ac:dyDescent="0.35">
      <c r="AA87" s="2">
        <v>49.9</v>
      </c>
      <c r="AB87" s="2">
        <v>40.200000000000003</v>
      </c>
    </row>
    <row r="88" spans="27:28" x14ac:dyDescent="0.35">
      <c r="AA88" s="2">
        <v>51.1</v>
      </c>
      <c r="AB88" s="2">
        <v>41.2</v>
      </c>
    </row>
    <row r="89" spans="27:28" x14ac:dyDescent="0.35">
      <c r="AA89" s="2">
        <v>52.3</v>
      </c>
      <c r="AB89" s="2">
        <v>42.2</v>
      </c>
    </row>
    <row r="90" spans="27:28" x14ac:dyDescent="0.35">
      <c r="AA90" s="2">
        <v>53.6</v>
      </c>
      <c r="AB90" s="2">
        <v>43</v>
      </c>
    </row>
    <row r="91" spans="27:28" x14ac:dyDescent="0.35">
      <c r="AA91" s="2">
        <v>54.9</v>
      </c>
      <c r="AB91" s="2">
        <v>43.2</v>
      </c>
    </row>
    <row r="92" spans="27:28" x14ac:dyDescent="0.35">
      <c r="AA92" s="2">
        <v>56.2</v>
      </c>
      <c r="AB92" s="2">
        <v>44.2</v>
      </c>
    </row>
    <row r="93" spans="27:28" x14ac:dyDescent="0.35">
      <c r="AA93" s="2">
        <v>57.6</v>
      </c>
      <c r="AB93" s="2">
        <v>45.3</v>
      </c>
    </row>
    <row r="94" spans="27:28" x14ac:dyDescent="0.35">
      <c r="AA94" s="2">
        <v>59</v>
      </c>
      <c r="AB94" s="2">
        <v>46.4</v>
      </c>
    </row>
    <row r="95" spans="27:28" x14ac:dyDescent="0.35">
      <c r="AA95" s="2">
        <v>60.4</v>
      </c>
      <c r="AB95" s="2">
        <v>47</v>
      </c>
    </row>
    <row r="96" spans="27:28" x14ac:dyDescent="0.35">
      <c r="AA96" s="2">
        <v>61.9</v>
      </c>
      <c r="AB96" s="2">
        <v>47.5</v>
      </c>
    </row>
    <row r="97" spans="27:28" x14ac:dyDescent="0.35">
      <c r="AA97" s="2">
        <v>63.4</v>
      </c>
      <c r="AB97" s="2">
        <v>48.7</v>
      </c>
    </row>
    <row r="98" spans="27:28" x14ac:dyDescent="0.35">
      <c r="AA98" s="2">
        <v>64.900000000000006</v>
      </c>
      <c r="AB98" s="2">
        <v>49.9</v>
      </c>
    </row>
    <row r="99" spans="27:28" x14ac:dyDescent="0.35">
      <c r="AA99" s="2">
        <v>66.5</v>
      </c>
      <c r="AB99" s="2">
        <v>51</v>
      </c>
    </row>
    <row r="100" spans="27:28" x14ac:dyDescent="0.35">
      <c r="AA100" s="2">
        <v>68.099999999999994</v>
      </c>
      <c r="AB100" s="2">
        <v>51.1</v>
      </c>
    </row>
    <row r="101" spans="27:28" x14ac:dyDescent="0.35">
      <c r="AA101" s="2">
        <v>69.8</v>
      </c>
      <c r="AB101" s="2">
        <v>52.3</v>
      </c>
    </row>
    <row r="102" spans="27:28" x14ac:dyDescent="0.35">
      <c r="AA102" s="2">
        <v>71.5</v>
      </c>
      <c r="AB102" s="2">
        <v>53.6</v>
      </c>
    </row>
    <row r="103" spans="27:28" x14ac:dyDescent="0.35">
      <c r="AA103" s="2">
        <v>73.2</v>
      </c>
      <c r="AB103" s="2">
        <v>54.9</v>
      </c>
    </row>
    <row r="104" spans="27:28" x14ac:dyDescent="0.35">
      <c r="AA104" s="2">
        <v>75</v>
      </c>
      <c r="AB104" s="2">
        <v>56</v>
      </c>
    </row>
    <row r="105" spans="27:28" x14ac:dyDescent="0.35">
      <c r="AA105" s="2">
        <v>76.8</v>
      </c>
      <c r="AB105" s="2">
        <v>56.2</v>
      </c>
    </row>
    <row r="106" spans="27:28" x14ac:dyDescent="0.35">
      <c r="AA106" s="2">
        <v>78.7</v>
      </c>
      <c r="AB106" s="2">
        <v>57.6</v>
      </c>
    </row>
    <row r="107" spans="27:28" x14ac:dyDescent="0.35">
      <c r="AA107" s="2">
        <v>80.599999999999994</v>
      </c>
      <c r="AB107" s="2">
        <v>59</v>
      </c>
    </row>
    <row r="108" spans="27:28" x14ac:dyDescent="0.35">
      <c r="AA108" s="2">
        <v>82.5</v>
      </c>
      <c r="AB108" s="2">
        <v>60.4</v>
      </c>
    </row>
    <row r="109" spans="27:28" x14ac:dyDescent="0.35">
      <c r="AA109" s="2">
        <v>84.5</v>
      </c>
      <c r="AB109" s="2">
        <v>61.9</v>
      </c>
    </row>
    <row r="110" spans="27:28" x14ac:dyDescent="0.35">
      <c r="AA110" s="2">
        <v>86.6</v>
      </c>
      <c r="AB110" s="2">
        <v>62</v>
      </c>
    </row>
    <row r="111" spans="27:28" x14ac:dyDescent="0.35">
      <c r="AA111" s="2">
        <v>88.7</v>
      </c>
      <c r="AB111" s="2">
        <v>63.4</v>
      </c>
    </row>
    <row r="112" spans="27:28" x14ac:dyDescent="0.35">
      <c r="AA112" s="2">
        <v>90.9</v>
      </c>
      <c r="AB112" s="2">
        <v>64.900000000000006</v>
      </c>
    </row>
    <row r="113" spans="27:28" x14ac:dyDescent="0.35">
      <c r="AA113" s="2">
        <v>93.1</v>
      </c>
      <c r="AB113" s="2">
        <v>66.5</v>
      </c>
    </row>
    <row r="114" spans="27:28" x14ac:dyDescent="0.35">
      <c r="AA114" s="2">
        <v>95.3</v>
      </c>
      <c r="AB114" s="2">
        <v>68</v>
      </c>
    </row>
    <row r="115" spans="27:28" x14ac:dyDescent="0.35">
      <c r="AA115" s="2">
        <v>97.6</v>
      </c>
      <c r="AB115" s="2">
        <v>68.099999999999994</v>
      </c>
    </row>
    <row r="116" spans="27:28" x14ac:dyDescent="0.35">
      <c r="AA116" s="2">
        <v>100</v>
      </c>
      <c r="AB116" s="2">
        <v>69.8</v>
      </c>
    </row>
    <row r="117" spans="27:28" x14ac:dyDescent="0.35">
      <c r="AA117" s="2"/>
      <c r="AB117" s="2">
        <v>71.5</v>
      </c>
    </row>
    <row r="118" spans="27:28" x14ac:dyDescent="0.35">
      <c r="AA118" s="2"/>
      <c r="AB118" s="2">
        <v>73.2</v>
      </c>
    </row>
    <row r="119" spans="27:28" x14ac:dyDescent="0.35">
      <c r="AA119" s="2"/>
      <c r="AB119" s="2">
        <v>75</v>
      </c>
    </row>
    <row r="120" spans="27:28" x14ac:dyDescent="0.35">
      <c r="AA120" s="2"/>
      <c r="AB120" s="2">
        <v>76.8</v>
      </c>
    </row>
    <row r="121" spans="27:28" x14ac:dyDescent="0.35">
      <c r="AA121" s="2"/>
      <c r="AB121" s="2">
        <v>78.7</v>
      </c>
    </row>
    <row r="122" spans="27:28" x14ac:dyDescent="0.35">
      <c r="AA122" s="2"/>
      <c r="AB122" s="2">
        <v>80.599999999999994</v>
      </c>
    </row>
    <row r="123" spans="27:28" x14ac:dyDescent="0.35">
      <c r="AA123" s="2"/>
      <c r="AB123" s="2">
        <v>82</v>
      </c>
    </row>
    <row r="124" spans="27:28" x14ac:dyDescent="0.35">
      <c r="AA124" s="2"/>
      <c r="AB124" s="2">
        <v>82.5</v>
      </c>
    </row>
    <row r="125" spans="27:28" x14ac:dyDescent="0.35">
      <c r="AA125" s="2"/>
      <c r="AB125" s="2">
        <v>84.5</v>
      </c>
    </row>
    <row r="126" spans="27:28" x14ac:dyDescent="0.35">
      <c r="AA126" s="2"/>
      <c r="AB126" s="2">
        <v>86.6</v>
      </c>
    </row>
    <row r="127" spans="27:28" x14ac:dyDescent="0.35">
      <c r="AA127" s="2"/>
      <c r="AB127" s="2">
        <v>88.7</v>
      </c>
    </row>
    <row r="128" spans="27:28" x14ac:dyDescent="0.35">
      <c r="AA128" s="2"/>
      <c r="AB128" s="2">
        <v>90.9</v>
      </c>
    </row>
    <row r="129" spans="27:28" x14ac:dyDescent="0.35">
      <c r="AA129" s="2"/>
      <c r="AB129" s="2">
        <v>91</v>
      </c>
    </row>
    <row r="130" spans="27:28" x14ac:dyDescent="0.35">
      <c r="AA130" s="2"/>
      <c r="AB130" s="2">
        <v>93.1</v>
      </c>
    </row>
    <row r="131" spans="27:28" x14ac:dyDescent="0.35">
      <c r="AA131" s="2"/>
      <c r="AB131" s="2">
        <v>95.3</v>
      </c>
    </row>
    <row r="132" spans="27:28" x14ac:dyDescent="0.35">
      <c r="AA132" s="2"/>
      <c r="AB132" s="2">
        <v>97.6</v>
      </c>
    </row>
    <row r="133" spans="27:28" x14ac:dyDescent="0.35">
      <c r="AB133" s="36">
        <v>100</v>
      </c>
    </row>
    <row r="147" spans="8:8" x14ac:dyDescent="0.35">
      <c r="H147" s="35"/>
    </row>
    <row r="148" spans="8:8" x14ac:dyDescent="0.35">
      <c r="H148" s="35"/>
    </row>
    <row r="149" spans="8:8" x14ac:dyDescent="0.35">
      <c r="H149" s="35"/>
    </row>
    <row r="150" spans="8:8" x14ac:dyDescent="0.35">
      <c r="H150" s="35"/>
    </row>
    <row r="151" spans="8:8" x14ac:dyDescent="0.35">
      <c r="H151" s="35"/>
    </row>
    <row r="152" spans="8:8" x14ac:dyDescent="0.35">
      <c r="H152" s="35"/>
    </row>
    <row r="153" spans="8:8" x14ac:dyDescent="0.35">
      <c r="H153" s="35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autoPict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114300</xdr:colOff>
                <xdr:row>66</xdr:row>
                <xdr:rowOff>95250</xdr:rowOff>
              </to>
            </anchor>
          </objectPr>
        </oleObject>
      </mc:Choice>
      <mc:Fallback>
        <oleObject progId="Visio.Drawing.11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18A6-6967-40C4-B9F4-D10EA294DD79}">
  <dimension ref="B2:G59"/>
  <sheetViews>
    <sheetView workbookViewId="0">
      <selection activeCell="J46" sqref="J46"/>
    </sheetView>
  </sheetViews>
  <sheetFormatPr defaultRowHeight="14.5" x14ac:dyDescent="0.35"/>
  <cols>
    <col min="2" max="2" width="25.54296875" customWidth="1"/>
    <col min="3" max="3" width="19.26953125" customWidth="1"/>
  </cols>
  <sheetData>
    <row r="2" spans="2:6" x14ac:dyDescent="0.35">
      <c r="B2" s="254" t="s">
        <v>202</v>
      </c>
      <c r="C2" s="255"/>
      <c r="D2" s="255"/>
      <c r="E2" s="255"/>
      <c r="F2" s="256"/>
    </row>
    <row r="3" spans="2:6" x14ac:dyDescent="0.35">
      <c r="B3" s="181" t="s">
        <v>203</v>
      </c>
      <c r="C3" s="182" t="s">
        <v>204</v>
      </c>
      <c r="D3" s="183" t="s">
        <v>205</v>
      </c>
      <c r="E3" s="182" t="s">
        <v>206</v>
      </c>
      <c r="F3" s="184" t="s">
        <v>207</v>
      </c>
    </row>
    <row r="4" spans="2:6" x14ac:dyDescent="0.35">
      <c r="B4" s="185" t="s">
        <v>208</v>
      </c>
      <c r="C4" s="140" t="s">
        <v>209</v>
      </c>
      <c r="D4">
        <v>350</v>
      </c>
      <c r="E4" s="25"/>
      <c r="F4" s="25" t="s">
        <v>210</v>
      </c>
    </row>
    <row r="5" spans="2:6" x14ac:dyDescent="0.35">
      <c r="B5" s="185" t="s">
        <v>211</v>
      </c>
      <c r="C5" s="140" t="s">
        <v>212</v>
      </c>
      <c r="D5">
        <v>100</v>
      </c>
      <c r="E5" s="140"/>
      <c r="F5" s="140" t="s">
        <v>210</v>
      </c>
    </row>
    <row r="6" spans="2:6" x14ac:dyDescent="0.35">
      <c r="B6" s="185" t="s">
        <v>213</v>
      </c>
      <c r="C6" s="140" t="s">
        <v>214</v>
      </c>
      <c r="D6">
        <v>50</v>
      </c>
      <c r="E6" s="140"/>
      <c r="F6" s="140" t="s">
        <v>210</v>
      </c>
    </row>
    <row r="7" spans="2:6" x14ac:dyDescent="0.35">
      <c r="B7" s="185" t="s">
        <v>215</v>
      </c>
      <c r="C7" s="140" t="s">
        <v>216</v>
      </c>
      <c r="D7">
        <v>50</v>
      </c>
      <c r="E7" s="140"/>
      <c r="F7" s="140" t="s">
        <v>210</v>
      </c>
    </row>
    <row r="8" spans="2:6" x14ac:dyDescent="0.35">
      <c r="B8" s="185" t="s">
        <v>217</v>
      </c>
      <c r="C8" s="140" t="s">
        <v>218</v>
      </c>
      <c r="D8" s="186" t="s">
        <v>219</v>
      </c>
      <c r="E8" s="140"/>
      <c r="F8" s="140" t="s">
        <v>210</v>
      </c>
    </row>
    <row r="9" spans="2:6" x14ac:dyDescent="0.35">
      <c r="B9" s="185" t="s">
        <v>220</v>
      </c>
      <c r="C9" s="140" t="s">
        <v>221</v>
      </c>
      <c r="D9">
        <v>350</v>
      </c>
      <c r="E9" s="140"/>
      <c r="F9" s="140" t="s">
        <v>210</v>
      </c>
    </row>
    <row r="10" spans="2:6" x14ac:dyDescent="0.35">
      <c r="B10" s="185" t="s">
        <v>222</v>
      </c>
      <c r="C10" s="140" t="s">
        <v>223</v>
      </c>
      <c r="D10">
        <v>20</v>
      </c>
      <c r="E10" s="140"/>
      <c r="F10" s="140" t="s">
        <v>210</v>
      </c>
    </row>
    <row r="11" spans="2:6" x14ac:dyDescent="0.35">
      <c r="B11" s="185" t="s">
        <v>224</v>
      </c>
      <c r="C11" s="140" t="s">
        <v>225</v>
      </c>
      <c r="D11" t="s">
        <v>5</v>
      </c>
      <c r="E11" s="140">
        <v>51</v>
      </c>
      <c r="F11" s="140" t="s">
        <v>210</v>
      </c>
    </row>
    <row r="12" spans="2:6" x14ac:dyDescent="0.35">
      <c r="B12" s="100" t="s">
        <v>226</v>
      </c>
      <c r="C12" s="148" t="s">
        <v>227</v>
      </c>
      <c r="D12" s="98" t="s">
        <v>5</v>
      </c>
      <c r="E12" s="148">
        <v>10</v>
      </c>
      <c r="F12" s="148" t="s">
        <v>210</v>
      </c>
    </row>
    <row r="15" spans="2:6" x14ac:dyDescent="0.35">
      <c r="B15" s="254" t="s">
        <v>228</v>
      </c>
      <c r="C15" s="255"/>
      <c r="D15" s="255"/>
      <c r="E15" s="255"/>
      <c r="F15" s="256"/>
    </row>
    <row r="16" spans="2:6" x14ac:dyDescent="0.35">
      <c r="B16" s="181" t="s">
        <v>203</v>
      </c>
      <c r="C16" s="182" t="s">
        <v>229</v>
      </c>
      <c r="D16" s="183" t="s">
        <v>205</v>
      </c>
      <c r="E16" s="182" t="s">
        <v>206</v>
      </c>
      <c r="F16" s="184" t="s">
        <v>207</v>
      </c>
    </row>
    <row r="17" spans="2:7" x14ac:dyDescent="0.35">
      <c r="B17" s="185" t="s">
        <v>230</v>
      </c>
      <c r="C17" s="140" t="s">
        <v>231</v>
      </c>
      <c r="E17" s="140">
        <v>400</v>
      </c>
      <c r="F17" s="25" t="s">
        <v>232</v>
      </c>
    </row>
    <row r="18" spans="2:7" x14ac:dyDescent="0.35">
      <c r="B18" s="185" t="s">
        <v>233</v>
      </c>
      <c r="C18" s="140" t="s">
        <v>234</v>
      </c>
      <c r="D18">
        <v>1.3</v>
      </c>
      <c r="E18" s="140"/>
      <c r="F18" s="140" t="s">
        <v>235</v>
      </c>
    </row>
    <row r="19" spans="2:7" x14ac:dyDescent="0.35">
      <c r="B19" s="185" t="s">
        <v>236</v>
      </c>
      <c r="C19" s="140" t="s">
        <v>237</v>
      </c>
      <c r="D19">
        <v>0.6</v>
      </c>
      <c r="E19" s="140"/>
      <c r="F19" s="140" t="s">
        <v>235</v>
      </c>
    </row>
    <row r="20" spans="2:7" x14ac:dyDescent="0.35">
      <c r="B20" s="185" t="s">
        <v>238</v>
      </c>
      <c r="C20" s="140" t="s">
        <v>239</v>
      </c>
      <c r="D20">
        <v>0.1</v>
      </c>
      <c r="E20" s="140"/>
      <c r="F20" s="140" t="s">
        <v>235</v>
      </c>
    </row>
    <row r="21" spans="2:7" x14ac:dyDescent="0.35">
      <c r="B21" s="185" t="s">
        <v>240</v>
      </c>
      <c r="C21" s="140" t="s">
        <v>241</v>
      </c>
      <c r="D21">
        <v>0</v>
      </c>
      <c r="E21" s="140"/>
      <c r="F21" s="140" t="s">
        <v>235</v>
      </c>
    </row>
    <row r="22" spans="2:7" x14ac:dyDescent="0.35">
      <c r="B22" s="185" t="s">
        <v>242</v>
      </c>
      <c r="C22" s="140" t="s">
        <v>243</v>
      </c>
      <c r="D22">
        <v>0.6</v>
      </c>
      <c r="E22" s="140"/>
      <c r="F22" s="140" t="s">
        <v>235</v>
      </c>
    </row>
    <row r="23" spans="2:7" x14ac:dyDescent="0.35">
      <c r="B23" s="185" t="s">
        <v>244</v>
      </c>
      <c r="C23" s="140" t="s">
        <v>245</v>
      </c>
      <c r="D23">
        <v>0.6</v>
      </c>
      <c r="E23" s="140"/>
      <c r="F23" s="140" t="s">
        <v>235</v>
      </c>
    </row>
    <row r="24" spans="2:7" x14ac:dyDescent="0.35">
      <c r="B24" s="185" t="s">
        <v>246</v>
      </c>
      <c r="C24" s="140" t="s">
        <v>247</v>
      </c>
      <c r="D24">
        <v>0.6</v>
      </c>
      <c r="E24" s="140"/>
      <c r="F24" s="140" t="s">
        <v>235</v>
      </c>
    </row>
    <row r="25" spans="2:7" x14ac:dyDescent="0.35">
      <c r="B25" s="185" t="s">
        <v>248</v>
      </c>
      <c r="C25" s="140" t="s">
        <v>249</v>
      </c>
      <c r="D25">
        <v>1.3</v>
      </c>
      <c r="E25" s="140"/>
      <c r="F25" s="140" t="s">
        <v>235</v>
      </c>
    </row>
    <row r="26" spans="2:7" x14ac:dyDescent="0.35">
      <c r="B26" s="185" t="s">
        <v>250</v>
      </c>
      <c r="C26" s="140" t="s">
        <v>251</v>
      </c>
      <c r="D26">
        <v>2</v>
      </c>
      <c r="E26" s="140"/>
      <c r="F26" s="140" t="s">
        <v>235</v>
      </c>
    </row>
    <row r="27" spans="2:7" x14ac:dyDescent="0.35">
      <c r="B27" s="100" t="s">
        <v>252</v>
      </c>
      <c r="C27" s="148" t="s">
        <v>253</v>
      </c>
      <c r="D27" s="98">
        <v>450</v>
      </c>
      <c r="E27" s="148"/>
      <c r="F27" s="148" t="s">
        <v>235</v>
      </c>
    </row>
    <row r="31" spans="2:7" x14ac:dyDescent="0.35">
      <c r="B31" s="207" t="s">
        <v>254</v>
      </c>
      <c r="C31" s="209"/>
      <c r="D31" s="209"/>
      <c r="E31" s="209"/>
      <c r="F31" s="209"/>
      <c r="G31" s="208"/>
    </row>
    <row r="32" spans="2:7" x14ac:dyDescent="0.35">
      <c r="B32" s="181" t="s">
        <v>255</v>
      </c>
      <c r="C32" s="182" t="s">
        <v>229</v>
      </c>
      <c r="D32" s="183" t="s">
        <v>256</v>
      </c>
      <c r="E32" s="182" t="s">
        <v>257</v>
      </c>
      <c r="F32" s="183" t="s">
        <v>258</v>
      </c>
      <c r="G32" s="182" t="s">
        <v>259</v>
      </c>
    </row>
    <row r="33" spans="2:7" x14ac:dyDescent="0.35">
      <c r="B33" s="185" t="s">
        <v>260</v>
      </c>
      <c r="C33" s="140" t="s">
        <v>261</v>
      </c>
      <c r="D33">
        <v>57</v>
      </c>
      <c r="E33" s="140">
        <v>60</v>
      </c>
      <c r="F33">
        <v>66</v>
      </c>
      <c r="G33" s="140" t="s">
        <v>262</v>
      </c>
    </row>
    <row r="34" spans="2:7" x14ac:dyDescent="0.35">
      <c r="B34" s="185" t="s">
        <v>263</v>
      </c>
      <c r="C34" s="140" t="s">
        <v>264</v>
      </c>
      <c r="E34" s="140">
        <v>1</v>
      </c>
      <c r="F34">
        <v>1.1000000000000001</v>
      </c>
      <c r="G34" s="140" t="s">
        <v>265</v>
      </c>
    </row>
    <row r="35" spans="2:7" x14ac:dyDescent="0.35">
      <c r="B35" s="185" t="s">
        <v>266</v>
      </c>
      <c r="C35" s="140" t="s">
        <v>267</v>
      </c>
      <c r="D35">
        <v>15.15</v>
      </c>
      <c r="E35" s="140"/>
      <c r="F35">
        <v>17.54</v>
      </c>
      <c r="G35" s="140" t="s">
        <v>268</v>
      </c>
    </row>
    <row r="36" spans="2:7" x14ac:dyDescent="0.35">
      <c r="B36" s="185" t="s">
        <v>269</v>
      </c>
      <c r="C36" s="140" t="s">
        <v>270</v>
      </c>
      <c r="D36">
        <v>28.5</v>
      </c>
      <c r="E36" s="140"/>
      <c r="F36">
        <v>33</v>
      </c>
      <c r="G36" s="140" t="s">
        <v>262</v>
      </c>
    </row>
    <row r="37" spans="2:7" x14ac:dyDescent="0.35">
      <c r="B37" s="185"/>
      <c r="C37" s="140"/>
      <c r="E37" s="140"/>
      <c r="G37" s="140"/>
    </row>
    <row r="38" spans="2:7" x14ac:dyDescent="0.35">
      <c r="B38" s="185" t="s">
        <v>271</v>
      </c>
      <c r="C38" s="140" t="s">
        <v>272</v>
      </c>
      <c r="E38" s="140"/>
      <c r="F38">
        <v>50</v>
      </c>
      <c r="G38" s="140" t="s">
        <v>210</v>
      </c>
    </row>
    <row r="39" spans="2:7" x14ac:dyDescent="0.35">
      <c r="B39" s="185" t="s">
        <v>273</v>
      </c>
      <c r="C39" s="140" t="s">
        <v>274</v>
      </c>
      <c r="E39" s="140"/>
      <c r="F39">
        <v>50</v>
      </c>
      <c r="G39" s="140" t="s">
        <v>210</v>
      </c>
    </row>
    <row r="40" spans="2:7" x14ac:dyDescent="0.35">
      <c r="B40" s="185" t="s">
        <v>275</v>
      </c>
      <c r="C40" s="140" t="s">
        <v>276</v>
      </c>
      <c r="D40">
        <v>168</v>
      </c>
      <c r="E40" s="140"/>
      <c r="G40" s="140" t="s">
        <v>277</v>
      </c>
    </row>
    <row r="41" spans="2:7" x14ac:dyDescent="0.35">
      <c r="B41" s="185"/>
      <c r="C41" s="140"/>
      <c r="D41">
        <v>22.54</v>
      </c>
      <c r="E41" s="140"/>
      <c r="G41" s="140" t="s">
        <v>277</v>
      </c>
    </row>
    <row r="42" spans="2:7" x14ac:dyDescent="0.35">
      <c r="B42" s="185" t="s">
        <v>278</v>
      </c>
      <c r="C42" s="140" t="s">
        <v>279</v>
      </c>
      <c r="D42">
        <v>6</v>
      </c>
      <c r="E42" s="140"/>
      <c r="G42" s="140" t="s">
        <v>277</v>
      </c>
    </row>
    <row r="43" spans="2:7" x14ac:dyDescent="0.35">
      <c r="B43" s="185" t="s">
        <v>280</v>
      </c>
      <c r="C43" s="140" t="s">
        <v>281</v>
      </c>
      <c r="D43">
        <v>6</v>
      </c>
      <c r="E43" s="140"/>
      <c r="G43" s="140" t="s">
        <v>277</v>
      </c>
    </row>
    <row r="44" spans="2:7" x14ac:dyDescent="0.35">
      <c r="B44" s="185" t="s">
        <v>282</v>
      </c>
      <c r="C44" s="140" t="s">
        <v>283</v>
      </c>
      <c r="D44">
        <v>2</v>
      </c>
      <c r="E44" s="140"/>
      <c r="G44" s="140" t="s">
        <v>277</v>
      </c>
    </row>
    <row r="45" spans="2:7" x14ac:dyDescent="0.35">
      <c r="B45" s="185"/>
      <c r="C45" s="140"/>
      <c r="E45" s="140"/>
      <c r="G45" s="140"/>
    </row>
    <row r="46" spans="2:7" x14ac:dyDescent="0.35">
      <c r="B46" s="185" t="s">
        <v>284</v>
      </c>
      <c r="C46" s="140" t="s">
        <v>285</v>
      </c>
      <c r="E46" s="140"/>
      <c r="F46">
        <v>50</v>
      </c>
      <c r="G46" s="140" t="s">
        <v>210</v>
      </c>
    </row>
    <row r="47" spans="2:7" x14ac:dyDescent="0.35">
      <c r="B47" s="185" t="s">
        <v>286</v>
      </c>
      <c r="C47" s="140" t="s">
        <v>287</v>
      </c>
      <c r="E47" s="140"/>
      <c r="F47">
        <v>50</v>
      </c>
      <c r="G47" s="140" t="s">
        <v>210</v>
      </c>
    </row>
    <row r="48" spans="2:7" x14ac:dyDescent="0.35">
      <c r="B48" s="185" t="s">
        <v>288</v>
      </c>
      <c r="C48" s="140" t="s">
        <v>289</v>
      </c>
      <c r="D48">
        <v>250</v>
      </c>
      <c r="E48" s="140"/>
      <c r="G48" s="140" t="s">
        <v>210</v>
      </c>
    </row>
    <row r="49" spans="2:7" x14ac:dyDescent="0.35">
      <c r="B49" s="185" t="s">
        <v>290</v>
      </c>
      <c r="C49" s="140" t="s">
        <v>291</v>
      </c>
      <c r="D49">
        <v>350</v>
      </c>
      <c r="E49" s="140"/>
      <c r="G49" s="140" t="s">
        <v>210</v>
      </c>
    </row>
    <row r="50" spans="2:7" x14ac:dyDescent="0.35">
      <c r="B50" s="185" t="s">
        <v>292</v>
      </c>
      <c r="C50" s="140" t="s">
        <v>293</v>
      </c>
      <c r="E50" s="140"/>
      <c r="F50">
        <v>50</v>
      </c>
      <c r="G50" s="140" t="s">
        <v>210</v>
      </c>
    </row>
    <row r="51" spans="2:7" x14ac:dyDescent="0.35">
      <c r="B51" s="185" t="s">
        <v>294</v>
      </c>
      <c r="C51" s="140" t="s">
        <v>295</v>
      </c>
      <c r="E51" s="140"/>
      <c r="F51">
        <v>50</v>
      </c>
      <c r="G51" s="140" t="s">
        <v>210</v>
      </c>
    </row>
    <row r="52" spans="2:7" x14ac:dyDescent="0.35">
      <c r="B52" s="185" t="s">
        <v>296</v>
      </c>
      <c r="C52" s="140" t="s">
        <v>297</v>
      </c>
      <c r="D52">
        <v>404.55</v>
      </c>
      <c r="E52" s="140">
        <v>450</v>
      </c>
      <c r="G52" s="140" t="s">
        <v>210</v>
      </c>
    </row>
    <row r="53" spans="2:7" x14ac:dyDescent="0.35">
      <c r="B53" s="185" t="s">
        <v>298</v>
      </c>
      <c r="C53" s="140" t="s">
        <v>299</v>
      </c>
      <c r="D53">
        <v>404.55</v>
      </c>
      <c r="E53" s="140">
        <v>450</v>
      </c>
      <c r="G53" s="140" t="s">
        <v>210</v>
      </c>
    </row>
    <row r="54" spans="2:7" x14ac:dyDescent="0.35">
      <c r="B54" s="185" t="s">
        <v>300</v>
      </c>
      <c r="C54" s="140" t="s">
        <v>301</v>
      </c>
      <c r="D54">
        <v>57</v>
      </c>
      <c r="E54" s="140">
        <v>60</v>
      </c>
      <c r="F54">
        <v>65</v>
      </c>
      <c r="G54" s="140" t="s">
        <v>262</v>
      </c>
    </row>
    <row r="55" spans="2:7" x14ac:dyDescent="0.35">
      <c r="B55" s="185" t="s">
        <v>302</v>
      </c>
      <c r="C55" s="140" t="s">
        <v>303</v>
      </c>
      <c r="E55" s="140"/>
      <c r="F55">
        <v>50</v>
      </c>
      <c r="G55" s="140" t="s">
        <v>210</v>
      </c>
    </row>
    <row r="56" spans="2:7" x14ac:dyDescent="0.35">
      <c r="B56" s="185" t="s">
        <v>304</v>
      </c>
      <c r="C56" s="140" t="s">
        <v>305</v>
      </c>
      <c r="E56" s="140"/>
      <c r="F56">
        <v>50</v>
      </c>
      <c r="G56" s="140" t="s">
        <v>210</v>
      </c>
    </row>
    <row r="57" spans="2:7" x14ac:dyDescent="0.35">
      <c r="B57" s="185" t="s">
        <v>306</v>
      </c>
      <c r="C57" s="140" t="s">
        <v>307</v>
      </c>
      <c r="D57">
        <v>2</v>
      </c>
      <c r="E57" s="140"/>
      <c r="G57" s="140" t="s">
        <v>277</v>
      </c>
    </row>
    <row r="58" spans="2:7" x14ac:dyDescent="0.35">
      <c r="B58" s="185" t="s">
        <v>308</v>
      </c>
      <c r="C58" s="140" t="s">
        <v>309</v>
      </c>
      <c r="E58" s="140"/>
      <c r="F58">
        <v>50</v>
      </c>
      <c r="G58" s="140" t="s">
        <v>210</v>
      </c>
    </row>
    <row r="59" spans="2:7" x14ac:dyDescent="0.35">
      <c r="B59" s="100" t="s">
        <v>310</v>
      </c>
      <c r="C59" s="148" t="s">
        <v>311</v>
      </c>
      <c r="D59" s="98"/>
      <c r="E59" s="148"/>
      <c r="F59" s="98">
        <v>50</v>
      </c>
      <c r="G59" s="148" t="s">
        <v>210</v>
      </c>
    </row>
  </sheetData>
  <mergeCells count="3">
    <mergeCell ref="B2:F2"/>
    <mergeCell ref="B15:F15"/>
    <mergeCell ref="B31:G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cubit_power_energy_calc</vt:lpstr>
      <vt:lpstr>bq570_solar_panel</vt:lpstr>
      <vt:lpstr>bq570_resistor_voltage_calc</vt:lpstr>
      <vt:lpstr>Timing_info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Saloni</cp:lastModifiedBy>
  <dcterms:created xsi:type="dcterms:W3CDTF">2012-11-19T03:40:16Z</dcterms:created>
  <dcterms:modified xsi:type="dcterms:W3CDTF">2022-02-28T06:43:21Z</dcterms:modified>
</cp:coreProperties>
</file>