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701"/>
  <workbookPr codeName="ThisWorkbook"/>
  <mc:AlternateContent xmlns:mc="http://schemas.openxmlformats.org/markup-compatibility/2006">
    <mc:Choice Requires="x15">
      <x15ac:absPath xmlns:x15ac="http://schemas.microsoft.com/office/spreadsheetml/2010/11/ac" url="C:\Users\user\Downloads\"/>
    </mc:Choice>
  </mc:AlternateContent>
  <xr:revisionPtr revIDLastSave="0" documentId="13_ncr:1_{9CC077AF-CB2D-4E34-ABC6-C07D6BAC7363}" xr6:coauthVersionLast="47" xr6:coauthVersionMax="47" xr10:uidLastSave="{00000000-0000-0000-0000-000000000000}"/>
  <bookViews>
    <workbookView xWindow="-90" yWindow="15" windowWidth="14550" windowHeight="15540" firstSheet="1" activeTab="1" xr2:uid="{00000000-000D-0000-FFFF-FFFF00000000}"/>
  </bookViews>
  <sheets>
    <sheet name="Menu" sheetId="1" r:id="rId1"/>
    <sheet name="Kertas Kerja" sheetId="2" r:id="rId2"/>
    <sheet name="Lap AK Individual" sheetId="3" r:id="rId3"/>
    <sheet name="list nilai rendah" sheetId="4" r:id="rId4"/>
  </sheets>
  <definedNames>
    <definedName name="_xlnm.Print_Area" localSheetId="2">'Lap AK Individual'!$A$1:$E$96</definedName>
    <definedName name="_xlnm.Print_Titles" localSheetId="2">'Lap AK Individual'!$12:$12</definedName>
  </definedNames>
  <calcPr calcId="191029" concurrentCalc="0"/>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E392" i="2" l="1"/>
  <c r="E399" i="2"/>
  <c r="D96" i="3"/>
  <c r="D89" i="3"/>
  <c r="F962" i="2"/>
  <c r="E968" i="2"/>
  <c r="E87" i="3"/>
  <c r="H87" i="3"/>
  <c r="D87" i="3"/>
  <c r="B87" i="3"/>
  <c r="F954" i="2"/>
  <c r="E960" i="2"/>
  <c r="E86" i="3"/>
  <c r="H86" i="3"/>
  <c r="D86" i="3"/>
  <c r="B86" i="3"/>
  <c r="F946" i="2"/>
  <c r="E952" i="2"/>
  <c r="E85" i="3"/>
  <c r="H85" i="3"/>
  <c r="D85" i="3"/>
  <c r="B85" i="3"/>
  <c r="F938" i="2"/>
  <c r="E944" i="2"/>
  <c r="E84" i="3"/>
  <c r="H84" i="3"/>
  <c r="D84" i="3"/>
  <c r="B84" i="3"/>
  <c r="E934" i="2"/>
  <c r="E936" i="2"/>
  <c r="E83" i="3"/>
  <c r="H83" i="3"/>
  <c r="D83" i="3"/>
  <c r="B83" i="3"/>
  <c r="E82" i="3"/>
  <c r="H82" i="3"/>
  <c r="D82" i="3"/>
  <c r="B82" i="3"/>
  <c r="E81" i="3"/>
  <c r="H81" i="3"/>
  <c r="D81" i="3"/>
  <c r="B81" i="3"/>
  <c r="E906" i="2"/>
  <c r="E912" i="2"/>
  <c r="E907" i="2"/>
  <c r="E913" i="2"/>
  <c r="E914" i="2"/>
  <c r="E908" i="2"/>
  <c r="E915" i="2"/>
  <c r="E917" i="2"/>
  <c r="E80" i="3"/>
  <c r="H80" i="3"/>
  <c r="D80" i="3"/>
  <c r="B80" i="3"/>
  <c r="E853" i="2"/>
  <c r="E852" i="2"/>
  <c r="E854" i="2"/>
  <c r="E860" i="2"/>
  <c r="E865" i="2"/>
  <c r="E870" i="2"/>
  <c r="E875" i="2"/>
  <c r="E880" i="2"/>
  <c r="E885" i="2"/>
  <c r="E890" i="2"/>
  <c r="E891" i="2"/>
  <c r="E892" i="2"/>
  <c r="E79" i="3"/>
  <c r="H79" i="3"/>
  <c r="D79" i="3"/>
  <c r="B79" i="3"/>
  <c r="E819" i="2"/>
  <c r="E818" i="2"/>
  <c r="E820" i="2"/>
  <c r="E831" i="2"/>
  <c r="E837" i="2"/>
  <c r="E832" i="2"/>
  <c r="E838" i="2"/>
  <c r="E839" i="2"/>
  <c r="E833" i="2"/>
  <c r="E840" i="2"/>
  <c r="E842" i="2"/>
  <c r="E843" i="2"/>
  <c r="E78" i="3"/>
  <c r="H78" i="3"/>
  <c r="D78" i="3"/>
  <c r="B78" i="3"/>
  <c r="E791" i="2"/>
  <c r="E790" i="2"/>
  <c r="E792" i="2"/>
  <c r="E807" i="2"/>
  <c r="E808" i="2"/>
  <c r="E809" i="2"/>
  <c r="E77" i="3"/>
  <c r="N77" i="3"/>
  <c r="L77" i="3"/>
  <c r="H77" i="3"/>
  <c r="D77" i="3"/>
  <c r="B77" i="3"/>
  <c r="E761" i="2"/>
  <c r="E760" i="2"/>
  <c r="E762" i="2"/>
  <c r="E779" i="2"/>
  <c r="E780" i="2"/>
  <c r="E781" i="2"/>
  <c r="E76" i="3"/>
  <c r="N76" i="3"/>
  <c r="L76" i="3"/>
  <c r="H76" i="3"/>
  <c r="D76" i="3"/>
  <c r="B76" i="3"/>
  <c r="F745" i="2"/>
  <c r="E751" i="2"/>
  <c r="E75" i="3"/>
  <c r="H75" i="3"/>
  <c r="D75" i="3"/>
  <c r="B75" i="3"/>
  <c r="E739" i="2"/>
  <c r="E743" i="2"/>
  <c r="E74" i="3"/>
  <c r="H74" i="3"/>
  <c r="D74" i="3"/>
  <c r="B74" i="3"/>
  <c r="E727" i="2"/>
  <c r="E731" i="2"/>
  <c r="E73" i="3"/>
  <c r="H73" i="3"/>
  <c r="D73" i="3"/>
  <c r="B73" i="3"/>
  <c r="E713" i="2"/>
  <c r="E716" i="2"/>
  <c r="E72" i="3"/>
  <c r="H72" i="3"/>
  <c r="D72" i="3"/>
  <c r="B72" i="3"/>
  <c r="E691" i="2"/>
  <c r="E697" i="2"/>
  <c r="E692" i="2"/>
  <c r="E698" i="2"/>
  <c r="E699" i="2"/>
  <c r="E693" i="2"/>
  <c r="E700" i="2"/>
  <c r="E702" i="2"/>
  <c r="E71" i="3"/>
  <c r="H71" i="3"/>
  <c r="D71" i="3"/>
  <c r="B71" i="3"/>
  <c r="E673" i="2"/>
  <c r="E679" i="2"/>
  <c r="E684" i="2"/>
  <c r="E70" i="3"/>
  <c r="H70" i="3"/>
  <c r="D70" i="3"/>
  <c r="B70" i="3"/>
  <c r="E663" i="2"/>
  <c r="E666" i="2"/>
  <c r="E69" i="3"/>
  <c r="H69" i="3"/>
  <c r="D69" i="3"/>
  <c r="B69" i="3"/>
  <c r="F648" i="2"/>
  <c r="E654" i="2"/>
  <c r="E68" i="3"/>
  <c r="H68" i="3"/>
  <c r="D68" i="3"/>
  <c r="B68" i="3"/>
  <c r="E644" i="2"/>
  <c r="E646" i="2"/>
  <c r="E67" i="3"/>
  <c r="H67" i="3"/>
  <c r="D67" i="3"/>
  <c r="B67" i="3"/>
  <c r="F633" i="2"/>
  <c r="E639" i="2"/>
  <c r="E66" i="3"/>
  <c r="H66" i="3"/>
  <c r="D66" i="3"/>
  <c r="B66" i="3"/>
  <c r="E65" i="3"/>
  <c r="H65" i="3"/>
  <c r="D65" i="3"/>
  <c r="B65" i="3"/>
  <c r="E622" i="2"/>
  <c r="E624" i="2"/>
  <c r="E64" i="3"/>
  <c r="H64" i="3"/>
  <c r="D64" i="3"/>
  <c r="B64" i="3"/>
  <c r="F611" i="2"/>
  <c r="E617" i="2"/>
  <c r="E63" i="3"/>
  <c r="H63" i="3"/>
  <c r="D63" i="3"/>
  <c r="B63" i="3"/>
  <c r="F602" i="2"/>
  <c r="E577" i="2"/>
  <c r="E582" i="2"/>
  <c r="E587" i="2"/>
  <c r="E592" i="2"/>
  <c r="E597" i="2"/>
  <c r="E598" i="2"/>
  <c r="E601" i="2"/>
  <c r="E608" i="2"/>
  <c r="E609" i="2"/>
  <c r="E62" i="3"/>
  <c r="H62" i="3"/>
  <c r="D62" i="3"/>
  <c r="B62" i="3"/>
  <c r="F564" i="2"/>
  <c r="E570" i="2"/>
  <c r="E61" i="3"/>
  <c r="H61" i="3"/>
  <c r="D61" i="3"/>
  <c r="B61" i="3"/>
  <c r="E562" i="2"/>
  <c r="E60" i="3"/>
  <c r="H60" i="3"/>
  <c r="D60" i="3"/>
  <c r="B60" i="3"/>
  <c r="F524" i="2"/>
  <c r="F530" i="2"/>
  <c r="F536" i="2"/>
  <c r="E554" i="2"/>
  <c r="E59" i="3"/>
  <c r="H59" i="3"/>
  <c r="D59" i="3"/>
  <c r="B59" i="3"/>
  <c r="F516" i="2"/>
  <c r="E522" i="2"/>
  <c r="E58" i="3"/>
  <c r="H58" i="3"/>
  <c r="D58" i="3"/>
  <c r="B58" i="3"/>
  <c r="E512" i="2"/>
  <c r="E514" i="2"/>
  <c r="E57" i="3"/>
  <c r="H57" i="3"/>
  <c r="D57" i="3"/>
  <c r="B57" i="3"/>
  <c r="F477" i="2"/>
  <c r="F489" i="2"/>
  <c r="F501" i="2"/>
  <c r="F483" i="2"/>
  <c r="F495" i="2"/>
  <c r="E507" i="2"/>
  <c r="E56" i="3"/>
  <c r="H56" i="3"/>
  <c r="D56" i="3"/>
  <c r="B56" i="3"/>
  <c r="F463" i="2"/>
  <c r="F469" i="2"/>
  <c r="E475" i="2"/>
  <c r="E55" i="3"/>
  <c r="H55" i="3"/>
  <c r="D55" i="3"/>
  <c r="B55" i="3"/>
  <c r="F455" i="2"/>
  <c r="E461" i="2"/>
  <c r="E54" i="3"/>
  <c r="H54" i="3"/>
  <c r="D54" i="3"/>
  <c r="B54" i="3"/>
  <c r="F435" i="2"/>
  <c r="F441" i="2"/>
  <c r="F447" i="2"/>
  <c r="E453" i="2"/>
  <c r="E53" i="3"/>
  <c r="J53" i="3"/>
  <c r="H53" i="3"/>
  <c r="D53" i="3"/>
  <c r="B53" i="3"/>
  <c r="F427" i="2"/>
  <c r="E433" i="2"/>
  <c r="E52" i="3"/>
  <c r="H52" i="3"/>
  <c r="D52" i="3"/>
  <c r="B52" i="3"/>
  <c r="F419" i="2"/>
  <c r="E425" i="2"/>
  <c r="E51" i="3"/>
  <c r="H51" i="3"/>
  <c r="D51" i="3"/>
  <c r="B51" i="3"/>
  <c r="F410" i="2"/>
  <c r="E417" i="2"/>
  <c r="E50" i="3"/>
  <c r="H50" i="3"/>
  <c r="D50" i="3"/>
  <c r="B50" i="3"/>
  <c r="E406" i="2"/>
  <c r="E408" i="2"/>
  <c r="E49" i="3"/>
  <c r="H49" i="3"/>
  <c r="D49" i="3"/>
  <c r="B49" i="3"/>
  <c r="E401" i="2"/>
  <c r="E48" i="3"/>
  <c r="H48" i="3"/>
  <c r="D48" i="3"/>
  <c r="B48" i="3"/>
  <c r="E394" i="2"/>
  <c r="E47" i="3"/>
  <c r="H47" i="3"/>
  <c r="D47" i="3"/>
  <c r="B47" i="3"/>
  <c r="F375" i="2"/>
  <c r="F381" i="2"/>
  <c r="E387" i="2"/>
  <c r="E46" i="3"/>
  <c r="H46" i="3"/>
  <c r="D46" i="3"/>
  <c r="B46" i="3"/>
  <c r="F366" i="2"/>
  <c r="E373" i="2"/>
  <c r="E45" i="3"/>
  <c r="H45" i="3"/>
  <c r="D45" i="3"/>
  <c r="B45" i="3"/>
  <c r="E362" i="2"/>
  <c r="E364" i="2"/>
  <c r="E44" i="3"/>
  <c r="H44" i="3"/>
  <c r="D44" i="3"/>
  <c r="B44" i="3"/>
  <c r="E43" i="3"/>
  <c r="H43" i="3"/>
  <c r="D43" i="3"/>
  <c r="B43" i="3"/>
  <c r="E345" i="2"/>
  <c r="E347" i="2"/>
  <c r="E42" i="3"/>
  <c r="H42" i="3"/>
  <c r="D42" i="3"/>
  <c r="B42" i="3"/>
  <c r="E329" i="2"/>
  <c r="E335" i="2"/>
  <c r="E340" i="2"/>
  <c r="E41" i="3"/>
  <c r="H41" i="3"/>
  <c r="D41" i="3"/>
  <c r="B41" i="3"/>
  <c r="E304" i="2"/>
  <c r="E310" i="2"/>
  <c r="E305" i="2"/>
  <c r="E311" i="2"/>
  <c r="E312" i="2"/>
  <c r="E306" i="2"/>
  <c r="E313" i="2"/>
  <c r="E315" i="2"/>
  <c r="E40" i="3"/>
  <c r="H40" i="3"/>
  <c r="D40" i="3"/>
  <c r="B40" i="3"/>
  <c r="E286" i="2"/>
  <c r="E292" i="2"/>
  <c r="E287" i="2"/>
  <c r="E293" i="2"/>
  <c r="E294" i="2"/>
  <c r="E297" i="2"/>
  <c r="E39" i="3"/>
  <c r="H39" i="3"/>
  <c r="D39" i="3"/>
  <c r="B39" i="3"/>
  <c r="E277" i="2"/>
  <c r="E279" i="2"/>
  <c r="E38" i="3"/>
  <c r="H38" i="3"/>
  <c r="D38" i="3"/>
  <c r="B38" i="3"/>
  <c r="E37" i="3"/>
  <c r="H37" i="3"/>
  <c r="D37" i="3"/>
  <c r="B37" i="3"/>
  <c r="E262" i="2"/>
  <c r="E265" i="2"/>
  <c r="E36" i="3"/>
  <c r="H36" i="3"/>
  <c r="D36" i="3"/>
  <c r="B36" i="3"/>
  <c r="E252" i="2"/>
  <c r="E257" i="2"/>
  <c r="E35" i="3"/>
  <c r="H35" i="3"/>
  <c r="D35" i="3"/>
  <c r="B35" i="3"/>
  <c r="E244" i="2"/>
  <c r="E247" i="2"/>
  <c r="E34" i="3"/>
  <c r="H34" i="3"/>
  <c r="D34" i="3"/>
  <c r="B34" i="3"/>
  <c r="E237" i="2"/>
  <c r="E228" i="2"/>
  <c r="E229" i="2"/>
  <c r="E239" i="2"/>
  <c r="E33" i="3"/>
  <c r="H33" i="3"/>
  <c r="D33" i="3"/>
  <c r="B33" i="3"/>
  <c r="E216" i="2"/>
  <c r="E218" i="2"/>
  <c r="E32" i="3"/>
  <c r="N32" i="3"/>
  <c r="L32" i="3"/>
  <c r="H32" i="3"/>
  <c r="D32" i="3"/>
  <c r="B32" i="3"/>
  <c r="E31" i="3"/>
  <c r="H31" i="3"/>
  <c r="D31" i="3"/>
  <c r="B31" i="3"/>
  <c r="E200" i="2"/>
  <c r="E202" i="2"/>
  <c r="E30" i="3"/>
  <c r="N30" i="3"/>
  <c r="L30" i="3"/>
  <c r="H30" i="3"/>
  <c r="D30" i="3"/>
  <c r="B30" i="3"/>
  <c r="E195" i="2"/>
  <c r="E29" i="3"/>
  <c r="J29" i="3"/>
  <c r="H29" i="3"/>
  <c r="D29" i="3"/>
  <c r="B29" i="3"/>
  <c r="F177" i="2"/>
  <c r="F183" i="2"/>
  <c r="E189" i="2"/>
  <c r="E28" i="3"/>
  <c r="H28" i="3"/>
  <c r="D28" i="3"/>
  <c r="B28" i="3"/>
  <c r="F162" i="2"/>
  <c r="E172" i="2"/>
  <c r="E174" i="2"/>
  <c r="E175" i="2"/>
  <c r="E27" i="3"/>
  <c r="H27" i="3"/>
  <c r="D27" i="3"/>
  <c r="B27" i="3"/>
  <c r="E151" i="2"/>
  <c r="E153" i="2"/>
  <c r="E160" i="2"/>
  <c r="E26" i="3"/>
  <c r="H26" i="3"/>
  <c r="D26" i="3"/>
  <c r="B26" i="3"/>
  <c r="F134" i="2"/>
  <c r="E140" i="2"/>
  <c r="E25" i="3"/>
  <c r="H25" i="3"/>
  <c r="D25" i="3"/>
  <c r="B25" i="3"/>
  <c r="F126" i="2"/>
  <c r="E132" i="2"/>
  <c r="E24" i="3"/>
  <c r="J24" i="3"/>
  <c r="H24" i="3"/>
  <c r="D24" i="3"/>
  <c r="B24" i="3"/>
  <c r="F118" i="2"/>
  <c r="E124" i="2"/>
  <c r="E23" i="3"/>
  <c r="H23" i="3"/>
  <c r="D23" i="3"/>
  <c r="B23" i="3"/>
  <c r="F110" i="2"/>
  <c r="E116" i="2"/>
  <c r="E22" i="3"/>
  <c r="H22" i="3"/>
  <c r="D22" i="3"/>
  <c r="B22" i="3"/>
  <c r="E88" i="2"/>
  <c r="E93" i="2"/>
  <c r="E101" i="2"/>
  <c r="E107" i="2"/>
  <c r="E108" i="2"/>
  <c r="E21" i="3"/>
  <c r="H21" i="3"/>
  <c r="D21" i="3"/>
  <c r="B21" i="3"/>
  <c r="F75" i="2"/>
  <c r="E81" i="2"/>
  <c r="E20" i="3"/>
  <c r="H20" i="3"/>
  <c r="D20" i="3"/>
  <c r="B20" i="3"/>
  <c r="F61" i="2"/>
  <c r="F67" i="2"/>
  <c r="E73" i="2"/>
  <c r="E19" i="3"/>
  <c r="H19" i="3"/>
  <c r="D19" i="3"/>
  <c r="B19" i="3"/>
  <c r="F47" i="2"/>
  <c r="F53" i="2"/>
  <c r="E59" i="2"/>
  <c r="E18" i="3"/>
  <c r="H18" i="3"/>
  <c r="D18" i="3"/>
  <c r="B18" i="3"/>
  <c r="F39" i="2"/>
  <c r="E45" i="2"/>
  <c r="E17" i="3"/>
  <c r="H17" i="3"/>
  <c r="D17" i="3"/>
  <c r="B17" i="3"/>
  <c r="F31" i="2"/>
  <c r="E37" i="2"/>
  <c r="E16" i="3"/>
  <c r="H16" i="3"/>
  <c r="D16" i="3"/>
  <c r="B16" i="3"/>
  <c r="F23" i="2"/>
  <c r="E29" i="2"/>
  <c r="E15" i="3"/>
  <c r="H15" i="3"/>
  <c r="D15" i="3"/>
  <c r="B15" i="3"/>
  <c r="F15" i="2"/>
  <c r="E21" i="2"/>
  <c r="E14" i="3"/>
  <c r="H14" i="3"/>
  <c r="D14" i="3"/>
  <c r="B14" i="3"/>
  <c r="F7" i="2"/>
  <c r="E13" i="2"/>
  <c r="E13" i="3"/>
  <c r="H13" i="3"/>
  <c r="D13" i="3"/>
  <c r="B13" i="3"/>
  <c r="K10" i="3"/>
  <c r="D10" i="3"/>
  <c r="K9" i="3"/>
  <c r="D9" i="3"/>
  <c r="K8" i="3"/>
  <c r="D8" i="3"/>
  <c r="D7" i="3"/>
  <c r="K5" i="3"/>
  <c r="G3" i="3"/>
  <c r="B3" i="3"/>
  <c r="E916" i="2"/>
  <c r="E841" i="2"/>
  <c r="D778" i="2"/>
  <c r="D777" i="2"/>
  <c r="D776" i="2"/>
  <c r="E701" i="2"/>
  <c r="E674" i="2"/>
  <c r="E675" i="2"/>
  <c r="E683" i="2"/>
  <c r="E682" i="2"/>
  <c r="E681" i="2"/>
  <c r="E680" i="2"/>
  <c r="E330" i="2"/>
  <c r="E331" i="2"/>
  <c r="E339" i="2"/>
  <c r="E338" i="2"/>
  <c r="E337" i="2"/>
  <c r="E336" i="2"/>
  <c r="E314" i="2"/>
  <c r="E288" i="2"/>
  <c r="E296" i="2"/>
  <c r="E295" i="2"/>
  <c r="E233" i="2"/>
  <c r="F154" i="2"/>
  <c r="E105" i="2"/>
  <c r="E104" i="2"/>
  <c r="E103" i="2"/>
  <c r="E102"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E714" authorId="0" shapeId="0" xr:uid="{00000000-0006-0000-0100-000001000000}">
      <text>
        <r>
          <rPr>
            <b/>
            <sz val="9"/>
            <color rgb="FF000000"/>
            <rFont val="Tahoma"/>
            <charset val="134"/>
          </rPr>
          <t>User:</t>
        </r>
        <r>
          <rPr>
            <sz val="9"/>
            <color rgb="FF000000"/>
            <rFont val="Tahoma"/>
            <charset val="134"/>
          </rPr>
          <t xml:space="preserve">
b2</t>
        </r>
      </text>
    </comment>
    <comment ref="E715" authorId="0" shapeId="0" xr:uid="{00000000-0006-0000-0100-000002000000}">
      <text>
        <r>
          <rPr>
            <b/>
            <sz val="9"/>
            <color rgb="FF000000"/>
            <rFont val="Tahoma"/>
            <charset val="134"/>
          </rPr>
          <t>User:</t>
        </r>
        <r>
          <rPr>
            <sz val="9"/>
            <color rgb="FF000000"/>
            <rFont val="Tahoma"/>
            <charset val="134"/>
          </rPr>
          <t xml:space="preserve">
b4</t>
        </r>
      </text>
    </comment>
  </commentList>
</comments>
</file>

<file path=xl/sharedStrings.xml><?xml version="1.0" encoding="utf-8"?>
<sst xmlns="http://schemas.openxmlformats.org/spreadsheetml/2006/main" count="1301" uniqueCount="719">
  <si>
    <t>JANGAN DI HAPUS!: 17837-edb5c776806a9e9b9df32e886e3df46f</t>
  </si>
  <si>
    <t>AKREDITASI PROGRAM STUDI</t>
  </si>
  <si>
    <t>BADAN AKREDITASI NASIONAL - PERGURUAN TINGGI</t>
  </si>
  <si>
    <t>PROGRAM SARJANA</t>
  </si>
  <si>
    <t xml:space="preserve">Nama Perguruan Tinggi </t>
  </si>
  <si>
    <t xml:space="preserve">:   </t>
  </si>
  <si>
    <t>Nama Unit Pengelola</t>
  </si>
  <si>
    <t>Nama Program Studi</t>
  </si>
  <si>
    <t>Kode Panel</t>
  </si>
  <si>
    <t>TS</t>
  </si>
  <si>
    <t>/</t>
  </si>
  <si>
    <t>JTAA</t>
  </si>
  <si>
    <t>:</t>
  </si>
  <si>
    <t>TS = Tahun akademik penuh terakhir saat pengajuan usulan akreditasi</t>
  </si>
  <si>
    <t>ASESMEN KECUKUPAN</t>
  </si>
  <si>
    <t>(Penilaian Individual)</t>
  </si>
  <si>
    <t>Nama Asesor</t>
  </si>
  <si>
    <t>Kota Penilaian</t>
  </si>
  <si>
    <t>ban-pt</t>
  </si>
  <si>
    <t>versi 1.1</t>
  </si>
  <si>
    <t>Tanggal Penilaian</t>
  </si>
  <si>
    <t>PENILAIAN AKREDITASI PROGRAM STUDI</t>
  </si>
  <si>
    <r>
      <rPr>
        <b/>
        <sz val="12"/>
        <color rgb="FFFFFFFF"/>
        <rFont val="Calibri"/>
        <charset val="134"/>
      </rPr>
      <t xml:space="preserve">PETUNJUK PENGISIAN: SEL YANG DIISI HANYA YANG BERWARNA </t>
    </r>
    <r>
      <rPr>
        <b/>
        <sz val="12"/>
        <color rgb="FFFFFF00"/>
        <rFont val="Calibri"/>
        <charset val="134"/>
      </rPr>
      <t>KUNING</t>
    </r>
  </si>
  <si>
    <t xml:space="preserve">NO. </t>
  </si>
  <si>
    <t>ELEMEN</t>
  </si>
  <si>
    <t>INDIKATOR DAN PENILAIAN</t>
  </si>
  <si>
    <t>SKOR</t>
  </si>
  <si>
    <t>DESKRIPSI PENILAIAN ASESOR BERDASARKAN DATA DAN INFORMASI DARI DOKUMEN LED DAN LKPS</t>
  </si>
  <si>
    <t>A</t>
  </si>
  <si>
    <r>
      <rPr>
        <b/>
        <sz val="11"/>
        <color rgb="FF000000"/>
        <rFont val="Calibri"/>
        <charset val="134"/>
      </rPr>
      <t xml:space="preserve">Kondisi Eksternal
</t>
    </r>
    <r>
      <rPr>
        <sz val="11"/>
        <color rgb="FF000000"/>
        <rFont val="Calibri"/>
        <charset val="134"/>
      </rPr>
      <t>Konsistensi dengan hasil analisis SWOT dan/atau analisis lain serta rencana pengembangan ke depan.</t>
    </r>
  </si>
  <si>
    <t>Unit Pengelola Program Studi (UPPS) mampu:
1) mengidentifikasi kondisi lingkungan dan industri yang relevan secara komprehensif dan strategis,
2) menetapkan posisi relatif program studi terhadap lingkungannya,
3) menggunakan hasil identifikasi dan posisi yang ditetapkan untuk melakukan analisis (SWOT/metoda analisis lain yang relevan) untuk pengembangan program studi, dan
4) merumuskan strategi pengembangan program studi yang berkesesuaian untuk menghasilkan program-program pengembangan alternatif yang tepat.</t>
  </si>
  <si>
    <t>Unit Pengelola Program Studi (UPPS) mampu:
1) mengidentifikasi kondisi lingkungan dan industri yang relevan secara komprehensif,
2) menetapkan posisi relatif program studi terhadap lingkungannya, dan 
3) menggunakan hasil identifikasi dan posisi yang ditetapkan untuk melakukan analisis (SWOT/metoda analisis lain yang relevan) untuk pengembangan program studi.</t>
  </si>
  <si>
    <t>Unit Pengelola Program Studi (UPPS) mampu:
1) mengidentifikasi kondisi lingkungan dan industri yang relevan, dan
2) menetapkan posisi relatif program studi terhadap lingkungannya.</t>
  </si>
  <si>
    <t>Unit Pengelola Program Studi (UPPS) kurang mampu:
1) mengidentifikasi kondisi lingkungan dan industri yang relevan, dan
2) menetapkan posisi relatif program studi terhadap lingkungannya.</t>
  </si>
  <si>
    <t>Unit Pengelola Program Studi (UPPS) tidak mampu:
1) mengidentifikasi kondisi lingkungan dan industri yang relevan, dan
2) menetapkan posisi relatif program studi terhadap lingkungannya.</t>
  </si>
  <si>
    <t>Skor</t>
  </si>
  <si>
    <t>B</t>
  </si>
  <si>
    <r>
      <rPr>
        <b/>
        <sz val="11"/>
        <color rgb="FF000000"/>
        <rFont val="Calibri"/>
        <charset val="134"/>
      </rPr>
      <t xml:space="preserve">Profil Unit Pengelola Program Studi
</t>
    </r>
    <r>
      <rPr>
        <sz val="11"/>
        <color rgb="FF000000"/>
        <rFont val="Calibri"/>
        <charset val="134"/>
      </rPr>
      <t>Keserbacakupan informasi dalam profil dan konsistensi antara profil dengan data dan informasi yang disampaikan pada masing-masing kriteria, serta menunjukkan iklim yang kondusif untuk pengembangan dan reputasi sebagai rujukan di bidang keilmuannya.</t>
    </r>
  </si>
  <si>
    <t>Profil UPPS: 
1) menunjukkan keserbacakupan informasi yang jelas dan konsisten dengan data dan informasi yang disampaikan pada masing-masing kriteria,
2) menggambarkan keselarasan dengan substansi keilmuan program studi. 
3) menunjukkan iklim yang kondusif untuk pengembangan keilmuan program studi.
4) menunjukkan reputasi sebagai rujukan di bidang keilmuannya.</t>
  </si>
  <si>
    <t>Profil UPPS:
1) menunjukkan keserbacakupan informasi yang jelas dan konsisten dengan data dan informasi yang disampaikan pada masing-masing kriteria,
2) menggambarkan keselarasan dengan substansi keilmuan program studi. 
3) menunjukkan iklim yang kondusif untuk pengembangan keilmuan program studi.</t>
  </si>
  <si>
    <t xml:space="preserve">Profil UPPS:
1) menunjukkan keserbacakupan informasi yang jelas dengan data dan informasi yang disampaikan pada masing-masing kriteria,
2) menggambarkan keselarasan dengan substansi keilmuan program studi. </t>
  </si>
  <si>
    <t xml:space="preserve">Profil UPPS:
1) kurang menunjukkan keserbacakupan informasi yang jelas dengan data dan informasi yang disampaikan pada masing-masing kriteria,
2) kurang menggambarkan keselarasan dengan substansi keilmuan program studi. </t>
  </si>
  <si>
    <t xml:space="preserve">Profil UPPS tidak menunjukkan keserbacakupan informasi yang jelas dengan data dan informasi yang disampaikan pada masing-masing kriteria. </t>
  </si>
  <si>
    <r>
      <rPr>
        <b/>
        <sz val="11"/>
        <color rgb="FF000000"/>
        <rFont val="Calibri"/>
        <charset val="134"/>
      </rPr>
      <t>C  Kriteria</t>
    </r>
    <r>
      <rPr>
        <sz val="11"/>
        <color rgb="FF000000"/>
        <rFont val="Calibri"/>
        <charset val="134"/>
      </rPr>
      <t xml:space="preserve">
</t>
    </r>
    <r>
      <rPr>
        <b/>
        <sz val="11"/>
        <color rgb="FF000000"/>
        <rFont val="Calibri"/>
        <charset val="134"/>
      </rPr>
      <t>C.1 
Visi, Misi, Tujuan dan Strategi</t>
    </r>
    <r>
      <rPr>
        <sz val="11"/>
        <color rgb="FF000000"/>
        <rFont val="Calibri"/>
        <charset val="134"/>
      </rPr>
      <t xml:space="preserve">
C.1.4 
Indikator Kinerja Utama
</t>
    </r>
  </si>
  <si>
    <t>Kesesuaian Visi, Misi, Tujuan dan Strategi (VMTS) Unit Pengelola Program Studi (UPPS) terhadap VMTS Perguruan Tinggi (PT) dan visi keilmuan Program Studi (PS) yang dikelolanya.</t>
  </si>
  <si>
    <t>UPPS memiliki:
1) visi yang mencerminkan visi perguruan tinggi dan memayungi visi keilmuan terkait keunikan program studi serta didukung data konsistensi implementasinya,
2) misi, tujuan, dan strategi yang searah dan bersinerji dengan misi, tujuan, dan strategi perguruan tinggi serta mendukung pengembangan program studi dengan data konsistensi implementasinya.</t>
  </si>
  <si>
    <t>UPPS memiliki:
1) visi yang mencerminkan visi perguruan tinggi dan memayungi visi keilmuan terkait keunikan program studi,
2) misi, tujuan, dan strategi yang searah dan bersinerji dengan misi, tujuan, dan strategi perguruan tinggi serta mendukung pengembangan program studi.</t>
  </si>
  <si>
    <t>UPPS memiliki: 
1) visi yang mencerminkan visi perguruan tinggi dan memayungi visi keilmuan terkait program studi,
2) misi, tujuan, dan strategi yang searah dengan misi, tujuan, dan strategi perguruan tinggi serta mendukung pengembangan program studi.</t>
  </si>
  <si>
    <t>UPPS memiliki:
1) visi yang mencerminkan visi perguruan tinggi namun tidak memayungi visi keilmuan terkait program studi,
2) misi, tujuan, dan strategi kurang searah dengan misi, tujuan sasaran, dan strategi perguruan tinggi serta kurang mendukung pengembangan program studi.</t>
  </si>
  <si>
    <t>UPPS memiliki misi, tujuan, dan strategi yang tidak terkait dengan strategi perguruan tinggi dan pengembangan program studi.</t>
  </si>
  <si>
    <t>Mekanisme dan keterlibatan pemangku kepentingan dalam penyusunan VMTS UPPS.</t>
  </si>
  <si>
    <t>Ada mekanisme dalam penyusunan dan penetapan visi, misi, tujuan dan strategi yang terdokumentasi serta ada keterlibatan semua pemangku kepentingan internal (dosen, mahasiswa dan tenaga kependidikan) dan eksternal (lulusan, pengguna lulusan dan pakar/mitra/organisasi profesi/pemerintah).</t>
  </si>
  <si>
    <t xml:space="preserve">Ada mekanisme dalam penyusunan dan penetapan visi, misi, tujuan dan strategi yang terdokumentasi serta ada keterlibatan pemangku kepentingan internal (dosen, mahasiswa dan tenaga kependidikan) dan pemangku kepentingan eksternal (lulusan dan pengguna lulusan). </t>
  </si>
  <si>
    <t>Ada mekanisme dalam penyusunan dan penetapan visi, misi, tujuan dan strategi yang terdokumentasi serta ada keterlibatan pemangku kepentingan internal (dosen dan mahasiswa) dan pemangku kepentingan eksternal (lulusan).</t>
  </si>
  <si>
    <t>Ada mekanisme dalam penyusunan dan penetapan visi, misi, tujuan dan strategi yang terdokumentasi namun tidak melibatkan pemangku kepentingan.</t>
  </si>
  <si>
    <t>Tidak ada mekanisme dalam penyusunan dan penetapan visi, misi, tujuan dan strategi.</t>
  </si>
  <si>
    <t xml:space="preserve">Strategi pencapaian tujuan disusun berdasarkan analisis yang sistematis, serta pada pelaksanaannya dilakukan pemantauan dan evaluasi yang ditindaklanjuti. </t>
  </si>
  <si>
    <t>Strategi efektif untuk mencapai tujuan dan disusun berdasarkan analisis yang sistematis dengan menggunakan metoda yang relevan dan terdokumentasi serta pada pelaksanaannya dilakukan pemantauan dan evaluasi dan ditindaklanjuti.</t>
  </si>
  <si>
    <t>Strategi efektif untuk mencapai tujuan dan disusun berdasarkan analisis yang sistematis dengan menggunakan metoda yang relevan dan terdokumentasi serta pada pelaksanaannya dilakukan pemantauan dan evaluasi.</t>
  </si>
  <si>
    <t>Strategi untuk mencapai tujuan dan disusun berdasarkan analisis yang sistematis dengan menggunakan metoda yang relevan serta terdokumentasi namun belum terbukti efektifitasnya.</t>
  </si>
  <si>
    <t>Strategi untuk mencapai tujuan disusun berdasarkan analisis yang kurang sistematis serta tidak menggunakan metoda yang relevan.</t>
  </si>
  <si>
    <t>Tidak memiliki strategi untuk mencapai tujuan.</t>
  </si>
  <si>
    <r>
      <rPr>
        <b/>
        <sz val="11"/>
        <color rgb="FF000000"/>
        <rFont val="Calibri"/>
        <charset val="134"/>
      </rPr>
      <t>C.2 
Tata Pamong, Tata Kelola, dan Kerjasama</t>
    </r>
    <r>
      <rPr>
        <sz val="11"/>
        <color rgb="FF000000"/>
        <rFont val="Calibri"/>
        <charset val="134"/>
      </rPr>
      <t xml:space="preserve">
C.2.4 
Indikator Kinerja Utama
C.2.4.a) 
Sistem Tata Pamong</t>
    </r>
  </si>
  <si>
    <t>A. Kelengkapan struktur organisasi dan keefektifan penyelenggaraan organisasi.</t>
  </si>
  <si>
    <t>UPPS memiliki dokumen formal struktur organisasi dan tata kerja yang dilengkapi tugas dan fungsinya, serta telah berjalan secara konsisten dan menjamin tata pamong yang baik serta berjalan efektif dan efisien.</t>
  </si>
  <si>
    <t>UPPS memiliki dokumen formal struktur organisasi dan tata kerja yang dilengkapi tugas dan fungsinya, serta telah berjalan secara konsisten dan menjamin tata pamong yang baik.</t>
  </si>
  <si>
    <t xml:space="preserve">UPPS memiliki dokumen formal struktur organisasi dan tata kerja yang dilengkapi tugas dan fungsinya, serta telah berjalan secara konsisten. </t>
  </si>
  <si>
    <t>UPPS memiliki dokumen formal struktur organisasi dan tata kerja  namun tugas dan fungsi belum berjalan secara konsisten.</t>
  </si>
  <si>
    <t>UPPS tidak memiliki dokumen formal struktur organisasi.</t>
  </si>
  <si>
    <t>B. Perwujudan good governance dan pemenuhan lima pilar sistem tata pamong, yang mencakup: 1) Kredibel, 2) Transparan, 3) Akuntabel, 4) Bertanggung jawab, 5) Adil.</t>
  </si>
  <si>
    <r>
      <rPr>
        <sz val="11"/>
        <color rgb="FF000000"/>
        <rFont val="Calibri"/>
        <charset val="134"/>
      </rPr>
      <t>UPPS memiliki praktek baik (</t>
    </r>
    <r>
      <rPr>
        <i/>
        <sz val="11"/>
        <color rgb="FF000000"/>
        <rFont val="Calibri"/>
        <charset val="134"/>
      </rPr>
      <t>best practices</t>
    </r>
    <r>
      <rPr>
        <sz val="11"/>
        <color rgb="FF000000"/>
        <rFont val="Calibri"/>
        <charset val="134"/>
      </rPr>
      <t>) dalam menerapkan tata pamong yang memenuhi 5 kaidah good governance untuk menjamin penyelenggaraan program studi yang bermutu.</t>
    </r>
  </si>
  <si>
    <r>
      <rPr>
        <sz val="11"/>
        <color rgb="FF000000"/>
        <rFont val="Calibri"/>
        <charset val="134"/>
      </rPr>
      <t>UPPS memiliki praktek baik (</t>
    </r>
    <r>
      <rPr>
        <i/>
        <sz val="11"/>
        <color rgb="FF000000"/>
        <rFont val="Calibri"/>
        <charset val="134"/>
      </rPr>
      <t>best practices</t>
    </r>
    <r>
      <rPr>
        <sz val="11"/>
        <color rgb="FF000000"/>
        <rFont val="Calibri"/>
        <charset val="134"/>
      </rPr>
      <t>) dalam menerapkan tata pamong yang memenuhi 4 kaidah good governance untuk menjamin penyelenggaraan program studi yang bermutu.</t>
    </r>
  </si>
  <si>
    <r>
      <rPr>
        <sz val="11"/>
        <color rgb="FF000000"/>
        <rFont val="Calibri"/>
        <charset val="134"/>
      </rPr>
      <t>UPPS memiliki praktek baik (</t>
    </r>
    <r>
      <rPr>
        <i/>
        <sz val="11"/>
        <color rgb="FF000000"/>
        <rFont val="Calibri"/>
        <charset val="134"/>
      </rPr>
      <t>best practices</t>
    </r>
    <r>
      <rPr>
        <sz val="11"/>
        <color rgb="FF000000"/>
        <rFont val="Calibri"/>
        <charset val="134"/>
      </rPr>
      <t>) dalam menerapkan tata pamong yang memenuhi 3 kaidah good governance untuk menjamin penyelenggaraan program studi yang bermutu.</t>
    </r>
  </si>
  <si>
    <r>
      <rPr>
        <sz val="11"/>
        <color rgb="FF000000"/>
        <rFont val="Calibri"/>
        <charset val="134"/>
      </rPr>
      <t>UPPS memiliki praktek baik (</t>
    </r>
    <r>
      <rPr>
        <i/>
        <sz val="11"/>
        <color rgb="FF000000"/>
        <rFont val="Calibri"/>
        <charset val="134"/>
      </rPr>
      <t>best practices</t>
    </r>
    <r>
      <rPr>
        <sz val="11"/>
        <color rgb="FF000000"/>
        <rFont val="Calibri"/>
        <charset val="134"/>
      </rPr>
      <t>) dalam menerapkan tata pamong yang memenuhi 1 s.d. 2 kaidah good governance untuk menjamin penyelenggaraan program studi yang bermutu.</t>
    </r>
  </si>
  <si>
    <t>Tidak ada Skor kurang dari 1.</t>
  </si>
  <si>
    <t>Skor = (A + (2 x B)) / 3</t>
  </si>
  <si>
    <t>C.2.4.b) 
Kepemimpinan dan Kemampuan Manajerial</t>
  </si>
  <si>
    <t>A. Komitmen pimpinan UPPS.</t>
  </si>
  <si>
    <t xml:space="preserve">Terdapat bukti/pengakuan yang sahih bahwa pimpinan UPPS memiliki karakter kepemimpinan operasional, organisasi, dan publik. </t>
  </si>
  <si>
    <t xml:space="preserve">Terdapat bukti/pengakuan yang sahih bahwa pimpinan UPPS memiliki 2 karakter diantara kepemimpinan operasional, organisasi, dan publik. </t>
  </si>
  <si>
    <t xml:space="preserve">Terdapat bukti/pengakuan yang sahih bahwa pimpinan UPPS memiliki salah satu karakter diantara kepemimpinan operasional, organisasi, dan publik. </t>
  </si>
  <si>
    <t>Tidak ada Skor kurang dari 2.</t>
  </si>
  <si>
    <t xml:space="preserve">B. Kapabilitas pimpinan UPPS, mencakup aspek: 1) perencanaan, 2) pengorganisasian, 3) penempatan personel, 4) pelaksanaan, 5) pengendalian dan pengawasan, dan 6) pelaporan yang menjadi dasar tindak lanjut. </t>
  </si>
  <si>
    <t>Pimpinan UPPS mampu :
1) melaksanakan 6 fungsi manajemen secara efektif dan efisien,
2) mengantisipasi dan menyelesaikan masalah pada situasi yang tidak terduga,
3) melakukan inovasi untuk menghasilkan nilai tambah.</t>
  </si>
  <si>
    <t>Pimpinan UPPS mampu :
1) melaksanakan 6 fungsi manajemen secara efektif dan efisien,
2) mengantisipasi dan menyelesaikan masalah pada situasi yang tidak terduga.</t>
  </si>
  <si>
    <t>Pimpinan UPPS mampu melaksanakan 6 fungsi manajemen secara efektif.</t>
  </si>
  <si>
    <t>Pimpinan UPPS mampu melaksanakan kurang dari 6 fungsi manajemen.</t>
  </si>
  <si>
    <t>C.2.4.c) 
Kerjasama</t>
  </si>
  <si>
    <t>Mutu, manfaat, kepuasan dan keberlanjutan kerjasama pendidikan, penelitian dan PkM yang relevan dengan program studi. UPPS memiliki bukti yang sahih terkait kerjasama yang ada telah memenuhi 3 aspek berikut: 1) memberikan manfaat bagi program studi dalam pemenuhan proses pembelajaran, penelitian, PkM. 2) memberikan peningkatan kinerja tridharma dan fasilitas pendukung program studi. 3) memberikan kepuasan kepada mitra industri dan mitra kerjasama lainnya, serta menjamin keberlanjutan kerjasama dan hasilnya.</t>
  </si>
  <si>
    <t>UPPS memiliki bukti yang sahih terkait kerjasama yang ada telah memenuhi 3 aspek.</t>
  </si>
  <si>
    <t>UPPS memiliki bukti yang sahih terkait kerjasama yang ada telah memenuhi aspek 1 dan 2.</t>
  </si>
  <si>
    <t>UPPS memiliki bukti yang sahih terkait kerjasama yang ada telah memenuhi aspek 1.</t>
  </si>
  <si>
    <t>UPPS tidak memiliki bukti pelaksanaan kerjasama.</t>
  </si>
  <si>
    <t>A. Kerjasama perguruan tinggi di bidang pendidikan, penelitian dan PkM dalam 3 tahun terakhir.
Tabel 1 LKPS</t>
  </si>
  <si>
    <r>
      <rPr>
        <sz val="11"/>
        <color rgb="FF000000"/>
        <rFont val="Calibri"/>
        <charset val="134"/>
      </rPr>
      <t>N</t>
    </r>
    <r>
      <rPr>
        <vertAlign val="subscript"/>
        <sz val="11"/>
        <color rgb="FF000000"/>
        <rFont val="Calibri"/>
        <charset val="134"/>
      </rPr>
      <t>1</t>
    </r>
    <r>
      <rPr>
        <sz val="11"/>
        <color rgb="FF000000"/>
        <rFont val="Calibri"/>
        <charset val="134"/>
      </rPr>
      <t xml:space="preserve"> = Jumlah kerjasama pendidikan.</t>
    </r>
  </si>
  <si>
    <t>borang</t>
  </si>
  <si>
    <r>
      <rPr>
        <sz val="11"/>
        <color rgb="FF000000"/>
        <rFont val="Calibri"/>
        <charset val="134"/>
      </rPr>
      <t>N</t>
    </r>
    <r>
      <rPr>
        <vertAlign val="subscript"/>
        <sz val="11"/>
        <color rgb="FF000000"/>
        <rFont val="Calibri"/>
        <charset val="134"/>
      </rPr>
      <t>2</t>
    </r>
    <r>
      <rPr>
        <sz val="11"/>
        <color rgb="FF000000"/>
        <rFont val="Calibri"/>
        <charset val="134"/>
      </rPr>
      <t xml:space="preserve"> = Jumlah kerjasama penelitian.</t>
    </r>
  </si>
  <si>
    <r>
      <rPr>
        <sz val="11"/>
        <color rgb="FF000000"/>
        <rFont val="Calibri"/>
        <charset val="134"/>
      </rPr>
      <t>N</t>
    </r>
    <r>
      <rPr>
        <vertAlign val="subscript"/>
        <sz val="11"/>
        <color rgb="FF000000"/>
        <rFont val="Calibri"/>
        <charset val="134"/>
      </rPr>
      <t>3</t>
    </r>
    <r>
      <rPr>
        <sz val="11"/>
        <color rgb="FF000000"/>
        <rFont val="Calibri"/>
        <charset val="134"/>
      </rPr>
      <t xml:space="preserve"> = Jumlah kerjasama pengabdian kepada masyarakat.</t>
    </r>
  </si>
  <si>
    <r>
      <rPr>
        <sz val="11"/>
        <color rgb="FF000000"/>
        <rFont val="Calibri"/>
        <charset val="134"/>
      </rPr>
      <t>N</t>
    </r>
    <r>
      <rPr>
        <vertAlign val="subscript"/>
        <sz val="11"/>
        <color rgb="FF000000"/>
        <rFont val="Calibri"/>
        <charset val="134"/>
      </rPr>
      <t>DTPS</t>
    </r>
    <r>
      <rPr>
        <sz val="11"/>
        <color rgb="FF000000"/>
        <rFont val="Calibri"/>
        <charset val="134"/>
      </rPr>
      <t xml:space="preserve"> = Jumlah dosen tetap yang ditugaskan sebagai pengampu mata kuliah dengan bidang keahlian yang sesuai dengan kompetensi inti program studi yang diakreditasi.</t>
    </r>
  </si>
  <si>
    <t>RK = ((a x N1) + (b x N2) + (c x N3)) / NDTPS</t>
  </si>
  <si>
    <t>a =</t>
  </si>
  <si>
    <t xml:space="preserve">b = </t>
  </si>
  <si>
    <t xml:space="preserve">c = </t>
  </si>
  <si>
    <t>bRK =</t>
  </si>
  <si>
    <t>Skor A</t>
  </si>
  <si>
    <t>B. Kerjasama tingkat internasional, nasional, wilayah/lokal yang relevan dengan program studi dan dikelola oleh UPPS dalam 3 tahun terakhir.
Tabel 1 LKPS</t>
  </si>
  <si>
    <r>
      <rPr>
        <sz val="11"/>
        <color rgb="FF000000"/>
        <rFont val="Calibri"/>
        <charset val="134"/>
      </rPr>
      <t>N</t>
    </r>
    <r>
      <rPr>
        <vertAlign val="subscript"/>
        <sz val="11"/>
        <color rgb="FF000000"/>
        <rFont val="Calibri"/>
        <charset val="134"/>
      </rPr>
      <t>I</t>
    </r>
    <r>
      <rPr>
        <sz val="11"/>
        <color rgb="FF000000"/>
        <rFont val="Calibri"/>
        <charset val="134"/>
      </rPr>
      <t xml:space="preserve"> = Jumlah kerjasama tingkat internasional.</t>
    </r>
  </si>
  <si>
    <r>
      <rPr>
        <sz val="11"/>
        <color rgb="FF000000"/>
        <rFont val="Calibri"/>
        <charset val="134"/>
      </rPr>
      <t>N</t>
    </r>
    <r>
      <rPr>
        <vertAlign val="subscript"/>
        <sz val="11"/>
        <color rgb="FF000000"/>
        <rFont val="Calibri"/>
        <charset val="134"/>
      </rPr>
      <t>N</t>
    </r>
    <r>
      <rPr>
        <sz val="11"/>
        <color rgb="FF000000"/>
        <rFont val="Calibri"/>
        <charset val="134"/>
      </rPr>
      <t xml:space="preserve"> = Jumlah kerjasama tingkat nasional.</t>
    </r>
  </si>
  <si>
    <r>
      <rPr>
        <sz val="11"/>
        <color rgb="FF000000"/>
        <rFont val="Calibri"/>
        <charset val="134"/>
      </rPr>
      <t>N</t>
    </r>
    <r>
      <rPr>
        <vertAlign val="subscript"/>
        <sz val="11"/>
        <color rgb="FF000000"/>
        <rFont val="Calibri"/>
        <charset val="134"/>
      </rPr>
      <t>W</t>
    </r>
    <r>
      <rPr>
        <sz val="11"/>
        <color rgb="FF000000"/>
        <rFont val="Calibri"/>
        <charset val="134"/>
      </rPr>
      <t xml:space="preserve"> = Jumlah kerjasama tingkat wilayah/lokal.</t>
    </r>
  </si>
  <si>
    <t xml:space="preserve">4: NI ≥ a </t>
  </si>
  <si>
    <r>
      <rPr>
        <sz val="11"/>
        <color rgb="FFFFFFFF"/>
        <rFont val="Calibri"/>
        <charset val="134"/>
      </rPr>
      <t xml:space="preserve">3-4: NI &lt; a DAN NN </t>
    </r>
    <r>
      <rPr>
        <sz val="11"/>
        <color rgb="FFFFFFFF"/>
        <rFont val="Calibri"/>
        <charset val="134"/>
      </rPr>
      <t>≥</t>
    </r>
    <r>
      <rPr>
        <sz val="11"/>
        <color rgb="FFFFFFFF"/>
        <rFont val="Calibri"/>
        <charset val="134"/>
      </rPr>
      <t xml:space="preserve"> b</t>
    </r>
  </si>
  <si>
    <t>2-3: 0 &lt; NI &lt; a DAN 0 &lt; NN &lt; b</t>
  </si>
  <si>
    <t>2: NI = 0 DAN NN = 0 DAN NW ≥ c</t>
  </si>
  <si>
    <t>0-2: NI = 0 DAN NN = 0 DAN NW &lt; c</t>
  </si>
  <si>
    <t>Skor B</t>
  </si>
  <si>
    <t>Skor = ((2 x A) + B) / 3</t>
  </si>
  <si>
    <t>C.2.5 
Indikator Kinerja Tambahan</t>
  </si>
  <si>
    <t>Pelampauan SN-DIKTI (indikator kinerja tambahan) yang ditetapkan oleh UPPS pada tiap kriteria.</t>
  </si>
  <si>
    <t>UPPS menetapkan indikator kinerja tambahan berdasarkan standar pendidikan tinggi yang ditetapkan perguruan tinggi. Indikator kinerja tambahan mencakup seluruh kriteria serta menunjukkan daya saing UPPS dan program studi di tingkat inernasional. Data indikator kinerja tambahan telah diukur, dimonitor, dikaji, dan dianalisis untuk perbaikan berkelanjutan.</t>
  </si>
  <si>
    <t>UPPS menetapkan indikator kinerja tambahan berdasarkan standar pendidikan tinggi yang ditetapkan perguruan tinggi. Indikator kinerja tambahan mencakup sebagian kriteria serta menunjukkan daya saing UPPS dan program studi di tingkat nasional. Data indikator kinerja tambahan telah diukur, dimonitor, dikaji, dan dianalisis untuk perbaikan berkelanjutan.</t>
  </si>
  <si>
    <t>UPPS tidak menetapkan indikator kinerja tambahan.</t>
  </si>
  <si>
    <t>C.2.6 
Evaluasi Capaian Kinerja</t>
  </si>
  <si>
    <t>Analisis keberhasilan dan/atau ketidakberhasilan pencapaian kinerja yang telah ditetapkan institusi yang memenuhi 2 aspek sebagai berikut: 
1) capaian kinerja harus diukur dengan metoda yang tepat, dan hasilnya dianalisis serta dievaluasi, dan
2) analisis terhadap capaian kinerja mencakup identifikasi akar masalah, faktor pendukung keberhasilan dan faktor penghambat ketercapaian standar, dan deskripsi singkat tindak lanjut yang akan dilakukan.</t>
  </si>
  <si>
    <t>Analisis pencapaian kinerja UPPS di tiap kriteria memenuhi 2 aspek, dilaksanakan setiap tahun dan hasilnya dipublikasikan kepada para pemangku kepentingan.</t>
  </si>
  <si>
    <t>Analisis pencapaian kinerja UPPS di tiap kriteria memenuhi 2 aspek dan dilaksanakan setiap tahun.</t>
  </si>
  <si>
    <t xml:space="preserve">Analisis pencapaian kinerja UPPS di tiap kriteria memenuhi 2 aspek. </t>
  </si>
  <si>
    <t xml:space="preserve">UPPS memiliki laporan pencapaian kinerja namun belum dianalisis dan dievaluasi. </t>
  </si>
  <si>
    <t xml:space="preserve">UPPS tidak memiliki laporan pencapaian kinerja. </t>
  </si>
  <si>
    <t>C.2.7
Penjaminan Mutu</t>
  </si>
  <si>
    <r>
      <rPr>
        <sz val="11"/>
        <color rgb="FF000000"/>
        <rFont val="Calibri"/>
        <charset val="134"/>
      </rPr>
      <t xml:space="preserve">Keterlaksanaan Sistem Penjaminan Mutu Internal (akademik dan nonakademik) yang dibuktikan dengan keberadaan 5 aspek:
1) dokumen legal pembentukan unsur pelaksana penjaminan mutu.
2) ketersediaan dokumen mutu: kebijakan SPMI, manual SPMI, standar SPMI, dan formulir SPMI.
3) terlaksananya siklus penjaminan mutu (siklus PPEPP).
4) bukti sahih efektivitas pelaksanaan penjaminan mutu.
5) memiliki </t>
    </r>
    <r>
      <rPr>
        <i/>
        <sz val="11"/>
        <color rgb="FF000000"/>
        <rFont val="Calibri"/>
        <charset val="134"/>
      </rPr>
      <t>external benchmarking</t>
    </r>
    <r>
      <rPr>
        <sz val="11"/>
        <color rgb="FF000000"/>
        <rFont val="Calibri"/>
        <charset val="134"/>
      </rPr>
      <t xml:space="preserve"> dalam peningkatan mutu.</t>
    </r>
  </si>
  <si>
    <t>UPPS telah melaksanakan SPMI yang memenuhi 5 aspek.</t>
  </si>
  <si>
    <t xml:space="preserve">UPPS telah melaksanakan SPMI yang memenuhi aspek nomor 1 sampai dengan 4. </t>
  </si>
  <si>
    <t>UPPS telah melaksanakan SPMI yang memenuhi aspek nomor 1 sampai dengan 3.</t>
  </si>
  <si>
    <t>UPPS telah melaksanakan SPMI yang memenuhi aspek nomor 1 dan 2, serta siklus kegiatan SPMI baru dilaksanakan pada tahapan penetapan standar dan pelaksanaan standar pendidikan tinggi.</t>
  </si>
  <si>
    <t>UPPS telah memiliki dokumen legal pembentukan unsur pelaksana penjaminan mutu tanpa pelaksanaan SPMI.</t>
  </si>
  <si>
    <t>C.2.8
Kepuasan pemangku kepentingan</t>
  </si>
  <si>
    <t>Pengukuran kepuasan layanan manajemen terhadap para pemangku kepentingan: mahasiswa, dosen, tenaga kependidikan, lulusan, pengguna dan mitra yang memenuhi aspek-aspek berikut:
1) menggunakan instrumen kepuasan yang sahih, andal, mudah digunakan,
2) dilaksanakan secara berkala, serta datanya terekam secara komprehensif, 
3) dianalisis dengan metode yang tepat serta bermanfaat untuk pengambilan keputusan,
4) tingkat kepuasan dan umpan balik ditindaklanjuti untuk perbaikan dan peningkatan mutu luaran secara berkala dan tersistem,
5) dilakukan review terhadap pelaksanaan pengukuran kepuasan dosen dan mahasiswa, serta
6) hasilnya dipublikasikan dan mudah diakses oleh dosen dan mahasiswa.</t>
  </si>
  <si>
    <t>UPPS melakukan pengukuran kepuasan kepada seluruh pemangku kepentingan terhadap layanan manajemen yang memenuhi seluruh aspek.</t>
  </si>
  <si>
    <t>UPPS melakukan pengukuran kepuasan kepada seluruh pemangku kepentingan terhadap layanan manajemen yang memenuhi aspek 1 s.d 4 dan salah satu dari aspek 5 atau aspek 6.</t>
  </si>
  <si>
    <t>UPPS melakukan pengukuran kepuasan kepada seluruh pemangku kepentingan terhadap layanan manajemen yang memenuhi aspek 1 s.d 4.</t>
  </si>
  <si>
    <t>UPPS melakukan pengukuran kepuasan kepada sebagian pemangku kepentingan terhadap layanan manajemen yang memenuhi aspek 1 s.d. 4.</t>
  </si>
  <si>
    <t>UPPS tidak melakukan pengukuran kepuasan layanan manajemen.</t>
  </si>
  <si>
    <r>
      <rPr>
        <b/>
        <sz val="11"/>
        <color rgb="FF000000"/>
        <rFont val="Calibri"/>
        <charset val="134"/>
      </rPr>
      <t>C.3
Mahasiswa</t>
    </r>
    <r>
      <rPr>
        <sz val="11"/>
        <color rgb="FF000000"/>
        <rFont val="Calibri"/>
        <charset val="134"/>
      </rPr>
      <t xml:space="preserve">
C.3.4 
Indikator Kinerja Utama
C.3.4.a) 
Kualitas Input Mahasiswa</t>
    </r>
  </si>
  <si>
    <t>Metoda rekrutmen dan keketatan seleksi.
Tabel 2.a LKPS</t>
  </si>
  <si>
    <t>Pilih kelompok program studi berdasarkan jumlah kebutuhan lulusan sesuai pilihan yang tersedia.
1: Tinggi; 2: Rendah.</t>
  </si>
  <si>
    <t>Tinggi</t>
  </si>
  <si>
    <t>1: Jumlah kebutuhan lulusan tinggi</t>
  </si>
  <si>
    <t>2: Jumlah kebutuhan lulusan rendah</t>
  </si>
  <si>
    <t>Rendah</t>
  </si>
  <si>
    <t>Untuk program studi dengan jumlah kebutuhan lulusan tinggi berlaku perhitungan Skor sebagai berikut:</t>
  </si>
  <si>
    <r>
      <rPr>
        <sz val="11"/>
        <color rgb="FF000000"/>
        <rFont val="Calibri"/>
        <charset val="134"/>
      </rPr>
      <t>N</t>
    </r>
    <r>
      <rPr>
        <vertAlign val="subscript"/>
        <sz val="11"/>
        <color rgb="FF000000"/>
        <rFont val="Calibri"/>
        <charset val="134"/>
      </rPr>
      <t>A</t>
    </r>
    <r>
      <rPr>
        <sz val="11"/>
        <color rgb="FF000000"/>
        <rFont val="Calibri"/>
        <charset val="134"/>
      </rPr>
      <t xml:space="preserve"> = Jumlah calon mahasiswa yang ikut seleksi.</t>
    </r>
  </si>
  <si>
    <r>
      <rPr>
        <sz val="11"/>
        <color rgb="FF000000"/>
        <rFont val="Calibri"/>
        <charset val="134"/>
      </rPr>
      <t>N</t>
    </r>
    <r>
      <rPr>
        <vertAlign val="subscript"/>
        <sz val="11"/>
        <color rgb="FF000000"/>
        <rFont val="Calibri"/>
        <charset val="134"/>
      </rPr>
      <t>B</t>
    </r>
    <r>
      <rPr>
        <sz val="11"/>
        <color rgb="FF000000"/>
        <rFont val="Calibri"/>
        <charset val="134"/>
      </rPr>
      <t xml:space="preserve"> = Jumlah calon mahasiswa yang lulus seleksi.</t>
    </r>
  </si>
  <si>
    <r>
      <rPr>
        <sz val="11"/>
        <color rgb="FF000000"/>
        <rFont val="Calibri"/>
        <charset val="134"/>
      </rPr>
      <t>Rasio = N</t>
    </r>
    <r>
      <rPr>
        <vertAlign val="subscript"/>
        <sz val="11"/>
        <color rgb="FF000000"/>
        <rFont val="Calibri"/>
        <charset val="134"/>
      </rPr>
      <t>A</t>
    </r>
    <r>
      <rPr>
        <sz val="11"/>
        <color rgb="FF000000"/>
        <rFont val="Calibri"/>
        <charset val="134"/>
      </rPr>
      <t xml:space="preserve"> / N</t>
    </r>
    <r>
      <rPr>
        <vertAlign val="subscript"/>
        <sz val="11"/>
        <color rgb="FF000000"/>
        <rFont val="Calibri"/>
        <charset val="134"/>
      </rPr>
      <t>B</t>
    </r>
  </si>
  <si>
    <t>b =</t>
  </si>
  <si>
    <t>Untuk program studi dengan jumlah kebutuhan lulusan rendah berlaku pemberian Skor sesuai kondisi berikut:</t>
  </si>
  <si>
    <t>Jika selalu ada mahasiswa baru terdaftar pada TS-4 s.d. TS.</t>
  </si>
  <si>
    <t>Tidak ada skor antara 2 dan 4.</t>
  </si>
  <si>
    <t>Jika tidak selalu ada mahasiswa baru terdaftar pada TS-4 s.d. TS.</t>
  </si>
  <si>
    <t>Tidak ada skor antara 0 dan 2.</t>
  </si>
  <si>
    <t>Jika tidak ada mahasiswa baru terdaftar pada TS-4 s.d. TS.</t>
  </si>
  <si>
    <t>C.3.4.b) Daya Tarik Program Studi</t>
  </si>
  <si>
    <t>A. Peningkatan animo calon mahasiswa.
Tabel 2.a LKPS</t>
  </si>
  <si>
    <t>UPPS melakukan upaya untuk meningkatkan animo calon mahasiswa yang ditunjukkan dengan adanya tren peningkatan jumlah pendaftar secara signifikan (&gt; 10%) dalam 3 tahun terakhir.</t>
  </si>
  <si>
    <t>UPPS melakukan upaya untuk meningkatkan animo calon mahasiswa yang ditunjukkan dengan adanya tren peningkatan jumlah pendaftar dalam 3 tahun terakhir.</t>
  </si>
  <si>
    <t xml:space="preserve">UPPS melakukan upaya untuk meningkatkan animo calon mahasiswa dalam 3 tahun terakhir dengan tren tetap. </t>
  </si>
  <si>
    <t xml:space="preserve">UPPS melakukan upaya untuk meningkatkan animo calon mahasiswa dalam 3 tahun terakhir namun trennya menurun. </t>
  </si>
  <si>
    <t xml:space="preserve">UPPS tidak melakukan upaya untuk meningkatkan animo calon mahasiswa dalam 3 tahun terakhir. </t>
  </si>
  <si>
    <t>B. Mahasiswa asing.
Tabel 2.b LKPS</t>
  </si>
  <si>
    <r>
      <rPr>
        <sz val="11"/>
        <color rgb="FF000000"/>
        <rFont val="Calibri"/>
        <charset val="134"/>
      </rPr>
      <t>N</t>
    </r>
    <r>
      <rPr>
        <vertAlign val="subscript"/>
        <sz val="11"/>
        <color rgb="FF000000"/>
        <rFont val="Calibri"/>
        <charset val="134"/>
      </rPr>
      <t>MUPPS</t>
    </r>
    <r>
      <rPr>
        <sz val="11"/>
        <color rgb="FF000000"/>
        <rFont val="Calibri"/>
        <charset val="134"/>
      </rPr>
      <t xml:space="preserve"> = Jumlah mahasiswa aktif di UPPS dalam 3 tahun terakhir (TS-2 s.d. TS).</t>
    </r>
  </si>
  <si>
    <r>
      <rPr>
        <sz val="11"/>
        <color rgb="FF000000"/>
        <rFont val="Calibri"/>
        <charset val="134"/>
      </rPr>
      <t>N</t>
    </r>
    <r>
      <rPr>
        <vertAlign val="subscript"/>
        <sz val="11"/>
        <color rgb="FF000000"/>
        <rFont val="Calibri"/>
        <charset val="134"/>
      </rPr>
      <t>MAFT</t>
    </r>
    <r>
      <rPr>
        <sz val="11"/>
        <color rgb="FF000000"/>
        <rFont val="Calibri"/>
        <charset val="134"/>
      </rPr>
      <t xml:space="preserve"> = Jumlah mahasiswa asing penuh waktu dalam 3 tahun terakhir (TS-2 s.d. TS)</t>
    </r>
  </si>
  <si>
    <r>
      <rPr>
        <sz val="11"/>
        <color rgb="FF000000"/>
        <rFont val="Calibri"/>
        <charset val="134"/>
      </rPr>
      <t>N</t>
    </r>
    <r>
      <rPr>
        <vertAlign val="subscript"/>
        <sz val="11"/>
        <color rgb="FF000000"/>
        <rFont val="Calibri"/>
        <charset val="134"/>
      </rPr>
      <t>MAPT</t>
    </r>
    <r>
      <rPr>
        <sz val="11"/>
        <color rgb="FF000000"/>
        <rFont val="Calibri"/>
        <charset val="134"/>
      </rPr>
      <t xml:space="preserve"> = Jumlah mahasiswa asing paruh waktu dalam 3 tahun terakhir (TS-2 s.d. TS)</t>
    </r>
  </si>
  <si>
    <r>
      <rPr>
        <sz val="11"/>
        <color rgb="FF000000"/>
        <rFont val="Calibri"/>
        <charset val="134"/>
      </rPr>
      <t>P</t>
    </r>
    <r>
      <rPr>
        <vertAlign val="subscript"/>
        <sz val="11"/>
        <color rgb="FF000000"/>
        <rFont val="Calibri"/>
        <charset val="134"/>
      </rPr>
      <t>MA</t>
    </r>
    <r>
      <rPr>
        <sz val="11"/>
        <color rgb="FF000000"/>
        <rFont val="Calibri"/>
        <charset val="134"/>
      </rPr>
      <t xml:space="preserve"> = (N</t>
    </r>
    <r>
      <rPr>
        <vertAlign val="subscript"/>
        <sz val="11"/>
        <color rgb="FF000000"/>
        <rFont val="Calibri"/>
        <charset val="134"/>
      </rPr>
      <t>MAFT</t>
    </r>
    <r>
      <rPr>
        <sz val="11"/>
        <color rgb="FF000000"/>
        <rFont val="Calibri"/>
        <charset val="134"/>
      </rPr>
      <t xml:space="preserve"> + N</t>
    </r>
    <r>
      <rPr>
        <vertAlign val="subscript"/>
        <sz val="11"/>
        <color rgb="FF000000"/>
        <rFont val="Calibri"/>
        <charset val="134"/>
      </rPr>
      <t>MAPT</t>
    </r>
    <r>
      <rPr>
        <sz val="11"/>
        <color rgb="FF000000"/>
        <rFont val="Calibri"/>
        <charset val="134"/>
      </rPr>
      <t>) / N</t>
    </r>
    <r>
      <rPr>
        <vertAlign val="subscript"/>
        <sz val="11"/>
        <color rgb="FF000000"/>
        <rFont val="Calibri"/>
        <charset val="134"/>
      </rPr>
      <t>MUPPS</t>
    </r>
  </si>
  <si>
    <t>C.3.4.c) 
Layanan Kemahasiswaan</t>
  </si>
  <si>
    <t>A. Ketersediaan layanan kemahasiswaan di bidang: 
1) penalaran, minat dan bakat,
2) kesejahteraan (bimbingan dan konseling, layanan beasiswa, dan layanan kesehatan), dan
3) bimbingan karir dan kewirausahaan.</t>
  </si>
  <si>
    <t>Jenis layanan mencakup bidang penalaran, minat dan bakat,  kesejahteraan (bimbingan dan konseling, layanan beasiswa, dan layanan kesehatan), dan bimbingan karir dan kewirausahaan.</t>
  </si>
  <si>
    <t>Jenis layanan mencakup bidang penalaran, minat dan bakat, dan kesejahteraan (bimbingan dan konseling, layanan beasiswa, dan layanan kesehatan).</t>
  </si>
  <si>
    <t>Jenis layanan mencakup bidang penalaran, minat dan bakat mahasiswa.</t>
  </si>
  <si>
    <t>Jenis layanan hanya mencakup sebagian bidang penalaran, minat atau bakat.</t>
  </si>
  <si>
    <t>Tidak memiliki layanan kemahasiswaan.</t>
  </si>
  <si>
    <t>B. Akses dan mutu layanan kemahasiswaan.</t>
  </si>
  <si>
    <t>Ada kemudahan akses dan mutu layanan yang baik untuk bidang penalaran, minat bakat mahasiswa dan semua jenis layanan kesehatan.</t>
  </si>
  <si>
    <t>Ada kemudahan akses dan mutu layanan yang baik untuk bidang penalaran, minat bakat mahasiswa dan sebagian layanan kesehatan.</t>
  </si>
  <si>
    <t xml:space="preserve">Ada kemudahan akses dan mutu layanan yang baik untuk bidang penalaran dan minat bakat mahasiswa. </t>
  </si>
  <si>
    <t xml:space="preserve">Mutu layanan kurang baik untuk bidang penalaran atau minat bakat mahasiswa. </t>
  </si>
  <si>
    <r>
      <rPr>
        <b/>
        <sz val="11"/>
        <color rgb="FF000000"/>
        <rFont val="Calibri"/>
        <charset val="134"/>
      </rPr>
      <t>C.4. Sumber Daya Manusia</t>
    </r>
    <r>
      <rPr>
        <sz val="11"/>
        <color rgb="FF000000"/>
        <rFont val="Calibri"/>
        <charset val="134"/>
      </rPr>
      <t xml:space="preserve">
C.4.4. Indikator Kinerja Utama
C.4.4.a) Profil Dosen</t>
    </r>
  </si>
  <si>
    <t>Kecukupan jumlah DTPS.
Tabel 3.a.1) LKPS</t>
  </si>
  <si>
    <t>b1 =</t>
  </si>
  <si>
    <t>b2 =</t>
  </si>
  <si>
    <t>Kualifikasi akademik DTPS.
Tabel 3.a.1) LKPS</t>
  </si>
  <si>
    <r>
      <rPr>
        <sz val="11"/>
        <color rgb="FF000000"/>
        <rFont val="Calibri"/>
        <charset val="134"/>
      </rPr>
      <t>N</t>
    </r>
    <r>
      <rPr>
        <vertAlign val="subscript"/>
        <sz val="11"/>
        <color rgb="FF000000"/>
        <rFont val="Calibri"/>
        <charset val="134"/>
      </rPr>
      <t>DS3</t>
    </r>
    <r>
      <rPr>
        <sz val="11"/>
        <color rgb="FF000000"/>
        <rFont val="Calibri"/>
        <charset val="134"/>
      </rPr>
      <t xml:space="preserve"> = Jumlah DTPS yang berpendidikan tertinggi Doktor/Doktor Terapan/Subspesialis.</t>
    </r>
  </si>
  <si>
    <r>
      <rPr>
        <sz val="11"/>
        <color rgb="FF000000"/>
        <rFont val="Calibri"/>
        <charset val="134"/>
      </rPr>
      <t>P</t>
    </r>
    <r>
      <rPr>
        <vertAlign val="subscript"/>
        <sz val="11"/>
        <color rgb="FF000000"/>
        <rFont val="Calibri"/>
        <charset val="134"/>
      </rPr>
      <t>DS3</t>
    </r>
    <r>
      <rPr>
        <sz val="11"/>
        <color rgb="FF000000"/>
        <rFont val="Calibri"/>
        <charset val="134"/>
      </rPr>
      <t xml:space="preserve"> = (N</t>
    </r>
    <r>
      <rPr>
        <vertAlign val="subscript"/>
        <sz val="11"/>
        <color rgb="FF000000"/>
        <rFont val="Calibri"/>
        <charset val="134"/>
      </rPr>
      <t>DS3</t>
    </r>
    <r>
      <rPr>
        <sz val="11"/>
        <color rgb="FF000000"/>
        <rFont val="Calibri"/>
        <charset val="134"/>
      </rPr>
      <t xml:space="preserve"> / N</t>
    </r>
    <r>
      <rPr>
        <vertAlign val="subscript"/>
        <sz val="11"/>
        <color rgb="FF000000"/>
        <rFont val="Calibri"/>
        <charset val="134"/>
      </rPr>
      <t>DTPS</t>
    </r>
    <r>
      <rPr>
        <sz val="11"/>
        <color rgb="FF000000"/>
        <rFont val="Calibri"/>
        <charset val="134"/>
      </rPr>
      <t>) x 100%</t>
    </r>
  </si>
  <si>
    <t>Jabatan akademik DTPS.
Tabel 3.a.1) LKPS</t>
  </si>
  <si>
    <r>
      <rPr>
        <sz val="11"/>
        <color rgb="FF000000"/>
        <rFont val="Calibri"/>
        <charset val="134"/>
      </rPr>
      <t>N</t>
    </r>
    <r>
      <rPr>
        <vertAlign val="subscript"/>
        <sz val="11"/>
        <color rgb="FF000000"/>
        <rFont val="Calibri"/>
        <charset val="134"/>
      </rPr>
      <t>DGB</t>
    </r>
    <r>
      <rPr>
        <sz val="11"/>
        <color rgb="FF000000"/>
        <rFont val="Calibri"/>
        <charset val="134"/>
      </rPr>
      <t xml:space="preserve"> = Jumlah DTPS yang memiliki jabatan akademik Guru Besar.</t>
    </r>
  </si>
  <si>
    <r>
      <rPr>
        <sz val="11"/>
        <color rgb="FF000000"/>
        <rFont val="Calibri"/>
        <charset val="134"/>
      </rPr>
      <t>N</t>
    </r>
    <r>
      <rPr>
        <vertAlign val="subscript"/>
        <sz val="11"/>
        <color rgb="FF000000"/>
        <rFont val="Calibri"/>
        <charset val="134"/>
      </rPr>
      <t>DLK</t>
    </r>
    <r>
      <rPr>
        <sz val="11"/>
        <color rgb="FF000000"/>
        <rFont val="Calibri"/>
        <charset val="134"/>
      </rPr>
      <t xml:space="preserve"> = Jumlah DTPS yang memiliki jabatan akademik Lektor Kepala.</t>
    </r>
  </si>
  <si>
    <r>
      <rPr>
        <sz val="11"/>
        <color rgb="FF000000"/>
        <rFont val="Calibri"/>
        <charset val="134"/>
      </rPr>
      <t>N</t>
    </r>
    <r>
      <rPr>
        <vertAlign val="subscript"/>
        <sz val="11"/>
        <color rgb="FF000000"/>
        <rFont val="Calibri"/>
        <charset val="134"/>
      </rPr>
      <t>DL</t>
    </r>
    <r>
      <rPr>
        <sz val="11"/>
        <color rgb="FF000000"/>
        <rFont val="Calibri"/>
        <charset val="134"/>
      </rPr>
      <t xml:space="preserve"> = Jumlah DTPS tetap yang memiliki jabatan akademik Lektor.</t>
    </r>
  </si>
  <si>
    <r>
      <rPr>
        <sz val="11"/>
        <color rgb="FF000000"/>
        <rFont val="Calibri"/>
        <charset val="134"/>
      </rPr>
      <t>P</t>
    </r>
    <r>
      <rPr>
        <vertAlign val="subscript"/>
        <sz val="11"/>
        <color rgb="FF000000"/>
        <rFont val="Calibri"/>
        <charset val="134"/>
      </rPr>
      <t>GBLKL</t>
    </r>
    <r>
      <rPr>
        <sz val="11"/>
        <color rgb="FF000000"/>
        <rFont val="Calibri"/>
        <charset val="134"/>
      </rPr>
      <t xml:space="preserve"> = ((N</t>
    </r>
    <r>
      <rPr>
        <vertAlign val="subscript"/>
        <sz val="11"/>
        <color rgb="FF000000"/>
        <rFont val="Calibri"/>
        <charset val="134"/>
      </rPr>
      <t>DGB</t>
    </r>
    <r>
      <rPr>
        <sz val="11"/>
        <color rgb="FF000000"/>
        <rFont val="Calibri"/>
        <charset val="134"/>
      </rPr>
      <t xml:space="preserve"> + N</t>
    </r>
    <r>
      <rPr>
        <vertAlign val="subscript"/>
        <sz val="11"/>
        <color rgb="FF000000"/>
        <rFont val="Calibri"/>
        <charset val="134"/>
      </rPr>
      <t>DLK</t>
    </r>
    <r>
      <rPr>
        <sz val="11"/>
        <color rgb="FF000000"/>
        <rFont val="Calibri"/>
        <charset val="134"/>
      </rPr>
      <t xml:space="preserve"> + N</t>
    </r>
    <r>
      <rPr>
        <vertAlign val="subscript"/>
        <sz val="11"/>
        <color rgb="FF000000"/>
        <rFont val="Calibri"/>
        <charset val="134"/>
      </rPr>
      <t>DL</t>
    </r>
    <r>
      <rPr>
        <sz val="11"/>
        <color rgb="FF000000"/>
        <rFont val="Calibri"/>
        <charset val="134"/>
      </rPr>
      <t>) / N</t>
    </r>
    <r>
      <rPr>
        <vertAlign val="subscript"/>
        <sz val="11"/>
        <color rgb="FF000000"/>
        <rFont val="Calibri"/>
        <charset val="134"/>
      </rPr>
      <t>DTPS</t>
    </r>
    <r>
      <rPr>
        <sz val="11"/>
        <color rgb="FF000000"/>
        <rFont val="Calibri"/>
        <charset val="134"/>
      </rPr>
      <t>) x 100%</t>
    </r>
  </si>
  <si>
    <t>Rasio jumlah mahasiswa program studi terhadap jumlah DTPS.
Tabel 2.a LKPS dan Tabel 3.a.1) LKPS</t>
  </si>
  <si>
    <t>Pilih kelompok program studi sesuai pilihan yang tersedia.
1: Saintek (Sains Teknologi); 2: Soshum (Sosial Humaniora)</t>
  </si>
  <si>
    <t>Saintek</t>
  </si>
  <si>
    <t>1: Kelompok Sains Teknologi</t>
  </si>
  <si>
    <t>2: Kelompok Sosial Humaniora</t>
  </si>
  <si>
    <t>Soshum</t>
  </si>
  <si>
    <r>
      <rPr>
        <sz val="11"/>
        <color rgb="FF000000"/>
        <rFont val="Calibri"/>
        <charset val="134"/>
      </rPr>
      <t>N</t>
    </r>
    <r>
      <rPr>
        <vertAlign val="subscript"/>
        <sz val="11"/>
        <color rgb="FF000000"/>
        <rFont val="Calibri"/>
        <charset val="134"/>
      </rPr>
      <t>M</t>
    </r>
    <r>
      <rPr>
        <sz val="11"/>
        <color rgb="FF000000"/>
        <rFont val="Calibri"/>
        <charset val="134"/>
      </rPr>
      <t xml:space="preserve"> = Jumlah mahasiswa pada saat TS.</t>
    </r>
  </si>
  <si>
    <r>
      <rPr>
        <sz val="11"/>
        <color rgb="FF000000"/>
        <rFont val="Calibri"/>
        <charset val="134"/>
      </rPr>
      <t>R</t>
    </r>
    <r>
      <rPr>
        <vertAlign val="subscript"/>
        <sz val="11"/>
        <color rgb="FF000000"/>
        <rFont val="Calibri"/>
        <charset val="134"/>
      </rPr>
      <t>MD</t>
    </r>
    <r>
      <rPr>
        <sz val="11"/>
        <color rgb="FF000000"/>
        <rFont val="Calibri"/>
        <charset val="134"/>
      </rPr>
      <t xml:space="preserve"> = N</t>
    </r>
    <r>
      <rPr>
        <vertAlign val="subscript"/>
        <sz val="11"/>
        <color rgb="FF000000"/>
        <rFont val="Calibri"/>
        <charset val="134"/>
      </rPr>
      <t>M</t>
    </r>
    <r>
      <rPr>
        <sz val="11"/>
        <color rgb="FF000000"/>
        <rFont val="Calibri"/>
        <charset val="134"/>
      </rPr>
      <t xml:space="preserve"> / N</t>
    </r>
    <r>
      <rPr>
        <vertAlign val="subscript"/>
        <sz val="11"/>
        <color rgb="FF000000"/>
        <rFont val="Calibri"/>
        <charset val="134"/>
      </rPr>
      <t>DTPS</t>
    </r>
  </si>
  <si>
    <t>Skor Saintek</t>
  </si>
  <si>
    <t>b3 =</t>
  </si>
  <si>
    <t>Skor Soshum</t>
  </si>
  <si>
    <t>Lihat nomor butir 14.
Kelompok program studi berdasarkan jumlah kebutuhan lulusan.</t>
  </si>
  <si>
    <t>Untuk program studi dengan jumlah kebutuhan lulusan rendah, berlaku Skor = Skor butir Kualitas Input Mahasiswa</t>
  </si>
  <si>
    <t xml:space="preserve">Penugasan DTPS sebagai pembimbing utama tugas akhir mahasiswa.
Tabel 3.a.2) LKPS </t>
  </si>
  <si>
    <r>
      <rPr>
        <sz val="11"/>
        <color rgb="FF000000"/>
        <rFont val="Calibri"/>
        <charset val="134"/>
      </rPr>
      <t>R</t>
    </r>
    <r>
      <rPr>
        <vertAlign val="subscript"/>
        <sz val="11"/>
        <color rgb="FF000000"/>
        <rFont val="Calibri"/>
        <charset val="134"/>
      </rPr>
      <t>DPUPS</t>
    </r>
    <r>
      <rPr>
        <sz val="11"/>
        <color rgb="FF000000"/>
        <rFont val="Calibri"/>
        <charset val="134"/>
      </rPr>
      <t xml:space="preserve"> = Rata-rata jumlah mahasiswa yang dibimbing pada PS yang diakreditasi</t>
    </r>
  </si>
  <si>
    <r>
      <rPr>
        <sz val="11"/>
        <color rgb="FF000000"/>
        <rFont val="Calibri"/>
        <charset val="134"/>
      </rPr>
      <t>R</t>
    </r>
    <r>
      <rPr>
        <vertAlign val="subscript"/>
        <sz val="11"/>
        <color rgb="FF000000"/>
        <rFont val="Calibri"/>
        <charset val="134"/>
      </rPr>
      <t>DPUL</t>
    </r>
    <r>
      <rPr>
        <sz val="11"/>
        <color rgb="FF000000"/>
        <rFont val="Calibri"/>
        <charset val="134"/>
      </rPr>
      <t xml:space="preserve"> = Rata-rata jumlah mahasiswa yang dibimbing pada PS lain di PT</t>
    </r>
  </si>
  <si>
    <r>
      <rPr>
        <sz val="11"/>
        <color rgb="FF000000"/>
        <rFont val="Calibri"/>
        <charset val="134"/>
      </rPr>
      <t>R</t>
    </r>
    <r>
      <rPr>
        <vertAlign val="subscript"/>
        <sz val="11"/>
        <color rgb="FF000000"/>
        <rFont val="Calibri"/>
        <charset val="134"/>
      </rPr>
      <t>DPU</t>
    </r>
    <r>
      <rPr>
        <sz val="11"/>
        <color rgb="FF000000"/>
        <rFont val="Calibri"/>
        <charset val="134"/>
      </rPr>
      <t xml:space="preserve"> </t>
    </r>
    <r>
      <rPr>
        <sz val="11"/>
        <color rgb="FF000000"/>
        <rFont val="Calibri"/>
        <charset val="134"/>
      </rPr>
      <t>= (RDUPS + RDPUL) / 2</t>
    </r>
  </si>
  <si>
    <t>Ekuivalensi Waktu Mengajar Penuh DTPS.
Tabel 3.a.3) LKPS</t>
  </si>
  <si>
    <r>
      <rPr>
        <sz val="11"/>
        <color rgb="FF000000"/>
        <rFont val="Calibri"/>
        <charset val="134"/>
      </rPr>
      <t>EWMP</t>
    </r>
    <r>
      <rPr>
        <vertAlign val="subscript"/>
        <sz val="11"/>
        <color rgb="FF000000"/>
        <rFont val="Calibri"/>
        <charset val="134"/>
      </rPr>
      <t>DT</t>
    </r>
    <r>
      <rPr>
        <sz val="11"/>
        <color rgb="FF000000"/>
        <rFont val="Calibri"/>
        <charset val="134"/>
      </rPr>
      <t xml:space="preserve"> = Rata-rata EWMP DT per semester pada saat TS.</t>
    </r>
  </si>
  <si>
    <r>
      <rPr>
        <sz val="11"/>
        <color rgb="FF000000"/>
        <rFont val="Calibri"/>
        <charset val="134"/>
      </rPr>
      <t>EWMP</t>
    </r>
    <r>
      <rPr>
        <vertAlign val="subscript"/>
        <sz val="11"/>
        <color rgb="FF000000"/>
        <rFont val="Calibri"/>
        <charset val="134"/>
      </rPr>
      <t>DTPS</t>
    </r>
    <r>
      <rPr>
        <sz val="11"/>
        <color rgb="FF000000"/>
        <rFont val="Calibri"/>
        <charset val="134"/>
      </rPr>
      <t xml:space="preserve"> = Rata-rata EWMP DTPS per semester pada saat TS.</t>
    </r>
  </si>
  <si>
    <r>
      <rPr>
        <sz val="11"/>
        <color rgb="FF000000"/>
        <rFont val="Calibri"/>
        <charset val="134"/>
      </rPr>
      <t>EWMP = EWMP</t>
    </r>
    <r>
      <rPr>
        <vertAlign val="subscript"/>
        <sz val="11"/>
        <color rgb="FF000000"/>
        <rFont val="Calibri"/>
        <charset val="134"/>
      </rPr>
      <t>DTPS</t>
    </r>
  </si>
  <si>
    <t>b4 =</t>
  </si>
  <si>
    <t>Dosen tidak tetap.
Tabel 3.a.4) LKPS</t>
  </si>
  <si>
    <r>
      <rPr>
        <sz val="11"/>
        <color rgb="FF000000"/>
        <rFont val="Calibri"/>
        <charset val="134"/>
      </rPr>
      <t>N</t>
    </r>
    <r>
      <rPr>
        <vertAlign val="subscript"/>
        <sz val="11"/>
        <color rgb="FF000000"/>
        <rFont val="Calibri"/>
        <charset val="134"/>
      </rPr>
      <t>DTT</t>
    </r>
    <r>
      <rPr>
        <sz val="11"/>
        <color rgb="FF000000"/>
        <rFont val="Calibri"/>
        <charset val="134"/>
      </rPr>
      <t xml:space="preserve"> = Jumlah dosen tidak tetap yang ditugaskan sebagai pengampu mata kuliah di program studi yang diakreditasi.</t>
    </r>
  </si>
  <si>
    <r>
      <rPr>
        <sz val="11"/>
        <color rgb="FF000000"/>
        <rFont val="Calibri"/>
        <charset val="134"/>
      </rPr>
      <t>N</t>
    </r>
    <r>
      <rPr>
        <vertAlign val="subscript"/>
        <sz val="11"/>
        <color rgb="FF000000"/>
        <rFont val="Calibri"/>
        <charset val="134"/>
      </rPr>
      <t>DT</t>
    </r>
    <r>
      <rPr>
        <sz val="11"/>
        <color rgb="FF000000"/>
        <rFont val="Calibri"/>
        <charset val="134"/>
      </rPr>
      <t xml:space="preserve"> = Jumlah dosen tetap yang ditugaskan sebagai pengampu mata kuliah di program studi yang diakreditasi.</t>
    </r>
  </si>
  <si>
    <r>
      <rPr>
        <sz val="11"/>
        <color rgb="FF000000"/>
        <rFont val="Calibri"/>
        <charset val="134"/>
      </rPr>
      <t>P</t>
    </r>
    <r>
      <rPr>
        <vertAlign val="subscript"/>
        <sz val="11"/>
        <color rgb="FF000000"/>
        <rFont val="Calibri"/>
        <charset val="134"/>
      </rPr>
      <t>DTT</t>
    </r>
    <r>
      <rPr>
        <sz val="11"/>
        <color rgb="FF000000"/>
        <rFont val="Calibri"/>
        <charset val="134"/>
      </rPr>
      <t xml:space="preserve"> = (N</t>
    </r>
    <r>
      <rPr>
        <vertAlign val="subscript"/>
        <sz val="11"/>
        <color rgb="FF000000"/>
        <rFont val="Calibri"/>
        <charset val="134"/>
      </rPr>
      <t>DTT</t>
    </r>
    <r>
      <rPr>
        <sz val="11"/>
        <color rgb="FF000000"/>
        <rFont val="Calibri"/>
        <charset val="134"/>
      </rPr>
      <t xml:space="preserve"> / (N</t>
    </r>
    <r>
      <rPr>
        <vertAlign val="subscript"/>
        <sz val="11"/>
        <color rgb="FF000000"/>
        <rFont val="Calibri"/>
        <charset val="134"/>
      </rPr>
      <t>DTT</t>
    </r>
    <r>
      <rPr>
        <sz val="11"/>
        <color rgb="FF000000"/>
        <rFont val="Calibri"/>
        <charset val="134"/>
      </rPr>
      <t xml:space="preserve"> + N</t>
    </r>
    <r>
      <rPr>
        <vertAlign val="subscript"/>
        <sz val="11"/>
        <color rgb="FF000000"/>
        <rFont val="Calibri"/>
        <charset val="134"/>
      </rPr>
      <t>DT</t>
    </r>
    <r>
      <rPr>
        <sz val="11"/>
        <color rgb="FF000000"/>
        <rFont val="Calibri"/>
        <charset val="134"/>
      </rPr>
      <t>)) x 100%</t>
    </r>
  </si>
  <si>
    <t>C.4.4.b) Kinerja Dosen</t>
  </si>
  <si>
    <t>Pengakuan/rekognisi atas kepakaran/prestasi/kinerja DTPS.
Pengakuan/rekognisi atas kepakaran/prestasi/kinerja DTPS dapat berupa:
a) menjadi visiting lecturer atau visiting scholar di program studi/perguruan tinggi terakreditasi A/Unggul atau program studi/perguruan tinggi internasional bereputasi.
b) menjadi keynote speaker/invited speaker pada pertemuan ilmiah tingkat nasional/ internasional.
c) menjadi editor atau mitra bestari pada jurnal nasional terakreditasi/jurnal internasional bereputasi di bidang yang sesuai dengan bidang program studi.
d) menjadi staf ahli/narasumber di lembaga tingkat wilayah/nasional/internasional pada bidang yang sesuai dengan bidang program studi (untuk pengusul dari program studi pada program Sarjana/Magister/Doktor), atau menjadi tenaga ahli/konsultan di lembaga/industri tingkat wilayah/nasional/ internasional pada bidang yang sesuai dengan bidang program studi (untuk pengusul dari program studi pada program Diploma Tiga/Sarjana Terapan/Magister Terapan/Doktor Terapan).
e) mendapat penghargaan atas prestasi dan kinerja di tingkat wilayah/nasional/internasional.
Tabel 3.b.1) LKPS</t>
  </si>
  <si>
    <r>
      <rPr>
        <sz val="11"/>
        <color rgb="FF000000"/>
        <rFont val="Calibri"/>
        <charset val="134"/>
      </rPr>
      <t>N</t>
    </r>
    <r>
      <rPr>
        <vertAlign val="subscript"/>
        <sz val="11"/>
        <color rgb="FF000000"/>
        <rFont val="Calibri"/>
        <charset val="134"/>
      </rPr>
      <t>RD</t>
    </r>
    <r>
      <rPr>
        <sz val="11"/>
        <color rgb="FF000000"/>
        <rFont val="Calibri"/>
        <charset val="134"/>
      </rPr>
      <t xml:space="preserve"> = Jumlah pengakuan atas prestasi/kinerja DTPS yang relevan dengan bidang keahlian dalam 3 tahun terakhir.</t>
    </r>
  </si>
  <si>
    <r>
      <rPr>
        <sz val="11"/>
        <color rgb="FF000000"/>
        <rFont val="Calibri"/>
        <charset val="134"/>
      </rPr>
      <t>R</t>
    </r>
    <r>
      <rPr>
        <vertAlign val="subscript"/>
        <sz val="11"/>
        <color rgb="FF000000"/>
        <rFont val="Calibri"/>
        <charset val="134"/>
      </rPr>
      <t>RD</t>
    </r>
    <r>
      <rPr>
        <sz val="11"/>
        <color rgb="FF000000"/>
        <rFont val="Calibri"/>
        <charset val="134"/>
      </rPr>
      <t xml:space="preserve"> = N</t>
    </r>
    <r>
      <rPr>
        <vertAlign val="subscript"/>
        <sz val="11"/>
        <color rgb="FF000000"/>
        <rFont val="Calibri"/>
        <charset val="134"/>
      </rPr>
      <t>RD</t>
    </r>
    <r>
      <rPr>
        <sz val="11"/>
        <color rgb="FF000000"/>
        <rFont val="Calibri"/>
        <charset val="134"/>
      </rPr>
      <t xml:space="preserve"> / N</t>
    </r>
    <r>
      <rPr>
        <vertAlign val="subscript"/>
        <sz val="11"/>
        <color rgb="FF000000"/>
        <rFont val="Calibri"/>
        <charset val="134"/>
      </rPr>
      <t>DTPS</t>
    </r>
    <r>
      <rPr>
        <sz val="11"/>
        <color rgb="FF000000"/>
        <rFont val="Calibri"/>
        <charset val="134"/>
      </rPr>
      <t xml:space="preserve"> </t>
    </r>
  </si>
  <si>
    <t>Kegiatan penelitian DTPS yang relevan dengan bidang program studi dalam 3 tahun terakhir.
Tabel 3.b.2) LKPS</t>
  </si>
  <si>
    <r>
      <rPr>
        <sz val="11"/>
        <color rgb="FF000000"/>
        <rFont val="Calibri"/>
        <charset val="134"/>
      </rPr>
      <t>N</t>
    </r>
    <r>
      <rPr>
        <vertAlign val="subscript"/>
        <sz val="11"/>
        <color rgb="FF000000"/>
        <rFont val="Calibri"/>
        <charset val="134"/>
      </rPr>
      <t>I</t>
    </r>
    <r>
      <rPr>
        <sz val="11"/>
        <color rgb="FF000000"/>
        <rFont val="Calibri"/>
        <charset val="134"/>
      </rPr>
      <t xml:space="preserve"> = Jumlah penelitian dengan sumber pembiayaan luar negeri dalam 3 tahun terakhir.</t>
    </r>
  </si>
  <si>
    <r>
      <rPr>
        <sz val="11"/>
        <color rgb="FF000000"/>
        <rFont val="Calibri"/>
        <charset val="134"/>
      </rPr>
      <t>N</t>
    </r>
    <r>
      <rPr>
        <vertAlign val="subscript"/>
        <sz val="11"/>
        <color rgb="FF000000"/>
        <rFont val="Calibri"/>
        <charset val="134"/>
      </rPr>
      <t>N</t>
    </r>
    <r>
      <rPr>
        <sz val="11"/>
        <color rgb="FF000000"/>
        <rFont val="Calibri"/>
        <charset val="134"/>
      </rPr>
      <t xml:space="preserve"> = Jumlah penelitian dengan sumber pembiayaan dalam negeri dalam 3 tahun terakhir.</t>
    </r>
  </si>
  <si>
    <r>
      <rPr>
        <sz val="11"/>
        <color rgb="FF000000"/>
        <rFont val="Calibri"/>
        <charset val="134"/>
      </rPr>
      <t>N</t>
    </r>
    <r>
      <rPr>
        <vertAlign val="subscript"/>
        <sz val="11"/>
        <color rgb="FF000000"/>
        <rFont val="Calibri"/>
        <charset val="134"/>
      </rPr>
      <t>L</t>
    </r>
    <r>
      <rPr>
        <sz val="11"/>
        <color rgb="FF000000"/>
        <rFont val="Calibri"/>
        <charset val="134"/>
      </rPr>
      <t xml:space="preserve"> = Jumlah penelitian dengan sumber pembiayaan PT/mandiri dalam 3 tahun terakhir.</t>
    </r>
  </si>
  <si>
    <r>
      <rPr>
        <sz val="11"/>
        <color rgb="FF000000"/>
        <rFont val="Calibri"/>
        <charset val="134"/>
      </rPr>
      <t>R</t>
    </r>
    <r>
      <rPr>
        <vertAlign val="subscript"/>
        <sz val="11"/>
        <color rgb="FF000000"/>
        <rFont val="Calibri"/>
        <charset val="134"/>
      </rPr>
      <t>I</t>
    </r>
    <r>
      <rPr>
        <sz val="11"/>
        <color rgb="FF000000"/>
        <rFont val="Calibri"/>
        <charset val="134"/>
      </rPr>
      <t xml:space="preserve"> = N</t>
    </r>
    <r>
      <rPr>
        <vertAlign val="subscript"/>
        <sz val="11"/>
        <color rgb="FF000000"/>
        <rFont val="Calibri"/>
        <charset val="134"/>
      </rPr>
      <t>I</t>
    </r>
    <r>
      <rPr>
        <sz val="11"/>
        <color rgb="FF000000"/>
        <rFont val="Calibri"/>
        <charset val="134"/>
      </rPr>
      <t xml:space="preserve"> / 3 / N</t>
    </r>
    <r>
      <rPr>
        <vertAlign val="subscript"/>
        <sz val="11"/>
        <color rgb="FF000000"/>
        <rFont val="Calibri"/>
        <charset val="134"/>
      </rPr>
      <t>DTPS</t>
    </r>
  </si>
  <si>
    <r>
      <rPr>
        <sz val="11"/>
        <color rgb="FF000000"/>
        <rFont val="Calibri"/>
        <charset val="134"/>
      </rPr>
      <t>R</t>
    </r>
    <r>
      <rPr>
        <vertAlign val="subscript"/>
        <sz val="11"/>
        <color rgb="FF000000"/>
        <rFont val="Calibri"/>
        <charset val="134"/>
      </rPr>
      <t>N</t>
    </r>
    <r>
      <rPr>
        <sz val="11"/>
        <color rgb="FF000000"/>
        <rFont val="Calibri"/>
        <charset val="134"/>
      </rPr>
      <t xml:space="preserve"> = N</t>
    </r>
    <r>
      <rPr>
        <vertAlign val="subscript"/>
        <sz val="11"/>
        <color rgb="FF000000"/>
        <rFont val="Calibri"/>
        <charset val="134"/>
      </rPr>
      <t>N</t>
    </r>
    <r>
      <rPr>
        <sz val="11"/>
        <color rgb="FF000000"/>
        <rFont val="Calibri"/>
        <charset val="134"/>
      </rPr>
      <t xml:space="preserve"> / 3 / N</t>
    </r>
    <r>
      <rPr>
        <vertAlign val="subscript"/>
        <sz val="11"/>
        <color rgb="FF000000"/>
        <rFont val="Calibri"/>
        <charset val="134"/>
      </rPr>
      <t>DTPS</t>
    </r>
  </si>
  <si>
    <r>
      <rPr>
        <sz val="11"/>
        <color rgb="FF000000"/>
        <rFont val="Calibri"/>
        <charset val="134"/>
      </rPr>
      <t>R</t>
    </r>
    <r>
      <rPr>
        <vertAlign val="subscript"/>
        <sz val="11"/>
        <color rgb="FF000000"/>
        <rFont val="Calibri"/>
        <charset val="134"/>
      </rPr>
      <t>L</t>
    </r>
    <r>
      <rPr>
        <sz val="11"/>
        <color rgb="FF000000"/>
        <rFont val="Calibri"/>
        <charset val="134"/>
      </rPr>
      <t xml:space="preserve"> = N</t>
    </r>
    <r>
      <rPr>
        <vertAlign val="subscript"/>
        <sz val="11"/>
        <color rgb="FF000000"/>
        <rFont val="Calibri"/>
        <charset val="134"/>
      </rPr>
      <t>L</t>
    </r>
    <r>
      <rPr>
        <sz val="11"/>
        <color rgb="FF000000"/>
        <rFont val="Calibri"/>
        <charset val="134"/>
      </rPr>
      <t xml:space="preserve"> / 3 / N</t>
    </r>
    <r>
      <rPr>
        <vertAlign val="subscript"/>
        <sz val="11"/>
        <color rgb="FF000000"/>
        <rFont val="Calibri"/>
        <charset val="134"/>
      </rPr>
      <t>DTPS</t>
    </r>
  </si>
  <si>
    <t xml:space="preserve">4: RI ≥ a </t>
  </si>
  <si>
    <r>
      <rPr>
        <sz val="11"/>
        <color rgb="FFFFFFFF"/>
        <rFont val="Calibri"/>
        <charset val="134"/>
      </rPr>
      <t xml:space="preserve">3-4: RI &lt; a DAN RN </t>
    </r>
    <r>
      <rPr>
        <sz val="11"/>
        <color rgb="FFFFFFFF"/>
        <rFont val="Calibri"/>
        <charset val="134"/>
      </rPr>
      <t>≥</t>
    </r>
    <r>
      <rPr>
        <sz val="11"/>
        <color rgb="FFFFFFFF"/>
        <rFont val="Calibri"/>
        <charset val="134"/>
      </rPr>
      <t xml:space="preserve"> b</t>
    </r>
  </si>
  <si>
    <t>2-3: 0 &lt; RI &lt; a DAN 0 &lt; RN &lt; b</t>
  </si>
  <si>
    <t>2: RI = 0 DAN RN = 0 DAN RL ≥ c</t>
  </si>
  <si>
    <t>0-2: RI = 0 DAN RN = 0 DAN RL &lt; c</t>
  </si>
  <si>
    <t>Kegiatan PkM DTPS yang relevan dengan bidang program studi dalam 3 tahun terakhir.
Tabel 3.b.3) LKPS</t>
  </si>
  <si>
    <r>
      <rPr>
        <sz val="11"/>
        <color rgb="FF000000"/>
        <rFont val="Calibri"/>
        <charset val="134"/>
      </rPr>
      <t>N</t>
    </r>
    <r>
      <rPr>
        <vertAlign val="subscript"/>
        <sz val="11"/>
        <color rgb="FF000000"/>
        <rFont val="Calibri"/>
        <charset val="134"/>
      </rPr>
      <t>I</t>
    </r>
    <r>
      <rPr>
        <sz val="11"/>
        <color rgb="FF000000"/>
        <rFont val="Calibri"/>
        <charset val="134"/>
      </rPr>
      <t xml:space="preserve"> = Jumlah PkM dengan sumber pembiayaan luar negeri dalam 3 tahun terakhir.</t>
    </r>
  </si>
  <si>
    <r>
      <rPr>
        <sz val="11"/>
        <color rgb="FF000000"/>
        <rFont val="Calibri"/>
        <charset val="134"/>
      </rPr>
      <t>N</t>
    </r>
    <r>
      <rPr>
        <vertAlign val="subscript"/>
        <sz val="11"/>
        <color rgb="FF000000"/>
        <rFont val="Calibri"/>
        <charset val="134"/>
      </rPr>
      <t>N</t>
    </r>
    <r>
      <rPr>
        <sz val="11"/>
        <color rgb="FF000000"/>
        <rFont val="Calibri"/>
        <charset val="134"/>
      </rPr>
      <t xml:space="preserve"> = Jumlah PkM dengan sumber pembiayaan dalam negeri dalam 3 tahun terakhir.</t>
    </r>
  </si>
  <si>
    <r>
      <rPr>
        <sz val="11"/>
        <color rgb="FF000000"/>
        <rFont val="Calibri"/>
        <charset val="134"/>
      </rPr>
      <t>N</t>
    </r>
    <r>
      <rPr>
        <vertAlign val="subscript"/>
        <sz val="11"/>
        <color rgb="FF000000"/>
        <rFont val="Calibri"/>
        <charset val="134"/>
      </rPr>
      <t>L</t>
    </r>
    <r>
      <rPr>
        <sz val="11"/>
        <color rgb="FF000000"/>
        <rFont val="Calibri"/>
        <charset val="134"/>
      </rPr>
      <t xml:space="preserve"> = Jumlah PkM dengan sumber pembiayaan PT/mandiri dalam 3 tahun terakhir.</t>
    </r>
  </si>
  <si>
    <t>Publikasi ilmiah dengan tema yang relevan dengan bidang program studi yang dihasilkan DTPS dalam 3 tahun terakhir.
Tabel 3.b.4) LKPS</t>
  </si>
  <si>
    <r>
      <rPr>
        <sz val="11"/>
        <color rgb="FF000000"/>
        <rFont val="Calibri"/>
        <charset val="134"/>
      </rPr>
      <t>N</t>
    </r>
    <r>
      <rPr>
        <vertAlign val="subscript"/>
        <sz val="11"/>
        <color rgb="FF000000"/>
        <rFont val="Calibri"/>
        <charset val="134"/>
      </rPr>
      <t>A1</t>
    </r>
    <r>
      <rPr>
        <sz val="11"/>
        <color rgb="FF000000"/>
        <rFont val="Calibri"/>
        <charset val="134"/>
      </rPr>
      <t xml:space="preserve"> = Jumlah publikasi di jurnal nasional tidak terakreditasi.</t>
    </r>
  </si>
  <si>
    <r>
      <rPr>
        <sz val="11"/>
        <color rgb="FF000000"/>
        <rFont val="Calibri"/>
        <charset val="134"/>
      </rPr>
      <t>N</t>
    </r>
    <r>
      <rPr>
        <vertAlign val="subscript"/>
        <sz val="11"/>
        <color rgb="FF000000"/>
        <rFont val="Calibri"/>
        <charset val="134"/>
      </rPr>
      <t>A2</t>
    </r>
    <r>
      <rPr>
        <sz val="11"/>
        <color rgb="FF000000"/>
        <rFont val="Calibri"/>
        <charset val="134"/>
      </rPr>
      <t xml:space="preserve"> = Jumlah publikasi di jurnal nasional terakreditasi.</t>
    </r>
  </si>
  <si>
    <r>
      <rPr>
        <sz val="11"/>
        <color rgb="FF000000"/>
        <rFont val="Calibri"/>
        <charset val="134"/>
      </rPr>
      <t>N</t>
    </r>
    <r>
      <rPr>
        <vertAlign val="subscript"/>
        <sz val="11"/>
        <color rgb="FF000000"/>
        <rFont val="Calibri"/>
        <charset val="134"/>
      </rPr>
      <t>A3</t>
    </r>
    <r>
      <rPr>
        <sz val="11"/>
        <color rgb="FF000000"/>
        <rFont val="Calibri"/>
        <charset val="134"/>
      </rPr>
      <t xml:space="preserve"> = Jumlah publikasi di jurnal internasional.</t>
    </r>
  </si>
  <si>
    <r>
      <rPr>
        <sz val="11"/>
        <color rgb="FF000000"/>
        <rFont val="Calibri"/>
        <charset val="134"/>
      </rPr>
      <t>N</t>
    </r>
    <r>
      <rPr>
        <vertAlign val="subscript"/>
        <sz val="11"/>
        <color rgb="FF000000"/>
        <rFont val="Calibri"/>
        <charset val="134"/>
      </rPr>
      <t>A4</t>
    </r>
    <r>
      <rPr>
        <sz val="11"/>
        <color rgb="FF000000"/>
        <rFont val="Calibri"/>
        <charset val="134"/>
      </rPr>
      <t xml:space="preserve"> = Jumlah publikasi di jurnal internasional bereputasi.</t>
    </r>
  </si>
  <si>
    <r>
      <rPr>
        <sz val="11"/>
        <color rgb="FF000000"/>
        <rFont val="Calibri"/>
        <charset val="134"/>
      </rPr>
      <t>N</t>
    </r>
    <r>
      <rPr>
        <vertAlign val="subscript"/>
        <sz val="11"/>
        <color rgb="FF000000"/>
        <rFont val="Calibri"/>
        <charset val="134"/>
      </rPr>
      <t>B1</t>
    </r>
    <r>
      <rPr>
        <sz val="11"/>
        <color rgb="FF000000"/>
        <rFont val="Calibri"/>
        <charset val="134"/>
      </rPr>
      <t xml:space="preserve"> = Jumlah publikasi di seminar wilayah/lokal/PT.</t>
    </r>
  </si>
  <si>
    <r>
      <rPr>
        <sz val="11"/>
        <color rgb="FF000000"/>
        <rFont val="Calibri"/>
        <charset val="134"/>
      </rPr>
      <t>N</t>
    </r>
    <r>
      <rPr>
        <vertAlign val="subscript"/>
        <sz val="11"/>
        <color rgb="FF000000"/>
        <rFont val="Calibri"/>
        <charset val="134"/>
      </rPr>
      <t>B2</t>
    </r>
    <r>
      <rPr>
        <sz val="11"/>
        <color rgb="FF000000"/>
        <rFont val="Calibri"/>
        <charset val="134"/>
      </rPr>
      <t xml:space="preserve"> = Jumlah publikasi di seminar nasional.</t>
    </r>
  </si>
  <si>
    <r>
      <rPr>
        <sz val="11"/>
        <color rgb="FF000000"/>
        <rFont val="Calibri"/>
        <charset val="134"/>
      </rPr>
      <t>N</t>
    </r>
    <r>
      <rPr>
        <vertAlign val="subscript"/>
        <sz val="11"/>
        <color rgb="FF000000"/>
        <rFont val="Calibri"/>
        <charset val="134"/>
      </rPr>
      <t>B3</t>
    </r>
    <r>
      <rPr>
        <sz val="11"/>
        <color rgb="FF000000"/>
        <rFont val="Calibri"/>
        <charset val="134"/>
      </rPr>
      <t xml:space="preserve"> = Jumlah publikasi di seminar internasional.</t>
    </r>
  </si>
  <si>
    <r>
      <rPr>
        <sz val="11"/>
        <color rgb="FF000000"/>
        <rFont val="Calibri"/>
        <charset val="134"/>
      </rPr>
      <t>N</t>
    </r>
    <r>
      <rPr>
        <vertAlign val="subscript"/>
        <sz val="11"/>
        <color rgb="FF000000"/>
        <rFont val="Calibri"/>
        <charset val="134"/>
      </rPr>
      <t>C1</t>
    </r>
    <r>
      <rPr>
        <sz val="11"/>
        <color rgb="FF000000"/>
        <rFont val="Calibri"/>
        <charset val="134"/>
      </rPr>
      <t xml:space="preserve"> = Jumlah tulisan di media massa wilayah.</t>
    </r>
  </si>
  <si>
    <r>
      <rPr>
        <sz val="11"/>
        <color rgb="FF000000"/>
        <rFont val="Calibri"/>
        <charset val="134"/>
      </rPr>
      <t>N</t>
    </r>
    <r>
      <rPr>
        <vertAlign val="subscript"/>
        <sz val="11"/>
        <color rgb="FF000000"/>
        <rFont val="Calibri"/>
        <charset val="134"/>
      </rPr>
      <t>C2</t>
    </r>
    <r>
      <rPr>
        <sz val="11"/>
        <color rgb="FF000000"/>
        <rFont val="Calibri"/>
        <charset val="134"/>
      </rPr>
      <t xml:space="preserve"> = Jumlah tulisan di media massa nasional.</t>
    </r>
  </si>
  <si>
    <r>
      <rPr>
        <sz val="11"/>
        <color rgb="FF000000"/>
        <rFont val="Calibri"/>
        <charset val="134"/>
      </rPr>
      <t>N</t>
    </r>
    <r>
      <rPr>
        <vertAlign val="subscript"/>
        <sz val="11"/>
        <color rgb="FF000000"/>
        <rFont val="Calibri"/>
        <charset val="134"/>
      </rPr>
      <t>C3</t>
    </r>
    <r>
      <rPr>
        <sz val="11"/>
        <color rgb="FF000000"/>
        <rFont val="Calibri"/>
        <charset val="134"/>
      </rPr>
      <t xml:space="preserve"> = Jumlah tulisan di media massa internasional.</t>
    </r>
  </si>
  <si>
    <r>
      <rPr>
        <sz val="11"/>
        <color rgb="FF000000"/>
        <rFont val="Calibri"/>
        <charset val="134"/>
      </rPr>
      <t>R</t>
    </r>
    <r>
      <rPr>
        <vertAlign val="subscript"/>
        <sz val="11"/>
        <color rgb="FF000000"/>
        <rFont val="Calibri"/>
        <charset val="134"/>
      </rPr>
      <t>I</t>
    </r>
    <r>
      <rPr>
        <sz val="11"/>
        <color rgb="FF000000"/>
        <rFont val="Calibri"/>
        <charset val="134"/>
      </rPr>
      <t xml:space="preserve"> = (N</t>
    </r>
    <r>
      <rPr>
        <vertAlign val="subscript"/>
        <sz val="11"/>
        <color rgb="FF000000"/>
        <rFont val="Calibri"/>
        <charset val="134"/>
      </rPr>
      <t>A4</t>
    </r>
    <r>
      <rPr>
        <sz val="11"/>
        <color rgb="FF000000"/>
        <rFont val="Calibri"/>
        <charset val="134"/>
      </rPr>
      <t xml:space="preserve"> + N</t>
    </r>
    <r>
      <rPr>
        <vertAlign val="subscript"/>
        <sz val="11"/>
        <color rgb="FF000000"/>
        <rFont val="Calibri"/>
        <charset val="134"/>
      </rPr>
      <t>B3</t>
    </r>
    <r>
      <rPr>
        <sz val="11"/>
        <color rgb="FF000000"/>
        <rFont val="Calibri"/>
        <charset val="134"/>
      </rPr>
      <t xml:space="preserve"> + N</t>
    </r>
    <r>
      <rPr>
        <vertAlign val="subscript"/>
        <sz val="11"/>
        <color rgb="FF000000"/>
        <rFont val="Calibri"/>
        <charset val="134"/>
      </rPr>
      <t>C3</t>
    </r>
    <r>
      <rPr>
        <sz val="11"/>
        <color rgb="FF000000"/>
        <rFont val="Calibri"/>
        <charset val="134"/>
      </rPr>
      <t>) / N</t>
    </r>
    <r>
      <rPr>
        <vertAlign val="subscript"/>
        <sz val="11"/>
        <color rgb="FF000000"/>
        <rFont val="Calibri"/>
        <charset val="134"/>
      </rPr>
      <t>DTPS</t>
    </r>
  </si>
  <si>
    <r>
      <rPr>
        <sz val="11"/>
        <color rgb="FF000000"/>
        <rFont val="Calibri"/>
        <charset val="134"/>
      </rPr>
      <t>R</t>
    </r>
    <r>
      <rPr>
        <vertAlign val="subscript"/>
        <sz val="11"/>
        <color rgb="FF000000"/>
        <rFont val="Calibri"/>
        <charset val="134"/>
      </rPr>
      <t>N</t>
    </r>
    <r>
      <rPr>
        <sz val="11"/>
        <color rgb="FF000000"/>
        <rFont val="Calibri"/>
        <charset val="134"/>
      </rPr>
      <t xml:space="preserve"> = (N</t>
    </r>
    <r>
      <rPr>
        <vertAlign val="subscript"/>
        <sz val="11"/>
        <color rgb="FF000000"/>
        <rFont val="Calibri"/>
        <charset val="134"/>
      </rPr>
      <t>A2</t>
    </r>
    <r>
      <rPr>
        <sz val="11"/>
        <color rgb="FF000000"/>
        <rFont val="Calibri"/>
        <charset val="134"/>
      </rPr>
      <t xml:space="preserve"> + N</t>
    </r>
    <r>
      <rPr>
        <vertAlign val="subscript"/>
        <sz val="11"/>
        <color rgb="FF000000"/>
        <rFont val="Calibri"/>
        <charset val="134"/>
      </rPr>
      <t>A3</t>
    </r>
    <r>
      <rPr>
        <sz val="11"/>
        <color rgb="FF000000"/>
        <rFont val="Calibri"/>
        <charset val="134"/>
      </rPr>
      <t xml:space="preserve"> + N</t>
    </r>
    <r>
      <rPr>
        <vertAlign val="subscript"/>
        <sz val="11"/>
        <color rgb="FF000000"/>
        <rFont val="Calibri"/>
        <charset val="134"/>
      </rPr>
      <t>B2</t>
    </r>
    <r>
      <rPr>
        <sz val="11"/>
        <color rgb="FF000000"/>
        <rFont val="Calibri"/>
        <charset val="134"/>
      </rPr>
      <t xml:space="preserve"> + N</t>
    </r>
    <r>
      <rPr>
        <vertAlign val="subscript"/>
        <sz val="11"/>
        <color rgb="FF000000"/>
        <rFont val="Calibri"/>
        <charset val="134"/>
      </rPr>
      <t>C2</t>
    </r>
    <r>
      <rPr>
        <sz val="11"/>
        <color rgb="FF000000"/>
        <rFont val="Calibri"/>
        <charset val="134"/>
      </rPr>
      <t>) / N</t>
    </r>
    <r>
      <rPr>
        <vertAlign val="subscript"/>
        <sz val="11"/>
        <color rgb="FF000000"/>
        <rFont val="Calibri"/>
        <charset val="134"/>
      </rPr>
      <t>DTPS</t>
    </r>
  </si>
  <si>
    <r>
      <rPr>
        <sz val="11"/>
        <color rgb="FF000000"/>
        <rFont val="Calibri"/>
        <charset val="134"/>
      </rPr>
      <t>R</t>
    </r>
    <r>
      <rPr>
        <vertAlign val="subscript"/>
        <sz val="11"/>
        <color rgb="FF000000"/>
        <rFont val="Calibri"/>
        <charset val="134"/>
      </rPr>
      <t>W</t>
    </r>
    <r>
      <rPr>
        <sz val="11"/>
        <color rgb="FF000000"/>
        <rFont val="Calibri"/>
        <charset val="134"/>
      </rPr>
      <t xml:space="preserve"> = (N</t>
    </r>
    <r>
      <rPr>
        <vertAlign val="subscript"/>
        <sz val="11"/>
        <color rgb="FF000000"/>
        <rFont val="Calibri"/>
        <charset val="134"/>
      </rPr>
      <t>A1</t>
    </r>
    <r>
      <rPr>
        <sz val="11"/>
        <color rgb="FF000000"/>
        <rFont val="Calibri"/>
        <charset val="134"/>
      </rPr>
      <t xml:space="preserve"> + N</t>
    </r>
    <r>
      <rPr>
        <vertAlign val="subscript"/>
        <sz val="11"/>
        <color rgb="FF000000"/>
        <rFont val="Calibri"/>
        <charset val="134"/>
      </rPr>
      <t>B1</t>
    </r>
    <r>
      <rPr>
        <sz val="11"/>
        <color rgb="FF000000"/>
        <rFont val="Calibri"/>
        <charset val="134"/>
      </rPr>
      <t xml:space="preserve"> + N</t>
    </r>
    <r>
      <rPr>
        <vertAlign val="subscript"/>
        <sz val="11"/>
        <color rgb="FF000000"/>
        <rFont val="Calibri"/>
        <charset val="134"/>
      </rPr>
      <t>C1</t>
    </r>
    <r>
      <rPr>
        <sz val="11"/>
        <color rgb="FF000000"/>
        <rFont val="Calibri"/>
        <charset val="134"/>
      </rPr>
      <t>) / N</t>
    </r>
    <r>
      <rPr>
        <vertAlign val="subscript"/>
        <sz val="11"/>
        <color rgb="FF000000"/>
        <rFont val="Calibri"/>
        <charset val="134"/>
      </rPr>
      <t>DTPS</t>
    </r>
  </si>
  <si>
    <t>Artikel karya ilmiah DTPS yang disitasi dalam 3 tahun terakhir.
Tabel 3.b.5) LKPS</t>
  </si>
  <si>
    <r>
      <rPr>
        <sz val="11"/>
        <color rgb="FF000000"/>
        <rFont val="Calibri"/>
        <charset val="134"/>
      </rPr>
      <t>N</t>
    </r>
    <r>
      <rPr>
        <vertAlign val="subscript"/>
        <sz val="11"/>
        <color rgb="FF000000"/>
        <rFont val="Calibri"/>
        <charset val="134"/>
      </rPr>
      <t>AS</t>
    </r>
    <r>
      <rPr>
        <sz val="11"/>
        <color rgb="FF000000"/>
        <rFont val="Calibri"/>
        <charset val="134"/>
      </rPr>
      <t xml:space="preserve"> = Jumlah judul artikel yang disitasi.</t>
    </r>
  </si>
  <si>
    <r>
      <rPr>
        <sz val="11"/>
        <color rgb="FF000000"/>
        <rFont val="Calibri"/>
        <charset val="134"/>
      </rPr>
      <t>R</t>
    </r>
    <r>
      <rPr>
        <vertAlign val="subscript"/>
        <sz val="11"/>
        <color rgb="FF000000"/>
        <rFont val="Calibri"/>
        <charset val="134"/>
      </rPr>
      <t>S</t>
    </r>
    <r>
      <rPr>
        <sz val="11"/>
        <color rgb="FF000000"/>
        <rFont val="Calibri"/>
        <charset val="134"/>
      </rPr>
      <t xml:space="preserve"> = N</t>
    </r>
    <r>
      <rPr>
        <vertAlign val="subscript"/>
        <sz val="11"/>
        <color rgb="FF000000"/>
        <rFont val="Calibri"/>
        <charset val="134"/>
      </rPr>
      <t>AS</t>
    </r>
    <r>
      <rPr>
        <sz val="11"/>
        <color rgb="FF000000"/>
        <rFont val="Calibri"/>
        <charset val="134"/>
      </rPr>
      <t xml:space="preserve"> / N</t>
    </r>
    <r>
      <rPr>
        <vertAlign val="subscript"/>
        <sz val="11"/>
        <color rgb="FF000000"/>
        <rFont val="Calibri"/>
        <charset val="134"/>
      </rPr>
      <t>DTPS</t>
    </r>
  </si>
  <si>
    <t>Luaran penelitian dan PkM yang dihasilkan DTPS dalam 3 tahun terakhir.
Tabel 3.b.7) LKPS</t>
  </si>
  <si>
    <r>
      <rPr>
        <sz val="11"/>
        <color rgb="FF000000"/>
        <rFont val="Calibri"/>
        <charset val="134"/>
      </rPr>
      <t>N</t>
    </r>
    <r>
      <rPr>
        <vertAlign val="subscript"/>
        <sz val="11"/>
        <color rgb="FF000000"/>
        <rFont val="Calibri"/>
        <charset val="134"/>
      </rPr>
      <t>A</t>
    </r>
    <r>
      <rPr>
        <sz val="11"/>
        <color rgb="FF000000"/>
        <rFont val="Calibri"/>
        <charset val="134"/>
      </rPr>
      <t xml:space="preserve"> = Jumlah luaran penelitian/PkM yang mendapat pengakuan HKI (Paten, Paten Sederhana)</t>
    </r>
  </si>
  <si>
    <r>
      <rPr>
        <sz val="11"/>
        <color rgb="FF000000"/>
        <rFont val="Calibri"/>
        <charset val="134"/>
      </rPr>
      <t>N</t>
    </r>
    <r>
      <rPr>
        <vertAlign val="subscript"/>
        <sz val="11"/>
        <color rgb="FF000000"/>
        <rFont val="Calibri"/>
        <charset val="134"/>
      </rPr>
      <t>B</t>
    </r>
    <r>
      <rPr>
        <sz val="11"/>
        <color rgb="FF000000"/>
        <rFont val="Calibri"/>
        <charset val="134"/>
      </rPr>
      <t xml:space="preserve"> = Jumlah luaran penelitian/PkM yang mendapat pengakuan HKI (Hak Cipta, Desain Produk Industri, Perlindungan Varietas Tanaman, Desain Tata Letak Sirkuit Terpadu, dll.)</t>
    </r>
  </si>
  <si>
    <r>
      <rPr>
        <sz val="11"/>
        <color rgb="FF000000"/>
        <rFont val="Calibri"/>
        <charset val="134"/>
      </rPr>
      <t>N</t>
    </r>
    <r>
      <rPr>
        <vertAlign val="subscript"/>
        <sz val="11"/>
        <color rgb="FF000000"/>
        <rFont val="Calibri"/>
        <charset val="134"/>
      </rPr>
      <t>C</t>
    </r>
    <r>
      <rPr>
        <sz val="11"/>
        <color rgb="FF000000"/>
        <rFont val="Calibri"/>
        <charset val="134"/>
      </rPr>
      <t xml:space="preserve"> = Jumlah luaran penelitian/PkM dalam bentuk Teknologi Tepat Guna, Produk (Produk Terstandarisasi, Produk Tersertifikasi), Karya Seni, Rekayasa Sosial.</t>
    </r>
  </si>
  <si>
    <r>
      <rPr>
        <sz val="11"/>
        <color rgb="FF000000"/>
        <rFont val="Calibri"/>
        <charset val="134"/>
      </rPr>
      <t>N</t>
    </r>
    <r>
      <rPr>
        <vertAlign val="subscript"/>
        <sz val="11"/>
        <color rgb="FF000000"/>
        <rFont val="Calibri"/>
        <charset val="134"/>
      </rPr>
      <t>D</t>
    </r>
    <r>
      <rPr>
        <sz val="11"/>
        <color rgb="FF000000"/>
        <rFont val="Calibri"/>
        <charset val="134"/>
      </rPr>
      <t xml:space="preserve"> = Jumlah luaran penelitian/PkM yang diterbitkan dalam bentuk Buku ber-ISBN, </t>
    </r>
    <r>
      <rPr>
        <i/>
        <sz val="11"/>
        <color rgb="FF000000"/>
        <rFont val="Calibri"/>
        <charset val="134"/>
      </rPr>
      <t>Book Chapter</t>
    </r>
    <r>
      <rPr>
        <sz val="11"/>
        <color rgb="FF000000"/>
        <rFont val="Calibri"/>
        <charset val="134"/>
      </rPr>
      <t>.</t>
    </r>
  </si>
  <si>
    <r>
      <rPr>
        <sz val="11"/>
        <color rgb="FF000000"/>
        <rFont val="Calibri"/>
        <charset val="134"/>
      </rPr>
      <t>R</t>
    </r>
    <r>
      <rPr>
        <vertAlign val="subscript"/>
        <sz val="11"/>
        <color rgb="FF000000"/>
        <rFont val="Calibri"/>
        <charset val="134"/>
      </rPr>
      <t>LP</t>
    </r>
    <r>
      <rPr>
        <sz val="11"/>
        <color rgb="FF000000"/>
        <rFont val="Calibri"/>
        <charset val="134"/>
      </rPr>
      <t xml:space="preserve"> = (2 x (N</t>
    </r>
    <r>
      <rPr>
        <vertAlign val="subscript"/>
        <sz val="11"/>
        <color rgb="FF000000"/>
        <rFont val="Calibri"/>
        <charset val="134"/>
      </rPr>
      <t>A</t>
    </r>
    <r>
      <rPr>
        <sz val="11"/>
        <color rgb="FF000000"/>
        <rFont val="Calibri"/>
        <charset val="134"/>
      </rPr>
      <t xml:space="preserve"> + N</t>
    </r>
    <r>
      <rPr>
        <vertAlign val="subscript"/>
        <sz val="11"/>
        <color rgb="FF000000"/>
        <rFont val="Calibri"/>
        <charset val="134"/>
      </rPr>
      <t>B</t>
    </r>
    <r>
      <rPr>
        <sz val="11"/>
        <color rgb="FF000000"/>
        <rFont val="Calibri"/>
        <charset val="134"/>
      </rPr>
      <t xml:space="preserve"> + N</t>
    </r>
    <r>
      <rPr>
        <vertAlign val="subscript"/>
        <sz val="11"/>
        <color rgb="FF000000"/>
        <rFont val="Calibri"/>
        <charset val="134"/>
      </rPr>
      <t>C</t>
    </r>
    <r>
      <rPr>
        <sz val="11"/>
        <color rgb="FF000000"/>
        <rFont val="Calibri"/>
        <charset val="134"/>
      </rPr>
      <t>) + N</t>
    </r>
    <r>
      <rPr>
        <vertAlign val="subscript"/>
        <sz val="11"/>
        <color rgb="FF000000"/>
        <rFont val="Calibri"/>
        <charset val="134"/>
      </rPr>
      <t>D</t>
    </r>
    <r>
      <rPr>
        <sz val="11"/>
        <color rgb="FF000000"/>
        <rFont val="Calibri"/>
        <charset val="134"/>
      </rPr>
      <t>) / N</t>
    </r>
    <r>
      <rPr>
        <vertAlign val="subscript"/>
        <sz val="11"/>
        <color rgb="FF000000"/>
        <rFont val="Calibri"/>
        <charset val="134"/>
      </rPr>
      <t>DTPS</t>
    </r>
  </si>
  <si>
    <t>C.4.4.c) Pengembangan Dosen</t>
  </si>
  <si>
    <r>
      <rPr>
        <sz val="11"/>
        <color rgb="FF000000"/>
        <rFont val="Calibri"/>
        <charset val="134"/>
      </rPr>
      <t xml:space="preserve">Upaya pengembangan dosen.
Catatan: Jika Skor rata-rata butir Profil Dosen </t>
    </r>
    <r>
      <rPr>
        <sz val="11"/>
        <color rgb="FF000000"/>
        <rFont val="Calibri"/>
        <charset val="134"/>
      </rPr>
      <t>≥</t>
    </r>
    <r>
      <rPr>
        <sz val="11"/>
        <color rgb="FF000000"/>
        <rFont val="Calibri"/>
        <charset val="134"/>
      </rPr>
      <t xml:space="preserve"> 3,5 , maka Skor = 4.</t>
    </r>
  </si>
  <si>
    <t>Skor rata-rata butir Profil Dosen</t>
  </si>
  <si>
    <t>UPPS merencanakan dan mengembangkan DTPS mengikuti rencana pengembangan SDM di perguruan tinggi (Renstra PT) secara konsisten.</t>
  </si>
  <si>
    <t>UPPS merencanakan dan mengembangkan DTPS mengikuti rencana pengembangan SDM di perguruan tinggi (Renstra PT).</t>
  </si>
  <si>
    <t>UPPS mengembangkan DTPS mengikuti rencana pengembangan SDM di perguruan tinggi (Renstra PT).</t>
  </si>
  <si>
    <t>UPPS mengembangkan DTPS tidak mengikuti atau tidak sesuai dengan rencana pengembangan SDM di perguruan tinggi (Renstra PT).</t>
  </si>
  <si>
    <t>Perguruan tinggi dan/atau UPPS tidak memiliki rencana pengembangan SDM.</t>
  </si>
  <si>
    <t>C.4.4.d) Tenaga Kependidikan</t>
  </si>
  <si>
    <t>A. Kualifikasi dan kecukupan tenaga kependidikan berdasarkan jenis pekerjaannya (administrasi, pustakawan, teknisi, dll.)
Catatan: Penilaian kecukupan tidak hanya ditentukan oleh jumlah tenaga kependidikan, namun keberadaan dan pemanfaatan teknologi informasi dan komputer dalam proses administrasi dapat dijadikan pertimbangan untuk menilai efektifitas pekerjaan dan kebutuhan akan tenaga kependidikan.</t>
  </si>
  <si>
    <t>UPPS memiliki tenaga kependidikan yang memenuhi tingkat kecukupan dan kualifikasi berdasarkan kebutuhan layanan program studi dan mendukung pelaksanaan akademik, fungsi unit pengelola, serta pengembangan program studi.</t>
  </si>
  <si>
    <t>UPPS memiliki tenaga kependidikan yang memenuhi tingkat kecukupan dan kualifikasi berdasarkan kebutuhan layanan program studi dan mendukung pelaksanaan akademik dan fungsi unit pengelola.</t>
  </si>
  <si>
    <t>UPPS memiliki tenaga kependidikan yang memenuhi tingkat kecukupan dan kualifikasi berdasarkan kebutuhan layanan program studi dan mendukung pelaksanaan akademik.</t>
  </si>
  <si>
    <t>UPPS memiliki tenaga kependidikan yang memenuhi tingkat kecukupan dan/atau kualifikasi berdasarkan kebutuhan layanan program studi dan mendukung pelaksanaan akademik.</t>
  </si>
  <si>
    <t>UPPS memiliki tenaga kependidikan yang tidak memenuhi tingkat kecukupan dan kualifikasi berdasarkan kebutuhan layanan program studi.</t>
  </si>
  <si>
    <t>B. Kualifikasi dan kecukupan laboran untuk mendukung proses pembelajaran sesuai dengan kebutuhan program studi.</t>
  </si>
  <si>
    <t>UPPS memiliki jumlah laboran yang cukup terhadap jumlah laboratorium yang digunakan program studi, kualifikasinya sesuai
dengan laboratorium yang menjadi tanggungjawabnya, serta bersertifikat laboran dan bersertifikat kompetensi tertentu sesuai bidang tugasnya.</t>
  </si>
  <si>
    <t>UPPS memiliki jumlah laboran yang cukup terhadap jumlah laboratorium yang digunakan program studi, kualifikasinya sesuai
dengan laboratorium yang menjadi tanggungjawabnya, dan bersertifikat laboran atau bersertifikat kompetensi tertentu sesuai bidang tugasnya.</t>
  </si>
  <si>
    <t>UPPS memiliki jumlah laboran yang cukup terhadap jumlah laboratorium yang digunakan program studi dan kualifikasinya sesuai dengan laboratorium yang menjadi tanggungjawabnya.</t>
  </si>
  <si>
    <t>UPPS memiliki jumlah laboran yang cukup terhadap jumlah
laboratorium yang digunakan program studi.</t>
  </si>
  <si>
    <t>UPPS tidak memiliki laboran.</t>
  </si>
  <si>
    <t>Skor = (A + B) / 2</t>
  </si>
  <si>
    <r>
      <rPr>
        <b/>
        <sz val="11"/>
        <color rgb="FF000000"/>
        <rFont val="Calibri"/>
        <charset val="134"/>
      </rPr>
      <t>C.5. Keuangan, Sarana dan Prasarana</t>
    </r>
    <r>
      <rPr>
        <sz val="11"/>
        <color rgb="FF000000"/>
        <rFont val="Calibri"/>
        <charset val="134"/>
      </rPr>
      <t xml:space="preserve">
C.5.4. Indikator Kinerja Utama
C.5.4.a) Keuangan</t>
    </r>
  </si>
  <si>
    <t>Biaya operasional pendidikan.
Tabel 4 LKPS</t>
  </si>
  <si>
    <r>
      <rPr>
        <sz val="11"/>
        <color rgb="FF000000"/>
        <rFont val="Calibri"/>
        <charset val="134"/>
      </rPr>
      <t>B</t>
    </r>
    <r>
      <rPr>
        <vertAlign val="subscript"/>
        <sz val="11"/>
        <color rgb="FF000000"/>
        <rFont val="Calibri"/>
        <charset val="134"/>
      </rPr>
      <t>OP</t>
    </r>
    <r>
      <rPr>
        <sz val="11"/>
        <color rgb="FF000000"/>
        <rFont val="Calibri"/>
        <charset val="134"/>
      </rPr>
      <t xml:space="preserve"> = Biaya operasional pendidikan dalam 3 tahun terakhir.</t>
    </r>
  </si>
  <si>
    <r>
      <rPr>
        <sz val="11"/>
        <color rgb="FF000000"/>
        <rFont val="Calibri"/>
        <charset val="134"/>
      </rPr>
      <t>N</t>
    </r>
    <r>
      <rPr>
        <vertAlign val="subscript"/>
        <sz val="11"/>
        <color rgb="FF000000"/>
        <rFont val="Calibri"/>
        <charset val="134"/>
      </rPr>
      <t>M</t>
    </r>
    <r>
      <rPr>
        <sz val="11"/>
        <color rgb="FF000000"/>
        <rFont val="Calibri"/>
        <charset val="134"/>
      </rPr>
      <t xml:space="preserve"> = Jumlah mahasiswa aktif pada saat TS.</t>
    </r>
  </si>
  <si>
    <r>
      <rPr>
        <sz val="11"/>
        <color rgb="FF000000"/>
        <rFont val="Calibri"/>
        <charset val="134"/>
      </rPr>
      <t>D</t>
    </r>
    <r>
      <rPr>
        <vertAlign val="subscript"/>
        <sz val="11"/>
        <color rgb="FF000000"/>
        <rFont val="Calibri"/>
        <charset val="134"/>
      </rPr>
      <t>OP</t>
    </r>
    <r>
      <rPr>
        <sz val="11"/>
        <color rgb="FF000000"/>
        <rFont val="Calibri"/>
        <charset val="134"/>
      </rPr>
      <t xml:space="preserve"> = Rata-rata dana operasional pendidikan/mahasiswa/ tahun dalam 3 tahun terakhir = B</t>
    </r>
    <r>
      <rPr>
        <vertAlign val="subscript"/>
        <sz val="11"/>
        <color rgb="FF000000"/>
        <rFont val="Calibri"/>
        <charset val="134"/>
      </rPr>
      <t>OP</t>
    </r>
    <r>
      <rPr>
        <sz val="11"/>
        <color rgb="FF000000"/>
        <rFont val="Calibri"/>
        <charset val="134"/>
      </rPr>
      <t xml:space="preserve"> / 3 / N</t>
    </r>
    <r>
      <rPr>
        <vertAlign val="subscript"/>
        <sz val="11"/>
        <color rgb="FF000000"/>
        <rFont val="Calibri"/>
        <charset val="134"/>
      </rPr>
      <t>M</t>
    </r>
  </si>
  <si>
    <t>Dana penelitian DTPS.
Tabel 4 LKPS</t>
  </si>
  <si>
    <r>
      <rPr>
        <sz val="11"/>
        <color rgb="FF000000"/>
        <rFont val="Calibri"/>
        <charset val="134"/>
      </rPr>
      <t>D</t>
    </r>
    <r>
      <rPr>
        <vertAlign val="subscript"/>
        <sz val="11"/>
        <color rgb="FF000000"/>
        <rFont val="Calibri"/>
        <charset val="134"/>
      </rPr>
      <t>P</t>
    </r>
    <r>
      <rPr>
        <sz val="11"/>
        <color rgb="FF000000"/>
        <rFont val="Calibri"/>
        <charset val="134"/>
      </rPr>
      <t xml:space="preserve"> = Jumlah dana penelitian yang diperoleh dosen tetap dalam 3 tahun terakhir.</t>
    </r>
  </si>
  <si>
    <r>
      <rPr>
        <sz val="11"/>
        <color rgb="FF000000"/>
        <rFont val="Calibri"/>
        <charset val="134"/>
      </rPr>
      <t>D</t>
    </r>
    <r>
      <rPr>
        <vertAlign val="subscript"/>
        <sz val="11"/>
        <color rgb="FF000000"/>
        <rFont val="Calibri"/>
        <charset val="134"/>
      </rPr>
      <t>PD</t>
    </r>
    <r>
      <rPr>
        <sz val="11"/>
        <color rgb="FF000000"/>
        <rFont val="Calibri"/>
        <charset val="134"/>
      </rPr>
      <t xml:space="preserve"> = Rata-rata dana penelitian DTPS/ tahun dalam 3 tahun terakhir = D</t>
    </r>
    <r>
      <rPr>
        <vertAlign val="subscript"/>
        <sz val="11"/>
        <color rgb="FF000000"/>
        <rFont val="Calibri"/>
        <charset val="134"/>
      </rPr>
      <t>P</t>
    </r>
    <r>
      <rPr>
        <sz val="11"/>
        <color rgb="FF000000"/>
        <rFont val="Calibri"/>
        <charset val="134"/>
      </rPr>
      <t xml:space="preserve"> / 3 / N</t>
    </r>
    <r>
      <rPr>
        <vertAlign val="subscript"/>
        <sz val="11"/>
        <color rgb="FF000000"/>
        <rFont val="Calibri"/>
        <charset val="134"/>
      </rPr>
      <t>DTPS</t>
    </r>
  </si>
  <si>
    <t>Dana pengabdian kepada masyarakat DTPS.
Tabel 4 LKPS</t>
  </si>
  <si>
    <r>
      <rPr>
        <sz val="11"/>
        <color rgb="FF000000"/>
        <rFont val="Calibri"/>
        <charset val="134"/>
      </rPr>
      <t>D</t>
    </r>
    <r>
      <rPr>
        <vertAlign val="subscript"/>
        <sz val="11"/>
        <color rgb="FF000000"/>
        <rFont val="Calibri"/>
        <charset val="134"/>
      </rPr>
      <t>PkM</t>
    </r>
    <r>
      <rPr>
        <sz val="11"/>
        <color rgb="FF000000"/>
        <rFont val="Calibri"/>
        <charset val="134"/>
      </rPr>
      <t xml:space="preserve"> = Jumlah dana PkM yang diperoleh dosen tetap dalam 3 tahun terakhir.</t>
    </r>
  </si>
  <si>
    <r>
      <rPr>
        <sz val="11"/>
        <color rgb="FF000000"/>
        <rFont val="Calibri"/>
        <charset val="134"/>
      </rPr>
      <t>D</t>
    </r>
    <r>
      <rPr>
        <vertAlign val="subscript"/>
        <sz val="11"/>
        <color rgb="FF000000"/>
        <rFont val="Calibri"/>
        <charset val="134"/>
      </rPr>
      <t>PkMD</t>
    </r>
    <r>
      <rPr>
        <sz val="11"/>
        <color rgb="FF000000"/>
        <rFont val="Calibri"/>
        <charset val="134"/>
      </rPr>
      <t xml:space="preserve"> = Rata-rata dana PkM DTPS/ tahun dalam 3 tahun terakhir = D</t>
    </r>
    <r>
      <rPr>
        <vertAlign val="subscript"/>
        <sz val="11"/>
        <color rgb="FF000000"/>
        <rFont val="Calibri"/>
        <charset val="134"/>
      </rPr>
      <t>PkM</t>
    </r>
    <r>
      <rPr>
        <sz val="11"/>
        <color rgb="FF000000"/>
        <rFont val="Calibri"/>
        <charset val="134"/>
      </rPr>
      <t xml:space="preserve"> / 3 / N</t>
    </r>
    <r>
      <rPr>
        <vertAlign val="subscript"/>
        <sz val="11"/>
        <color rgb="FF000000"/>
        <rFont val="Calibri"/>
        <charset val="134"/>
      </rPr>
      <t>DTPS</t>
    </r>
  </si>
  <si>
    <t>Realisasi investasi (SDM, sarana dan prasarana) yang mendukung penyelenggaraan tridharma.
Catatan: Jika Skor rata-rata butir tentang Profil Dosen, Sarana, dan Prasarana ≥ 3,5 , maka Skor butir ini = 4.</t>
  </si>
  <si>
    <t>Skor rata-rata butir Profil Dosen, Sarana dan Prasarana</t>
  </si>
  <si>
    <t>Persentase realisasi dana untuk investasi SDM serta Sarana dan Prasarana telah sesuai dengan perencanaan investasi serta melebihi standar pembelajaran, penelitian dan PkM untuk mendukung terciptanya suasana akademik yang sehat dan kondusif.</t>
  </si>
  <si>
    <t>Persentase realisasi dana untuk investasi SDM serta Sarana dan Prasarana telah sesuai dengan perencanaan investasi serta melebihi standar pembelajaran, penelitian dan PkM.</t>
  </si>
  <si>
    <t xml:space="preserve">Persentase realisasi dana untuk investasi SDM serta Sarana dan Prasarana telah sesuai dengan perencanaan investasi serta memenuhi standar pembelajaran, penelitian dan PkM.
</t>
  </si>
  <si>
    <t>Persentase realisasi dana untuk investasi SDM serta Sarana dan Prasarana kurang sesuai dengan perencanaan investasi.</t>
  </si>
  <si>
    <t>Tidak ada realisasi dana untuk investasi SDM serta Sarana dan Prasarana.</t>
  </si>
  <si>
    <t>Kecukupan dana untuk menjamin pencapaian capaian pembelajaran.</t>
  </si>
  <si>
    <t>Dana dapat menjamin keberlangsungan operasional tridharma, pengembangan 3 tahun terakhir serta memiliki kecukupan dana untuk rencana pengembangan 3 tahun ke depan yang didukung oleh sumber pendanaan yang realistis.</t>
  </si>
  <si>
    <t>Dana dapat menjamin keberlangsungan operasional tridharma serta pengembangan 3 tahun terakhir.</t>
  </si>
  <si>
    <t>Dana dapat menjamin keberlangsungan operasional tridharma dan sebagian kecil pengembangan.</t>
  </si>
  <si>
    <t>Dana  dapat menjamin keberlangsungan operasional dan tidak ada untuk pengembangan.</t>
  </si>
  <si>
    <t>Dana tidak mencukupi untuk keperluan operasional.</t>
  </si>
  <si>
    <t>C.5.4.b) Sarana dan Prasarana</t>
  </si>
  <si>
    <t>Kecukupan, aksesibilitas dan mutu sarana dan prasarana untuk menjamin pencapaian capaian pembelajaran dan meningkatkan suasana akademik.</t>
  </si>
  <si>
    <t>UPPS menyediakan sarana dan prasarana yang mutakhir serta aksesibiltas yang cukup untuk menjamin pencapaian capaian pembelajaran dan meningkatkan suasana akademik.</t>
  </si>
  <si>
    <t>UPPS menyediakan sarana dan prasarana serta aksesibiltas yang cukup untuk menjamin pencapaian capaian pembelajaran dan meningkatkan suasana akademik.</t>
  </si>
  <si>
    <t xml:space="preserve">UPPS menyediakan sarana dan prasarana serta aksesibiltas yang cukup untuk menjamin pencapaian capaian pembelajaran.
</t>
  </si>
  <si>
    <t>UPPS menyediakan sarana dan prasarana serta aksesibiltas yang tidak cukup untuk menjamin pencapaian capaian pembelajaran.</t>
  </si>
  <si>
    <t>UPPS tidak memiliki sarana dan prasarana.</t>
  </si>
  <si>
    <r>
      <rPr>
        <b/>
        <sz val="11"/>
        <color rgb="FF000000"/>
        <rFont val="Calibri"/>
        <charset val="134"/>
      </rPr>
      <t>C.6. Pendidikan</t>
    </r>
    <r>
      <rPr>
        <sz val="11"/>
        <color rgb="FF000000"/>
        <rFont val="Calibri"/>
        <charset val="134"/>
      </rPr>
      <t xml:space="preserve">
C.6.4. Indikator Kinerja Utama
C.6.4.a) Kurikulum</t>
    </r>
  </si>
  <si>
    <t>A. Keterlibatan pemangku kepentingan dalam proses evaluasi dan pemutakhiran kurikulum.</t>
  </si>
  <si>
    <t xml:space="preserve">Evaluasi dan pemutakhiran kurikulum secara berkala tiap 4 s.d. 5 tahun yang melibatkan pemangku kepentingan internal dan eksternal, serta direview oleh pakar bidang ilmu program studi, industri, asosiasi, serta sesuai perkembangan ipteks dan kebutuhan pengguna. </t>
  </si>
  <si>
    <t>Evaluasi dan pemutakhiran kurikulum secara berkala tiap 4 s.d. 5 tahun yang melibatkan pemangku kepentingan internal dan eksternal.</t>
  </si>
  <si>
    <t>Evaluasi dan pemutakhiran kurikulum melibatkan pemangku kepentingan internal.</t>
  </si>
  <si>
    <t>Evaluasi dan pemutakhiran kurikulum tidak melibatkan seluruh pemangku  kepentingan internal.</t>
  </si>
  <si>
    <t>Evaluasi dan pemutakhiran kurikulum dilakukan oleh dosen program studi.</t>
  </si>
  <si>
    <t>B. Kesesuaian capaian pembelajaran dengan profil lulusan dan jenjang KKNI/SKKNI.</t>
  </si>
  <si>
    <t>Capaian pembelajaran diturunkan dari profil lulusan, mengacu pada hasil kesepakatan dengan asosiasi penyelenggara program studi sejenis dan organisasi profesi, dan memenuhi level KKNI, serta dimutakhirkan secara berkala tiap 4 s.d. 5 tahun sesuai perkembangan ipteks dan kebutuhan pengguna.</t>
  </si>
  <si>
    <t>Capaian pembelajaran diturunkan dari profil lulusan, memenuhi level KKNI, dan dimutakhirkan secara berkala tiap 4 s.d. 5 tahun sesuai perkembangan ipteks atau kebutuhan pengguna.</t>
  </si>
  <si>
    <t>Capaian pembelajaran diturunkan dari profil lulusan dan memenuhi level KKNI.</t>
  </si>
  <si>
    <t>Capaian pembelajaran diturunkan dari profil lulusan dan tidak memenuhi level KKNI.</t>
  </si>
  <si>
    <t>Capaian pembelajaran tidak diturunkan dari profil lulusan dan tidak memenuhi level KKNI.</t>
  </si>
  <si>
    <t>C. Ketepatan struktur kurikulum dalam pembentukan capaian pembelajaran.</t>
  </si>
  <si>
    <t>Struktur kurikulum memuat keterkaitan antara matakuliah dengan capaian pembelajaran lulusan yang digambarkan dalam peta kurikulum yang jelas, capaian pembelajaran lulusan dipenuhi oleh seluruh capaian pembelajaran matakuliah, serta tidak ada capaian pembelajaran matakuliah yang tidak mendukung capaian pembelajaran lulusan.</t>
  </si>
  <si>
    <t>Struktur kurikulum memuat keterkaitan antara matakuliah dengan capaian pembelajaran lulusan yang digambarkan dalam peta kurikulum yang jelas, capaian pembelajaran lulusan dipenuhi oleh seluruh capaian pembelajaran matakuliah.</t>
  </si>
  <si>
    <t>Struktur kurikulum memuat keterkaitan antara matakuliah dengan capaian pembelajaran lulusan yang digambarkan dalam peta kurikulum yang jelas.</t>
  </si>
  <si>
    <t>Struktur kurikulum tidak sesuai dengan capaian pembelajaran lulusan.</t>
  </si>
  <si>
    <t>Skor = (A + (2 x B) + (2 x C)) / 5</t>
  </si>
  <si>
    <t>C.6.4.b) Karakteristik Proses Pembelajaran</t>
  </si>
  <si>
    <t>Pemenuhan karakteristik proses pembelajaran, yang terdiri atas sifat: 1) interaktif, 2) holistik, 3) integratif, 4) saintifik, 5) kontekstual, 6) tematik, 7) efektif, 8) kolaboratif, dan 9) berpusat pada mahasiswa.</t>
  </si>
  <si>
    <t xml:space="preserve">Terpenuhinya karakteristik proses pembelajaran program studi yang mencakup seluruh sifat, dan telah menghasilkan profil lulusan yang sesuai dengan capaian pembelajaran. </t>
  </si>
  <si>
    <t xml:space="preserve">Terpenuhinya karakteristik proses pembelajaran program studi yang berpusat pada mahasiswa, dan telah menghasilkan profil lulusan yang sesuai dengan capaian pembelajaran. </t>
  </si>
  <si>
    <t>Karakteristik proses pembelajaran program studi berpusat pada mahasiswa yang diterapkan pada minimal 50% matakuliah.</t>
  </si>
  <si>
    <t>Karakteristik proses pembelajaran program studi belum berpusat pada mahasiswa.</t>
  </si>
  <si>
    <t>C.6.4.c) Rencana Proses Pembelajaran</t>
  </si>
  <si>
    <t xml:space="preserve">A. Ketersediaan dan kelengkapan dokumen rencana pembelajaran semester (RPS) </t>
  </si>
  <si>
    <t>Dokumen RPS mencakup target capaian pembelajaran, bahan kajian, metode pembelajaran, waktu dan tahapan, asesmen hasil capaian pembelajaran. RPS ditinjau dan disesuaikan secara berkala serta dapat diakses oleh mahasiswa, dilaksanakan secara konsisten.</t>
  </si>
  <si>
    <t>Dokumen RPS mencakup target capaian pembelajaran, bahan kajian, metode pembelajaran, waktu dan tahapan, asesmen hasil capaian pembelajaran. RPS ditinjau dan disesuaikan secara berkala serta dapat diakses oleh mahasiswa.</t>
  </si>
  <si>
    <t xml:space="preserve">Dokumen RPS mencakup target capaian pembelajaran, bahan kajian, metode pembelajaran, waktu dan tahapan, asesmen hasil capaian pembelajaran. RPS ditinjau dan disesuaikan secara berkala.  </t>
  </si>
  <si>
    <t>Dokumen RPS mencakup target capaian pembelajaran, bahan kajian, metode pembelajaran, waktu dan tahapan, asesmen hasil capaian pembelajaran atau tidak semua matakuliah memiliki RPS.</t>
  </si>
  <si>
    <t>Tidak memiliki dokumen RPS.</t>
  </si>
  <si>
    <t>B. Kedalaman dan keluasan RPS sesuai dengan capaian pembelajaran lulusan.</t>
  </si>
  <si>
    <t xml:space="preserve">Isi materi pembelajaran sesuai dengan RPS, memiliki kedalaman dan keluasan yang relevan untuk mencapai capaian pembelajaran lulusan, serta ditinjau ulang secara berkala. </t>
  </si>
  <si>
    <t xml:space="preserve">Isi materi pembelajaran sesuai dengan RPS, memiliki kedalaman dan keluasan yang relevan untuk mencapai capaian pembelajaran lulusan. </t>
  </si>
  <si>
    <t xml:space="preserve">Isi materi pembelajaran memiliki kedalaman dan keluasan sesuai dengan capaian pembelajaran lulusan. </t>
  </si>
  <si>
    <t xml:space="preserve">Isi materi pembelajaran memiliki kedalaman dan keluasan namun sebagian tidak sesuai dengan capaian pembelajaran lulusan. </t>
  </si>
  <si>
    <t xml:space="preserve">Isi materi pembelajaran tidak sesuai dengan capaian pembelajaran lulusan. </t>
  </si>
  <si>
    <t>C.6.4.d) Pelaksanaan Proses Pembelajaran</t>
  </si>
  <si>
    <t>A. Bentuk interaksi antara dosen, mahasiswa dan sumber belajar</t>
  </si>
  <si>
    <t>c.6.4.d tidak ditemukan di LED</t>
  </si>
  <si>
    <t>Pelaksanaan pembelajaran berlangsung dalam bentuk interaksi antara dosen, mahasiswa, dan sumber belajar dalam lingkungan belajar tertentu secara on-line dan off-line dalam bentuk audio-visual terdokumentasi.</t>
  </si>
  <si>
    <t>Pelaksanaan pembelajaran berlangsung dalam bentuk interaksi antara dosen, mahasiswa, dan sumber belajar dalam lingkungan belajar tertentu secara on-line dan off-line.</t>
  </si>
  <si>
    <t>Pelaksanaan pembelajaran berlangsung dalam bentuk interaksi antara dosen, mahasiswa, dan sumber belajar dalam lingkungan belajar tertentu.</t>
  </si>
  <si>
    <t>Pelaksanaan pembelajaran berlangsung hanya sebagian dalam bentuk interaksi antara dosen, mahasiswa, dan sumber belajar dalam lingkungan belajar tertentu.</t>
  </si>
  <si>
    <t>Pelaksanaan pembelajaran tidak berlangsung dalam bentuk interaksi antara dosen dan mahasiswa</t>
  </si>
  <si>
    <t>B. Pemantauan kesesuaian proses terhadap rencana pembelajaran</t>
  </si>
  <si>
    <t>Memiliki bukti sahih adanya sistem dan pelaksanaan pemantauan proses pembelajaran yang dilaksanakan secara periodik untuk menjamin kesesuaian dengan RPS dalam rangka menjaga mutu proses pembelajaran. Hasil monev  terdokumentasi dengan baik dan digunakan untuk meningkatkan mutu proses pembelajaran.</t>
  </si>
  <si>
    <t>Memiliki bukti sahih adanya sistem dan  pelaksanaan pemantauan proses pembelajaran yang dilaksanakan secara periodik untuk menjamin kesesuaian dengan RPS dalam rangka menjaga mutu proses pembelajaran. Hasil monev  terdokumentasi dengan baik.</t>
  </si>
  <si>
    <t xml:space="preserve">Memiliki bukti sahih adanya sistem dan pelaksanaan pemantauan proses pembelajaran yang dilaksanakan secara periodik untuk mengukur kesesuaian terhadap RPS. </t>
  </si>
  <si>
    <t>Memiliki bukti sahih adanya sistem pemantauan proses pembelajaran namun tidak dilaksanakan secara konsisten.</t>
  </si>
  <si>
    <t>Tidak memiliki bukti sahih adanya sistem dan pelaksanaan pemantauan proses pembelajaran.</t>
  </si>
  <si>
    <t>C. Proses pembelajaran yang terkait dengan penelitian harus mengacu SN Dikti Penelitian: 1) hasil penelitian: harus memenuhi pengembangan IPTEKS, meningkatkan kesejahteraan masyarakat, dan daya saing bangsa. 2) isi penelitian: memenuhi kedalaman dan keluasan materi penelitian sesuai capaian pembelajaran. 3) proses penelitian: mencakup perencanaan, pelaksanaan, dan pelaporan. 4) penilaian penelitian memenuhi unsur edukatif, obyektif, akuntabel, dan transparan.</t>
  </si>
  <si>
    <t>Terdapat bukti sahih tentang pemenuhan SN Dikti Penelitian pada proses pembelajaran terkait penelitian serta pemenuhan SN Dikti Penelitian pada proses pembelajaran terkait penelitian.</t>
  </si>
  <si>
    <t>Tidak ada Skor antara 2 dan 4.</t>
  </si>
  <si>
    <t>Terdapat bukti sahih tentang pemenuhan SN Dikti Penelitian pada proses pembelajaran terkait penelitian namun tidak memenuhi SN Dikti Penelitian pada proses pembelajaran terkait penelitian.</t>
  </si>
  <si>
    <t>D. Proses pembelajaran yang terkait dengan PkM harus mengacu SN Dikti PkM: 1) hasil PkM: harus memenuhi pengembangan IPTEKS, meningkatkan kesejahteraan masyarakat, dan daya saing bangsa. 2) isi PkM: memenuhi kedalaman dan keluasan materi PkM sesuai capaian pembelajaran. 3) proses PkM:  mencakup perencanaan, pelaksanaan, dan pelaporan. 4) penilaian PkM memenuhi unsur edukatif, obyektif, akuntabel, dan transparan.</t>
  </si>
  <si>
    <t>Terdapat bukti sahih tentang pemenuhan SN Dikti PkM pada proses pembelajaran terkait PkM serta pemenuhan SN Dikti PkM pada proses pembelajaran terkait PkM.</t>
  </si>
  <si>
    <t>Terdapat bukti sahih tentang pemenuhan SN Dikti PkM pada proses pembelajaran terkait PkM namun tidak memenuhi SN Dikti PkM pada proses pembelajaran terkait PkM.</t>
  </si>
  <si>
    <t>E. Kesesuaian metode pembelajaran dengan capaian pembelajaran. Contoh: RBE (research based education), IBE (industry based education), teaching factory/teaching industry, dll.</t>
  </si>
  <si>
    <t>Terdapat bukti sahih yang menunjukkan metode pembelajaran yang dilaksanakan sesuai dengan capaian pembelajaran yang direncanakan pada 75% s.d. 100% mata kuliah.</t>
  </si>
  <si>
    <t>Terdapat bukti sahih yang menunjukkan metode pembelajaran yang dilaksanakan sesuai dengan capaian pembelajaran yang direncanakan pada 50 s.d. &lt; 75% mata kuliah.</t>
  </si>
  <si>
    <t>Terdapat bukti sahih yang menunjukkan metode pembelajaran yang dilaksanakan sesuai dengan capaian pembelajaran yang direncanakan pada 25 s.d. &lt; 50% mata kuliah.</t>
  </si>
  <si>
    <t>Terdapat bukti sahih yang menunjukkan metode pembelajaran yang dilaksanakan sesuai dengan capaian pembelajaran yang direncanakan pada &lt; 25% mata kuliah.</t>
  </si>
  <si>
    <t>Tidak terdapat bukti sahih yang menunjukkan metode pembelajaran yang dilaksanakan sesuai dengan capaian pembelajaran yang direncanakan.</t>
  </si>
  <si>
    <t>Skor = (A + (2 x B) + (2 x C) + (2 x D) + (2 x E)) / 9</t>
  </si>
  <si>
    <t>Pembelajaran yang dilaksanakan dalam bentuk praktikum, praktik studio, praktik bengkel, atau praktik lapangan.
Tabel 5.a LKPS</t>
  </si>
  <si>
    <r>
      <rPr>
        <sz val="11"/>
        <color rgb="FF000000"/>
        <rFont val="Calibri"/>
        <charset val="134"/>
      </rPr>
      <t>J</t>
    </r>
    <r>
      <rPr>
        <vertAlign val="subscript"/>
        <sz val="11"/>
        <color rgb="FF000000"/>
        <rFont val="Calibri"/>
        <charset val="134"/>
      </rPr>
      <t>P</t>
    </r>
    <r>
      <rPr>
        <sz val="11"/>
        <color rgb="FF000000"/>
        <rFont val="Calibri"/>
        <charset val="134"/>
      </rPr>
      <t xml:space="preserve"> = Jam pembelajaran praktikum, praktik studio, praktik bengkel, atau praktik lapangan (termasuk KKN)</t>
    </r>
  </si>
  <si>
    <r>
      <rPr>
        <sz val="11"/>
        <color rgb="FF000000"/>
        <rFont val="Calibri"/>
        <charset val="134"/>
      </rPr>
      <t>J</t>
    </r>
    <r>
      <rPr>
        <vertAlign val="subscript"/>
        <sz val="11"/>
        <color rgb="FF000000"/>
        <rFont val="Calibri"/>
        <charset val="134"/>
      </rPr>
      <t>B</t>
    </r>
    <r>
      <rPr>
        <sz val="11"/>
        <color rgb="FF000000"/>
        <rFont val="Calibri"/>
        <charset val="134"/>
      </rPr>
      <t xml:space="preserve"> = Jam pembelajaran total selama masa pendidikan.</t>
    </r>
  </si>
  <si>
    <r>
      <rPr>
        <sz val="11"/>
        <color rgb="FF000000"/>
        <rFont val="Calibri"/>
        <charset val="134"/>
      </rPr>
      <t>P</t>
    </r>
    <r>
      <rPr>
        <vertAlign val="subscript"/>
        <sz val="11"/>
        <color rgb="FF000000"/>
        <rFont val="Calibri"/>
        <charset val="134"/>
      </rPr>
      <t>JP</t>
    </r>
    <r>
      <rPr>
        <sz val="11"/>
        <color rgb="FF000000"/>
        <rFont val="Calibri"/>
        <charset val="134"/>
      </rPr>
      <t xml:space="preserve"> = (J</t>
    </r>
    <r>
      <rPr>
        <vertAlign val="subscript"/>
        <sz val="11"/>
        <color rgb="FF000000"/>
        <rFont val="Calibri"/>
        <charset val="134"/>
      </rPr>
      <t>P</t>
    </r>
    <r>
      <rPr>
        <sz val="11"/>
        <color rgb="FF000000"/>
        <rFont val="Calibri"/>
        <charset val="134"/>
      </rPr>
      <t xml:space="preserve"> / J</t>
    </r>
    <r>
      <rPr>
        <vertAlign val="subscript"/>
        <sz val="11"/>
        <color rgb="FF000000"/>
        <rFont val="Calibri"/>
        <charset val="134"/>
      </rPr>
      <t>B</t>
    </r>
    <r>
      <rPr>
        <sz val="11"/>
        <color rgb="FF000000"/>
        <rFont val="Calibri"/>
        <charset val="134"/>
      </rPr>
      <t>) x 100%</t>
    </r>
  </si>
  <si>
    <t>C.6.4.e) Monitoring dan Evaluasi Proses Pembelajaran</t>
  </si>
  <si>
    <t>Monitoring dan evaluasi pelaksanaan proses pembelajaran mencakup karakteristik, perencanaan, pelaksanaan, proses pembelajaran dan beban belajar mahasiswa untuk memperoleh capaian pembelajaran lulusan.</t>
  </si>
  <si>
    <t>c.6.4.e tidak ditemukan di LED</t>
  </si>
  <si>
    <t>UPPS memiliki bukti sahih tentang sistem dan pelaksanaan monitoring dan evaluasi proses pembelajaran mencakup karakteristik, perencanaan, pelaksanaan, proses pembelajaran dan beban belajar mahasiswa yang dilaksanakan secara konsisten dan ditindak lanjuti.</t>
  </si>
  <si>
    <t>UPPS memiliki bukti sahih tentang sistem dan pelaksanaan monitoring dan evaluasi proses pembelajaran mencakup karakteristik, perencanaan, pelaksanaan, proses pembelajaran dan beban belajar mahasiswa yang dilaksanakan secara konsisten.</t>
  </si>
  <si>
    <t>UPPS memiliki bukti sahih tentang sistem dan pelaksanaan monitoring dan evaluasi proses pembelajaran mencakup karakteristik, perencanaan, pelaksanaan, proses pembelajaran dan beban belajar mahasiswa.</t>
  </si>
  <si>
    <t>UPPS telah melaksanakan monitoring dan evaluasi proses pembelajaran mencakup karakteristik, perencanaan, pelaksanaan, proses pembelajaran dan beban belajar mahasiswa namun tidak semua didukung bukti sahih.</t>
  </si>
  <si>
    <t>UPPS tidak melaksanakan monitoring dan evaluasi proses pembelajaran mencakup karakteristik, perencanaan, pelaksanaan, proses pembelajaran dan beban belajar mahasiswa.</t>
  </si>
  <si>
    <t>C.6.4.f) Penilaian Pembelajaran</t>
  </si>
  <si>
    <t>A. Mutu pelaksanaan penilaian pembelajaran (proses dan hasil belajar mahasiswa) untuk mengukur ketercapaian capaian pembelajaran berdasarkan prinsip penilaian yang mencakup: 1) edukatif, 2) otentik, 3) objektif, 4) akuntabel, dan 5) transparan, yang dilakukan secara terintegrasi.</t>
  </si>
  <si>
    <t>Terdapat bukti sahih tentang dipenuhinya 5 prinsip penilaian yang dilakukan secara terintegrasi dan dilengkapi dengan rubrik/portofolio penilaian minimum 70% jumlah matakuliah.</t>
  </si>
  <si>
    <t>Terdapat bukti sahih tentang dipenuhinya 5 prinsip penilaian yang  dilakukan secara terintegrasi dan dilengkapi dengan rubrik/portofolio penilaian minimum 50% jumlah matakuliah.</t>
  </si>
  <si>
    <t>Terdapat bukti sahih tentang dipenuhinya 5 prinsip penilaian yang dilakukan secara terintegrasi.</t>
  </si>
  <si>
    <t>Terdapat bukti sahih tentang dipenuhinya 5 prinsip penilaian yang tidak dilakukan secara terintegrasi.</t>
  </si>
  <si>
    <t>Tidak terdapat bukti sahih tentang dipenuhinya 5 prinsip penilaian.</t>
  </si>
  <si>
    <t>B. Pelaksanaan penilaian terdiri atas teknik dan instrumen penilaian. 
Teknik penilaian terdiri dari: 1) observasi, 2) partisipasi, 3) unjuk kerja, 4) test tertulis, 5) test lisan, dan 6) angket.
Instrumen penilaian terdiri dari: 1) penilaian proses dalam bentuk rubrik, dan/ atau; 2) penilaian hasil dalam bentuk portofolio, atau 3) karya disain.</t>
  </si>
  <si>
    <t xml:space="preserve">Terdapat bukti sahih yang menunjukkan kesesuaian teknik dan instrumen penilaian terhadap capaian pembelajaran minimum 75% s.d. 100% dari jumlah matakuliah. </t>
  </si>
  <si>
    <t xml:space="preserve">Terdapat bukti sahih yang menunjukkan kesesuaian teknik dan instrumen penilaian terhadap capaian pembelajaran minimum 50 s.d. &lt; 75% dari jumlah matakuliah.  </t>
  </si>
  <si>
    <t xml:space="preserve">Terdapat bukti sahih yang menunjukkan kesesuaian teknik dan instrumen penilaian terhadap capaian pembelajaran yang dinilai minimum 25 s.d. &lt; 50%  dari jumlah matakuliah.  </t>
  </si>
  <si>
    <t xml:space="preserve">Terdapat bukti sahih yang menunjukkan kesesuaian teknik dan instrumen penilaian terhadap capaian pembelajaran yang dinilai &lt; 25% dari jumlah matakuliah.  </t>
  </si>
  <si>
    <t>Tidak terdapat bukti sahih yang menunjukkan kesesuaian teknik dan instrumen penilaian terhadap capaian pembelajaran.</t>
  </si>
  <si>
    <t>C. Pelaksanaan penilaian memuat unsur-unsur sebagai berikut: 1) mempunyai kontrak rencana penilaian, 2) melaksanakan penilaian sesuai kontrak atau kesepakatan, 3) memberikan umpan balik dan memberi kesempatan untuk mempertanyakan hasil kepada mahasiswa, 4) mempunyai dokumentasi penilaian proses dan hasil belajar mahasiswa, 5) mempunyai prosedur yang mencakup tahap perencanaan, kegiatan pemberian tugas atau soal, observasi kinerja, pengembalian hasil observasi, dan pemberian nilai akhir, 6) pelaporan penilaian berupa kualifikasi keberhasilan mahasiswa dalam menempuh suatu mata kuliah dalam bentuk huruf dan angka, 7) mempunyai bukti-bukti rencana dan telah melakukan proses perbaikan berdasar hasil monev penilaian.</t>
  </si>
  <si>
    <t>C.6.4.g) Integrasi kegiatan penelitian dan PkM dalam pembelajaran</t>
  </si>
  <si>
    <t>Integrasi kegiatan penelitian dan PkM dalam pembelajaran oleh DTPS dalam 3 tahun terakhir.
Tabel 5.b LKPS</t>
  </si>
  <si>
    <t>MK = Jumlah mata kuliah yang dikembangkan berdasarkan hasil penelitian/PkM DTPS dalam 3 tahun terakhir.</t>
  </si>
  <si>
    <t>C.6.4.h) Suasana Akademik</t>
  </si>
  <si>
    <t>Keterlaksanaan dan keberkalaan program dan kegiatan diluar kegiatan pembelajaran terstruktur untuk meningkatkan suasana akademik.
Contoh: kegiatan himpunan mahasiswa, kuliah umum/studium generale, seminar ilmiah, bedah buku.</t>
  </si>
  <si>
    <t>c.6.4.h tidak ditemukan pada LED, klaim SG</t>
  </si>
  <si>
    <t>Kegiatan ilmiah yang terjadwal dilaksanakan setiap bulan.</t>
  </si>
  <si>
    <t>Kegiatan ilmiah yang terjadwal dilaksanakan dua s.d tiga bulan sekali.</t>
  </si>
  <si>
    <t>Kegiatan ilmiah yang terjadwal dilaksanakan empat s.d. enam bulan sekali.</t>
  </si>
  <si>
    <t>Kegiatan ilmiah yang terjadwal dilaksanakan lebih dari enam bulan sekali.</t>
  </si>
  <si>
    <t>C.6.4.i) Kepuasan Mahasiswa</t>
  </si>
  <si>
    <r>
      <rPr>
        <sz val="11"/>
        <color rgb="FF000000"/>
        <rFont val="Calibri"/>
        <charset val="134"/>
      </rPr>
      <t>A. Tingkat kepuasan mahasiswa terhadap proses pendidikan.
Tabel 5.c LKPS
Aspek yang diukur: 1) Keandalan (</t>
    </r>
    <r>
      <rPr>
        <i/>
        <sz val="11"/>
        <color rgb="FF000000"/>
        <rFont val="Calibri"/>
        <charset val="134"/>
      </rPr>
      <t>reliability</t>
    </r>
    <r>
      <rPr>
        <sz val="11"/>
        <color rgb="FF000000"/>
        <rFont val="Calibri"/>
        <charset val="134"/>
      </rPr>
      <t>): kemampuan dosen, tenaga kependidikan, dan pengelola dalam memberikan pelayanan; 2) Daya tanggap (responsiveness): kemauan dari dosen, tenaga kependidikan, dan pengelola dalam membantu mahasiswa dan memberikan jasa dengan cepat; 3) Kepastian (assurance): kemampuan dosen, tenaga kependidikan, dan pengelola untuk memberi keyakinan kepada mahasiswa bahwa pelayanan yang diberikan telah sesuai dengan ketentuan; 4) Empati (empathy): kesediaan/kepedulian dosen, tenaga kependidikan, dan pengelola untuk memberi perhatian kepada mahasiswa; dan 5) Tangible: penilaian mahasiswa terhadap kecukupan, aksesibitas, kualitas sarana dan prasarana.</t>
    </r>
  </si>
  <si>
    <t>Reliability</t>
  </si>
  <si>
    <t>% Sangat Baik</t>
  </si>
  <si>
    <t>% Baik</t>
  </si>
  <si>
    <t>% Cukup</t>
  </si>
  <si>
    <t>% Kurang</t>
  </si>
  <si>
    <r>
      <rPr>
        <sz val="11"/>
        <color rgb="FF000000"/>
        <rFont val="Calibri"/>
        <charset val="134"/>
      </rPr>
      <t>TKM</t>
    </r>
    <r>
      <rPr>
        <vertAlign val="subscript"/>
        <sz val="11"/>
        <color rgb="FF000000"/>
        <rFont val="Calibri"/>
        <charset val="134"/>
      </rPr>
      <t>1</t>
    </r>
  </si>
  <si>
    <t>Responsiveness</t>
  </si>
  <si>
    <r>
      <rPr>
        <sz val="11"/>
        <color rgb="FF000000"/>
        <rFont val="Calibri"/>
        <charset val="134"/>
      </rPr>
      <t>TKM</t>
    </r>
    <r>
      <rPr>
        <vertAlign val="subscript"/>
        <sz val="11"/>
        <color rgb="FF000000"/>
        <rFont val="Calibri"/>
        <charset val="134"/>
      </rPr>
      <t>2</t>
    </r>
  </si>
  <si>
    <t>Assurance</t>
  </si>
  <si>
    <r>
      <rPr>
        <sz val="11"/>
        <color rgb="FF000000"/>
        <rFont val="Calibri"/>
        <charset val="134"/>
      </rPr>
      <t>TKM</t>
    </r>
    <r>
      <rPr>
        <vertAlign val="subscript"/>
        <sz val="11"/>
        <color rgb="FF000000"/>
        <rFont val="Calibri"/>
        <charset val="134"/>
      </rPr>
      <t>3</t>
    </r>
  </si>
  <si>
    <t>Empathy</t>
  </si>
  <si>
    <r>
      <rPr>
        <sz val="11"/>
        <color rgb="FF000000"/>
        <rFont val="Calibri"/>
        <charset val="134"/>
      </rPr>
      <t>TKM</t>
    </r>
    <r>
      <rPr>
        <vertAlign val="subscript"/>
        <sz val="11"/>
        <color rgb="FF000000"/>
        <rFont val="Calibri"/>
        <charset val="134"/>
      </rPr>
      <t>4</t>
    </r>
  </si>
  <si>
    <t>Tangible</t>
  </si>
  <si>
    <r>
      <rPr>
        <sz val="11"/>
        <color rgb="FF000000"/>
        <rFont val="Calibri"/>
        <charset val="134"/>
      </rPr>
      <t>TKM</t>
    </r>
    <r>
      <rPr>
        <vertAlign val="subscript"/>
        <sz val="11"/>
        <color rgb="FF000000"/>
        <rFont val="Calibri"/>
        <charset val="134"/>
      </rPr>
      <t>5</t>
    </r>
  </si>
  <si>
    <r>
      <rPr>
        <sz val="11"/>
        <color rgb="FF000000"/>
        <rFont val="Calibri"/>
        <charset val="134"/>
      </rPr>
      <t>TKM = ƩTKM</t>
    </r>
    <r>
      <rPr>
        <vertAlign val="subscript"/>
        <sz val="11"/>
        <color rgb="FF000000"/>
        <rFont val="Calibri"/>
        <charset val="134"/>
      </rPr>
      <t>i</t>
    </r>
    <r>
      <rPr>
        <sz val="11"/>
        <color rgb="FF000000"/>
        <rFont val="Calibri"/>
        <charset val="134"/>
      </rPr>
      <t xml:space="preserve"> / 5</t>
    </r>
  </si>
  <si>
    <t>B. Analisis dan tindak lanjut dari hasil pengukuran kepuasan mahasiswa.</t>
  </si>
  <si>
    <t>Hasil pengukuran dianalisis dan ditindaklanjuti minimal 2 kali setiap semester, serta digunakan untuk perbaikan proses pembelajaran dan menunjukkan peningkatan hasil pembelajaran.</t>
  </si>
  <si>
    <t>Hasil pengukuran dianalisis dan ditindaklanjuti setiap semester, serta digunakan untuk perbaikan proses pembelajaran dan menunjukkan peningkatan hasil pembelajaran.</t>
  </si>
  <si>
    <t>Hasil pengukuran dianalisis dan ditindaklanjuti setiap tahun, serta digunakan untuk perbaikan proses pembelajaran.</t>
  </si>
  <si>
    <t>Hasil pengukuran dianalisis dan ditindaklanjuti, serta digunakan untuk perbaikan proses pembelajaran, namun dilakukan secara insidentil.</t>
  </si>
  <si>
    <t>Tidak dilakukan analisis terhadap hasil pengukuran kepuasan terhadap proses pembelajaran.</t>
  </si>
  <si>
    <r>
      <rPr>
        <b/>
        <sz val="11"/>
        <color rgb="FF000000"/>
        <rFont val="Calibri"/>
        <charset val="134"/>
      </rPr>
      <t>C.7
Penelitian</t>
    </r>
    <r>
      <rPr>
        <sz val="11"/>
        <color rgb="FF000000"/>
        <rFont val="Calibri"/>
        <charset val="134"/>
      </rPr>
      <t xml:space="preserve">
C.7.4
Indikator Kinerja Utama
C.7.4.a)
Relevansi Penelitian
</t>
    </r>
  </si>
  <si>
    <t>Relevansi penelitian pada UPPS mencakup unsur-unsur sebagai berikut: 
1) memiliki peta jalan yang memayungi tema penelitian dosen dan mahasiswa,
2) dosen dan mahasiswa melaksanakan penelitian sesuai dengan agenda penelitian dosen yang merujuk kepada peta jalan penelitian. 
3) melakukan evaluasi kesesuaian penelitian dosen dan mahasiswa dengan peta jalan, dan 
4) menggunakan hasil evaluasi untuk perbaikan relevansi penelitian dan pengembangan keilmuan program studi.</t>
  </si>
  <si>
    <t>UPPS memenuhi 4 unsur relevansi penelitian dosen dan mahasiswa.</t>
  </si>
  <si>
    <t>UPPS memenuhi  unsur 1, 2, dan 3 relevansi penelitian dosen dan mahasiswa.</t>
  </si>
  <si>
    <t>UPPS memenuhi  unsur 1, dan 2 relevansi penelitian dosen dan mahasiswa.</t>
  </si>
  <si>
    <t>UPPS memenuhi  unsur pertama namun penelitian dosen dan mahasiswa tidak sesuai dengan peta jalan.</t>
  </si>
  <si>
    <t>UPPS tidak mempunyai peta jalan penelitian dosen dan mahasiswa.</t>
  </si>
  <si>
    <t>C.7.4.b) Penelitian Dosen dan Mahasiswa</t>
  </si>
  <si>
    <t>Penelitian DTPS yang dalam pelaksanaannya melibatkan mahasiswa program studi dalam 3 tahun terakhir.
Tabel 6.a LKPS</t>
  </si>
  <si>
    <r>
      <rPr>
        <sz val="11"/>
        <color rgb="FF000000"/>
        <rFont val="Calibri"/>
        <charset val="134"/>
      </rPr>
      <t>N</t>
    </r>
    <r>
      <rPr>
        <vertAlign val="subscript"/>
        <sz val="11"/>
        <color rgb="FF000000"/>
        <rFont val="Calibri"/>
        <charset val="134"/>
      </rPr>
      <t>PM</t>
    </r>
    <r>
      <rPr>
        <sz val="11"/>
        <color rgb="FF000000"/>
        <rFont val="Calibri"/>
        <charset val="134"/>
      </rPr>
      <t xml:space="preserve"> = Jumlah judul penelitian DTPS yang dalam pelaksanaannya melibatkan mahasiswa program studi dalam 3 tahun terakhir.</t>
    </r>
  </si>
  <si>
    <r>
      <rPr>
        <sz val="11"/>
        <color rgb="FF000000"/>
        <rFont val="Calibri"/>
        <charset val="134"/>
      </rPr>
      <t>N</t>
    </r>
    <r>
      <rPr>
        <vertAlign val="subscript"/>
        <sz val="11"/>
        <color rgb="FF000000"/>
        <rFont val="Calibri"/>
        <charset val="134"/>
      </rPr>
      <t>PD</t>
    </r>
    <r>
      <rPr>
        <sz val="11"/>
        <color rgb="FF000000"/>
        <rFont val="Calibri"/>
        <charset val="134"/>
      </rPr>
      <t xml:space="preserve"> = Jumlah judul penelitian DTPS dalam 3 tahun terakhir. </t>
    </r>
  </si>
  <si>
    <r>
      <rPr>
        <sz val="11"/>
        <color rgb="FF000000"/>
        <rFont val="Calibri"/>
        <charset val="134"/>
      </rPr>
      <t>P</t>
    </r>
    <r>
      <rPr>
        <vertAlign val="subscript"/>
        <sz val="11"/>
        <color rgb="FF000000"/>
        <rFont val="Calibri"/>
        <charset val="134"/>
      </rPr>
      <t>PDM</t>
    </r>
    <r>
      <rPr>
        <sz val="11"/>
        <color rgb="FF000000"/>
        <rFont val="Calibri"/>
        <charset val="134"/>
      </rPr>
      <t xml:space="preserve"> = (N</t>
    </r>
    <r>
      <rPr>
        <vertAlign val="subscript"/>
        <sz val="11"/>
        <color rgb="FF000000"/>
        <rFont val="Calibri"/>
        <charset val="134"/>
      </rPr>
      <t>PM</t>
    </r>
    <r>
      <rPr>
        <sz val="11"/>
        <color rgb="FF000000"/>
        <rFont val="Calibri"/>
        <charset val="134"/>
      </rPr>
      <t xml:space="preserve"> / N</t>
    </r>
    <r>
      <rPr>
        <vertAlign val="subscript"/>
        <sz val="11"/>
        <color rgb="FF000000"/>
        <rFont val="Calibri"/>
        <charset val="134"/>
      </rPr>
      <t>PkMD</t>
    </r>
    <r>
      <rPr>
        <sz val="11"/>
        <color rgb="FF000000"/>
        <rFont val="Calibri"/>
        <charset val="134"/>
      </rPr>
      <t xml:space="preserve">) x 100% </t>
    </r>
  </si>
  <si>
    <r>
      <rPr>
        <b/>
        <sz val="11"/>
        <color rgb="FF000000"/>
        <rFont val="Calibri"/>
        <charset val="134"/>
      </rPr>
      <t>C.8
Pengabdian kepada Masyarakat</t>
    </r>
    <r>
      <rPr>
        <sz val="11"/>
        <color rgb="FF000000"/>
        <rFont val="Calibri"/>
        <charset val="134"/>
      </rPr>
      <t xml:space="preserve">
C.8.4
Indikator Kinerja Utama
C.8.4.a)
Relevansi PkM</t>
    </r>
  </si>
  <si>
    <t>Relevansi PkM pada UPPS mencakup unsur-unsur sebagai berikut: 
1) memiliki peta jalan yang memayungi tema PkM dosen dan mahasiswa serta hilirisasi/penerapan keilmuan program studi, 
2) dosen dan mahasiswa melaksanakan PkM sesuai dengan peta jalan PkM. 
3) melakukan evaluasi kesesuaian PkM dosen dan mahasiswa dengan peta jalan, dan 
4) menggunakan hasil evaluasi untuk perbaikan relevansi PkM dan pengembangan keilmuan program studi.</t>
  </si>
  <si>
    <t>UPPS memenuhi 4 unsur relevansi PkM dosen dan mahasiswa.</t>
  </si>
  <si>
    <t>UPPS memenuhi  unsur 1, 2, dan 3 relevansi PkM dosen dan mahasiswa.</t>
  </si>
  <si>
    <t>UPPS memenuhi  unsur 1, dan 2 relevansi PkM dosen dan mahasiswa.</t>
  </si>
  <si>
    <t>UPPS memenuhi  unsur pertama namun PkM dosen dan mahasiswa tidak sesuai dengan peta jalan.</t>
  </si>
  <si>
    <t>UPPS tidak mempunyai peta jalan PkM dosen dan mahasiswa.</t>
  </si>
  <si>
    <t>C.8.4.b) PkM Dosen dan Mahasiswa</t>
  </si>
  <si>
    <t>PkM DTPS yang dalam pelaksanaannya melibatkan mahasiswa program studi dalam 3 tahun terakhir.
Tabel 7 LKPS</t>
  </si>
  <si>
    <r>
      <rPr>
        <sz val="11"/>
        <color rgb="FF000000"/>
        <rFont val="Calibri"/>
        <charset val="134"/>
      </rPr>
      <t>N</t>
    </r>
    <r>
      <rPr>
        <vertAlign val="subscript"/>
        <sz val="11"/>
        <color rgb="FF000000"/>
        <rFont val="Calibri"/>
        <charset val="134"/>
      </rPr>
      <t>PkMM</t>
    </r>
    <r>
      <rPr>
        <sz val="11"/>
        <color rgb="FF000000"/>
        <rFont val="Calibri"/>
        <charset val="134"/>
      </rPr>
      <t xml:space="preserve"> = Jumlah judul PkM DTPS yang dalam pelaksanaannya melibatkan mahasiswa program studi dalam 3 tahun terakhir.</t>
    </r>
  </si>
  <si>
    <r>
      <rPr>
        <sz val="11"/>
        <color rgb="FF000000"/>
        <rFont val="Calibri"/>
        <charset val="134"/>
      </rPr>
      <t>N</t>
    </r>
    <r>
      <rPr>
        <vertAlign val="subscript"/>
        <sz val="11"/>
        <color rgb="FF000000"/>
        <rFont val="Calibri"/>
        <charset val="134"/>
      </rPr>
      <t>PkMD</t>
    </r>
    <r>
      <rPr>
        <sz val="11"/>
        <color rgb="FF000000"/>
        <rFont val="Calibri"/>
        <charset val="134"/>
      </rPr>
      <t xml:space="preserve"> = Jumlah judul PkM DTPS dalam 3 tahun terakhir. </t>
    </r>
  </si>
  <si>
    <r>
      <rPr>
        <sz val="11"/>
        <color rgb="FF000000"/>
        <rFont val="Calibri"/>
        <charset val="134"/>
      </rPr>
      <t>P</t>
    </r>
    <r>
      <rPr>
        <vertAlign val="subscript"/>
        <sz val="11"/>
        <color rgb="FF000000"/>
        <rFont val="Calibri"/>
        <charset val="134"/>
      </rPr>
      <t>PkMDM</t>
    </r>
    <r>
      <rPr>
        <sz val="11"/>
        <color rgb="FF000000"/>
        <rFont val="Calibri"/>
        <charset val="134"/>
      </rPr>
      <t xml:space="preserve"> = (N</t>
    </r>
    <r>
      <rPr>
        <vertAlign val="subscript"/>
        <sz val="11"/>
        <color rgb="FF000000"/>
        <rFont val="Calibri"/>
        <charset val="134"/>
      </rPr>
      <t>PkMM</t>
    </r>
    <r>
      <rPr>
        <sz val="11"/>
        <color rgb="FF000000"/>
        <rFont val="Calibri"/>
        <charset val="134"/>
      </rPr>
      <t xml:space="preserve"> / N</t>
    </r>
    <r>
      <rPr>
        <vertAlign val="subscript"/>
        <sz val="11"/>
        <color rgb="FF000000"/>
        <rFont val="Calibri"/>
        <charset val="134"/>
      </rPr>
      <t>PkMD</t>
    </r>
    <r>
      <rPr>
        <sz val="11"/>
        <color rgb="FF000000"/>
        <rFont val="Calibri"/>
        <charset val="134"/>
      </rPr>
      <t xml:space="preserve">) x 100% </t>
    </r>
  </si>
  <si>
    <r>
      <rPr>
        <b/>
        <sz val="11"/>
        <color rgb="FF000000"/>
        <rFont val="Calibri"/>
        <charset val="134"/>
      </rPr>
      <t>C.9
Luaran dan Capaian Tridharma</t>
    </r>
    <r>
      <rPr>
        <sz val="11"/>
        <color rgb="FF000000"/>
        <rFont val="Calibri"/>
        <charset val="134"/>
      </rPr>
      <t xml:space="preserve">
C.9.4 
Indikator Kinerja Utama
C.9.4.a)
Luaran Dharma Pendidikan</t>
    </r>
  </si>
  <si>
    <t>Analisis pemenuhan capaian pembelajaran lulusan (CPL) yang diukur dengan metoda yang sahih dan relevan, mencakup aspek:
1) keserbacakupan, 
2) kedalaman, dan 
3) kebermanfaatan analisis yang ditunjukkan dengan peningkatan CPL dari waktu ke waktu dalam 3 tahun terakhir.</t>
  </si>
  <si>
    <t xml:space="preserve">Analisis capaian pembelajaran lulusan memenuhi 3 aspek. </t>
  </si>
  <si>
    <t xml:space="preserve">Analisis capaian pembelajaran lulusan memenuhi 2 aspek. </t>
  </si>
  <si>
    <t xml:space="preserve">Analisis capaian pembelajaran lulusan memenuhi 1 aspek. </t>
  </si>
  <si>
    <t xml:space="preserve">Analisis capaian pembelajaran lulusan tidak memenuhi ketiga aspek. </t>
  </si>
  <si>
    <t>Tidak dilakukan analisis capaian pembelajaran lulusan.</t>
  </si>
  <si>
    <t>IPK lulusan.
Tabel 8.a LKPS</t>
  </si>
  <si>
    <t>Jumlah Lulusan pada TS-2</t>
  </si>
  <si>
    <t>Jumlah Lulusan pada TS-1</t>
  </si>
  <si>
    <t>Jumlah Lulusan pada TS</t>
  </si>
  <si>
    <t>IPK Rata-rata pada TS-2</t>
  </si>
  <si>
    <t>IPK Rata-rata pada TS-1</t>
  </si>
  <si>
    <t>IPK Rata-rata pada TS</t>
  </si>
  <si>
    <t>RIPK = Rata-rata IPK lulusan dalam 3 tahun terakhir.</t>
  </si>
  <si>
    <t>Prestasi mahasiswa di bidang akademik dalam 3 tahun terakhir.
Tabel 8.b.1) LKPS</t>
  </si>
  <si>
    <r>
      <rPr>
        <sz val="11"/>
        <color rgb="FF000000"/>
        <rFont val="Calibri"/>
        <charset val="134"/>
      </rPr>
      <t>N</t>
    </r>
    <r>
      <rPr>
        <vertAlign val="subscript"/>
        <sz val="11"/>
        <color rgb="FF000000"/>
        <rFont val="Calibri"/>
        <charset val="134"/>
      </rPr>
      <t>I</t>
    </r>
    <r>
      <rPr>
        <sz val="11"/>
        <color rgb="FF000000"/>
        <rFont val="Calibri"/>
        <charset val="134"/>
      </rPr>
      <t xml:space="preserve"> = Jumlah prestasi akademik internasional.</t>
    </r>
  </si>
  <si>
    <r>
      <rPr>
        <sz val="11"/>
        <color rgb="FF000000"/>
        <rFont val="Calibri"/>
        <charset val="134"/>
      </rPr>
      <t>N</t>
    </r>
    <r>
      <rPr>
        <vertAlign val="subscript"/>
        <sz val="11"/>
        <color rgb="FF000000"/>
        <rFont val="Calibri"/>
        <charset val="134"/>
      </rPr>
      <t>N</t>
    </r>
    <r>
      <rPr>
        <sz val="11"/>
        <color rgb="FF000000"/>
        <rFont val="Calibri"/>
        <charset val="134"/>
      </rPr>
      <t xml:space="preserve"> = Jumlah prestasi akademik nasional.</t>
    </r>
  </si>
  <si>
    <r>
      <rPr>
        <sz val="11"/>
        <color rgb="FF000000"/>
        <rFont val="Calibri"/>
        <charset val="134"/>
      </rPr>
      <t>N</t>
    </r>
    <r>
      <rPr>
        <vertAlign val="subscript"/>
        <sz val="11"/>
        <color rgb="FF000000"/>
        <rFont val="Calibri"/>
        <charset val="134"/>
      </rPr>
      <t>W</t>
    </r>
    <r>
      <rPr>
        <sz val="11"/>
        <color rgb="FF000000"/>
        <rFont val="Calibri"/>
        <charset val="134"/>
      </rPr>
      <t xml:space="preserve"> = Jumlah prestasi akademik wilayah/lokal.</t>
    </r>
  </si>
  <si>
    <r>
      <rPr>
        <sz val="11"/>
        <color rgb="FF000000"/>
        <rFont val="Calibri"/>
        <charset val="134"/>
      </rPr>
      <t>R</t>
    </r>
    <r>
      <rPr>
        <vertAlign val="subscript"/>
        <sz val="11"/>
        <color rgb="FF000000"/>
        <rFont val="Calibri"/>
        <charset val="134"/>
      </rPr>
      <t>I</t>
    </r>
    <r>
      <rPr>
        <sz val="11"/>
        <color rgb="FF000000"/>
        <rFont val="Calibri"/>
        <charset val="134"/>
      </rPr>
      <t xml:space="preserve"> = N</t>
    </r>
    <r>
      <rPr>
        <vertAlign val="subscript"/>
        <sz val="11"/>
        <color rgb="FF000000"/>
        <rFont val="Calibri"/>
        <charset val="134"/>
      </rPr>
      <t>I</t>
    </r>
    <r>
      <rPr>
        <sz val="11"/>
        <color rgb="FF000000"/>
        <rFont val="Calibri"/>
        <charset val="134"/>
      </rPr>
      <t xml:space="preserve"> / N</t>
    </r>
    <r>
      <rPr>
        <vertAlign val="subscript"/>
        <sz val="11"/>
        <color rgb="FF000000"/>
        <rFont val="Calibri"/>
        <charset val="134"/>
      </rPr>
      <t>M</t>
    </r>
  </si>
  <si>
    <r>
      <rPr>
        <sz val="11"/>
        <color rgb="FF000000"/>
        <rFont val="Calibri"/>
        <charset val="134"/>
      </rPr>
      <t>R</t>
    </r>
    <r>
      <rPr>
        <vertAlign val="subscript"/>
        <sz val="11"/>
        <color rgb="FF000000"/>
        <rFont val="Calibri"/>
        <charset val="134"/>
      </rPr>
      <t>N</t>
    </r>
    <r>
      <rPr>
        <sz val="11"/>
        <color rgb="FF000000"/>
        <rFont val="Calibri"/>
        <charset val="134"/>
      </rPr>
      <t xml:space="preserve"> = N</t>
    </r>
    <r>
      <rPr>
        <vertAlign val="subscript"/>
        <sz val="11"/>
        <color rgb="FF000000"/>
        <rFont val="Calibri"/>
        <charset val="134"/>
      </rPr>
      <t>N</t>
    </r>
    <r>
      <rPr>
        <sz val="11"/>
        <color rgb="FF000000"/>
        <rFont val="Calibri"/>
        <charset val="134"/>
      </rPr>
      <t xml:space="preserve"> / N</t>
    </r>
    <r>
      <rPr>
        <vertAlign val="subscript"/>
        <sz val="11"/>
        <color rgb="FF000000"/>
        <rFont val="Calibri"/>
        <charset val="134"/>
      </rPr>
      <t>M</t>
    </r>
  </si>
  <si>
    <r>
      <rPr>
        <sz val="11"/>
        <color rgb="FF000000"/>
        <rFont val="Calibri"/>
        <charset val="134"/>
      </rPr>
      <t>R</t>
    </r>
    <r>
      <rPr>
        <vertAlign val="subscript"/>
        <sz val="11"/>
        <color rgb="FF000000"/>
        <rFont val="Calibri"/>
        <charset val="134"/>
      </rPr>
      <t>W</t>
    </r>
    <r>
      <rPr>
        <sz val="11"/>
        <color rgb="FF000000"/>
        <rFont val="Calibri"/>
        <charset val="134"/>
      </rPr>
      <t xml:space="preserve"> = N</t>
    </r>
    <r>
      <rPr>
        <vertAlign val="subscript"/>
        <sz val="11"/>
        <color rgb="FF000000"/>
        <rFont val="Calibri"/>
        <charset val="134"/>
      </rPr>
      <t>W</t>
    </r>
    <r>
      <rPr>
        <sz val="11"/>
        <color rgb="FF000000"/>
        <rFont val="Calibri"/>
        <charset val="134"/>
      </rPr>
      <t xml:space="preserve"> / N</t>
    </r>
    <r>
      <rPr>
        <vertAlign val="subscript"/>
        <sz val="11"/>
        <color rgb="FF000000"/>
        <rFont val="Calibri"/>
        <charset val="134"/>
      </rPr>
      <t>M</t>
    </r>
  </si>
  <si>
    <t>2: RI = 0 DAN RN = 0 DAN RW ≥ c</t>
  </si>
  <si>
    <t>0-2: RI = 0 DAN RN = 0 DAN RW &lt; c</t>
  </si>
  <si>
    <t>Prestasi mahasiswa di bidang nonakademik dalam 3 tahun terakhir.
Tabel 8.b.2) LKPS</t>
  </si>
  <si>
    <r>
      <rPr>
        <sz val="11"/>
        <color rgb="FF000000"/>
        <rFont val="Calibri"/>
        <charset val="134"/>
      </rPr>
      <t>N</t>
    </r>
    <r>
      <rPr>
        <vertAlign val="subscript"/>
        <sz val="11"/>
        <color rgb="FF000000"/>
        <rFont val="Calibri"/>
        <charset val="134"/>
      </rPr>
      <t>I</t>
    </r>
    <r>
      <rPr>
        <sz val="11"/>
        <color rgb="FF000000"/>
        <rFont val="Calibri"/>
        <charset val="134"/>
      </rPr>
      <t xml:space="preserve"> = Jumlah prestasi nonakademik internasional.</t>
    </r>
  </si>
  <si>
    <r>
      <rPr>
        <sz val="11"/>
        <color rgb="FF000000"/>
        <rFont val="Calibri"/>
        <charset val="134"/>
      </rPr>
      <t>N</t>
    </r>
    <r>
      <rPr>
        <vertAlign val="subscript"/>
        <sz val="11"/>
        <color rgb="FF000000"/>
        <rFont val="Calibri"/>
        <charset val="134"/>
      </rPr>
      <t>N</t>
    </r>
    <r>
      <rPr>
        <sz val="11"/>
        <color rgb="FF000000"/>
        <rFont val="Calibri"/>
        <charset val="134"/>
      </rPr>
      <t xml:space="preserve"> = Jumlah prestasi nonakademik nasional.</t>
    </r>
  </si>
  <si>
    <r>
      <rPr>
        <sz val="11"/>
        <color rgb="FF000000"/>
        <rFont val="Calibri"/>
        <charset val="134"/>
      </rPr>
      <t>N</t>
    </r>
    <r>
      <rPr>
        <vertAlign val="subscript"/>
        <sz val="11"/>
        <color rgb="FF000000"/>
        <rFont val="Calibri"/>
        <charset val="134"/>
      </rPr>
      <t>W</t>
    </r>
    <r>
      <rPr>
        <sz val="11"/>
        <color rgb="FF000000"/>
        <rFont val="Calibri"/>
        <charset val="134"/>
      </rPr>
      <t xml:space="preserve"> = Jumlah prestasi nonakademik wilayah/lokal.</t>
    </r>
  </si>
  <si>
    <t>Masa studi.
Tabel 8.c LKPS</t>
  </si>
  <si>
    <t>Jumlah lulusan pada akhir TS dari mahasiswa tahun masuk TS-6</t>
  </si>
  <si>
    <t>Rata-rata masa studi lulusan dari mahasiswa tahun masuk TS-6 (Tahun)</t>
  </si>
  <si>
    <t>Jumlah lulusan pada akhir TS dari mahasiswa tahun masuk TS-5</t>
  </si>
  <si>
    <t>Rata-rata masa studi lulusan dari mahasiswa tahun masuk TS-5 (Tahun)</t>
  </si>
  <si>
    <t>Jumlah lulusan pada akhir TS dari mahasiswa tahun masuk TS-4</t>
  </si>
  <si>
    <t>Rata-rata masa studi lulusan dari mahasiswa tahun masuk TS-4 (Tahun)</t>
  </si>
  <si>
    <t>Jumlah lulusan pada akhir TS dari mahasiswa tahun masuk TS-3</t>
  </si>
  <si>
    <t>Rata-rata masa studi lulusan dari mahasiswa tahun masuk TS-3 (Tahun)</t>
  </si>
  <si>
    <t>MS = Rata-rata masa studi lulusan (Tahun)</t>
  </si>
  <si>
    <t>Kelulusan tepat waktu.
Tabel 8.c LKPS</t>
  </si>
  <si>
    <t>Jumlah Mahasiswa Diterima pada TS-6</t>
  </si>
  <si>
    <t>Jumlah Mahasiswa Diterima pada TS-5</t>
  </si>
  <si>
    <t>Jumlah Mahasiswa Diterima pada TS-4</t>
  </si>
  <si>
    <t>Jumlah Mahasiswa Diterima pada TS-3</t>
  </si>
  <si>
    <t>Jumlah Mahasiswa yang Lulus pada Akhir TS-3</t>
  </si>
  <si>
    <t>Jumlah Mahasiswa yang Lulus pada Akhir TS-2</t>
  </si>
  <si>
    <t>Jumlah Mahasiswa yang Lulus pada Akhir TS-1</t>
  </si>
  <si>
    <t>Jumlah Mahasiswa yang Lulus pada Akhir TS</t>
  </si>
  <si>
    <t>PTW = Persentase kelulusan tepat waktu.</t>
  </si>
  <si>
    <t>Keberhasilan studi.
Tabel 8.c LKPS</t>
  </si>
  <si>
    <t>Jumlah mahasiswa diterima pada TS-6</t>
  </si>
  <si>
    <t>Jumlah mahasiswa yang lulus pada akhir TS-3</t>
  </si>
  <si>
    <t>Jumlah mahasiswa yang lulus pada akhir TS-2</t>
  </si>
  <si>
    <t>Jumlah mahasiswa yang lulus pada akhir TS-1</t>
  </si>
  <si>
    <t>Jumlah mahasiswa yang lulus pada akhir TS</t>
  </si>
  <si>
    <t>PPS = Persentase keberhasilan studi.</t>
  </si>
  <si>
    <t xml:space="preserve">Pelaksanaan tracer study yang mencakup 5 aspek sebagai berikut: 
1) pelaksanaan tracer study terkoordinasi di tingkat PT,
2) kegiatan tracer study dilakukan secara reguler setiap tahun dan terdokumentasi,
3) isi kuesioner mencakup seluruh pertanyaan inti tracer study DIKTI.
4) ditargetkan pada seluruh populasi (lulusan TS-4 s.d. TS-2),
5) hasilnya disosialisasikan dan digunakan untuk pengembangan kurikulum dan pembelajaran. </t>
  </si>
  <si>
    <t>Tracer study yang dilakukan UPPS telah mencakup 5 aspek.</t>
  </si>
  <si>
    <t>Tracer study yang dilakukan UPPS telah mencakup 4 aspek.</t>
  </si>
  <si>
    <t>Tracer study yang dilakukan UPPS telah mencakup 3 aspek.</t>
  </si>
  <si>
    <t>Tracer study yang dilakukan UPPS telah mencakup 2 aspek.</t>
  </si>
  <si>
    <t>UPPS tidak melaksanakan tracer study.</t>
  </si>
  <si>
    <t>STUDI PENELUSURAN LULUSAN
TABEL REFERENSI 8.d.1)</t>
  </si>
  <si>
    <r>
      <rPr>
        <sz val="11"/>
        <color rgb="FF000000"/>
        <rFont val="Calibri"/>
        <charset val="134"/>
      </rPr>
      <t>N</t>
    </r>
    <r>
      <rPr>
        <vertAlign val="subscript"/>
        <sz val="11"/>
        <color rgb="FF000000"/>
        <rFont val="Calibri"/>
        <charset val="134"/>
      </rPr>
      <t>L4</t>
    </r>
    <r>
      <rPr>
        <sz val="11"/>
        <color rgb="FF000000"/>
        <rFont val="Calibri"/>
        <charset val="134"/>
      </rPr>
      <t xml:space="preserve"> = Jumlah lulusan pada TS-4</t>
    </r>
  </si>
  <si>
    <r>
      <rPr>
        <sz val="11"/>
        <color rgb="FF000000"/>
        <rFont val="Calibri"/>
        <charset val="134"/>
      </rPr>
      <t>N</t>
    </r>
    <r>
      <rPr>
        <vertAlign val="subscript"/>
        <sz val="11"/>
        <color rgb="FF000000"/>
        <rFont val="Calibri"/>
        <charset val="134"/>
      </rPr>
      <t>L3</t>
    </r>
    <r>
      <rPr>
        <sz val="11"/>
        <color rgb="FF000000"/>
        <rFont val="Calibri"/>
        <charset val="134"/>
      </rPr>
      <t xml:space="preserve"> = Jumlah lulusan pada TS-3</t>
    </r>
  </si>
  <si>
    <r>
      <rPr>
        <sz val="11"/>
        <color rgb="FF000000"/>
        <rFont val="Calibri"/>
        <charset val="134"/>
      </rPr>
      <t>N</t>
    </r>
    <r>
      <rPr>
        <vertAlign val="subscript"/>
        <sz val="11"/>
        <color rgb="FF000000"/>
        <rFont val="Calibri"/>
        <charset val="134"/>
      </rPr>
      <t>L2</t>
    </r>
    <r>
      <rPr>
        <sz val="11"/>
        <color rgb="FF000000"/>
        <rFont val="Calibri"/>
        <charset val="134"/>
      </rPr>
      <t xml:space="preserve"> = Jumlah lulusan pada TS-2</t>
    </r>
  </si>
  <si>
    <r>
      <rPr>
        <sz val="11"/>
        <color rgb="FF000000"/>
        <rFont val="Calibri"/>
        <charset val="134"/>
      </rPr>
      <t>N</t>
    </r>
    <r>
      <rPr>
        <vertAlign val="subscript"/>
        <sz val="11"/>
        <color rgb="FF000000"/>
        <rFont val="Calibri"/>
        <charset val="134"/>
      </rPr>
      <t>J4</t>
    </r>
    <r>
      <rPr>
        <sz val="11"/>
        <color rgb="FF000000"/>
        <rFont val="Calibri"/>
        <charset val="134"/>
      </rPr>
      <t xml:space="preserve"> = Jumlah lulusan pada TS-4 yang terlacak</t>
    </r>
  </si>
  <si>
    <r>
      <rPr>
        <sz val="11"/>
        <color rgb="FF000000"/>
        <rFont val="Calibri"/>
        <charset val="134"/>
      </rPr>
      <t>N</t>
    </r>
    <r>
      <rPr>
        <vertAlign val="subscript"/>
        <sz val="11"/>
        <color rgb="FF000000"/>
        <rFont val="Calibri"/>
        <charset val="134"/>
      </rPr>
      <t>J3</t>
    </r>
    <r>
      <rPr>
        <sz val="11"/>
        <color rgb="FF000000"/>
        <rFont val="Calibri"/>
        <charset val="134"/>
      </rPr>
      <t xml:space="preserve"> = Jumlah lulusan pada TS-3 yang terlacak</t>
    </r>
  </si>
  <si>
    <r>
      <rPr>
        <sz val="11"/>
        <color rgb="FF000000"/>
        <rFont val="Calibri"/>
        <charset val="134"/>
      </rPr>
      <t>N</t>
    </r>
    <r>
      <rPr>
        <vertAlign val="subscript"/>
        <sz val="11"/>
        <color rgb="FF000000"/>
        <rFont val="Calibri"/>
        <charset val="134"/>
      </rPr>
      <t>J3</t>
    </r>
    <r>
      <rPr>
        <sz val="11"/>
        <color rgb="FF000000"/>
        <rFont val="Calibri"/>
        <charset val="134"/>
      </rPr>
      <t xml:space="preserve"> = Jumlah lulusan pada TS-2 yang terlacak</t>
    </r>
  </si>
  <si>
    <r>
      <rPr>
        <sz val="11"/>
        <color rgb="FF000000"/>
        <rFont val="Calibri"/>
        <charset val="134"/>
      </rPr>
      <t>Kategori jumlah lulusan dalam 3 tahun (1: N</t>
    </r>
    <r>
      <rPr>
        <vertAlign val="subscript"/>
        <sz val="11"/>
        <color rgb="FF000000"/>
        <rFont val="Calibri"/>
        <charset val="134"/>
      </rPr>
      <t>L</t>
    </r>
    <r>
      <rPr>
        <sz val="11"/>
        <color rgb="FF000000"/>
        <rFont val="Calibri"/>
        <charset val="134"/>
      </rPr>
      <t xml:space="preserve"> </t>
    </r>
    <r>
      <rPr>
        <sz val="11"/>
        <color rgb="FF000000"/>
        <rFont val="Symbol"/>
        <charset val="134"/>
      </rPr>
      <t>³</t>
    </r>
    <r>
      <rPr>
        <sz val="11"/>
        <color rgb="FF000000"/>
        <rFont val="Calibri"/>
        <charset val="134"/>
      </rPr>
      <t xml:space="preserve"> 300; 2: N</t>
    </r>
    <r>
      <rPr>
        <vertAlign val="subscript"/>
        <sz val="11"/>
        <color rgb="FF000000"/>
        <rFont val="Calibri"/>
        <charset val="134"/>
      </rPr>
      <t>L</t>
    </r>
    <r>
      <rPr>
        <sz val="11"/>
        <color rgb="FF000000"/>
        <rFont val="Calibri"/>
        <charset val="134"/>
      </rPr>
      <t xml:space="preserve"> &lt; 300)</t>
    </r>
  </si>
  <si>
    <t>Persentase responden lulusan</t>
  </si>
  <si>
    <r>
      <rPr>
        <sz val="11"/>
        <color rgb="FF000000"/>
        <rFont val="Calibri"/>
        <charset val="134"/>
      </rPr>
      <t>P</t>
    </r>
    <r>
      <rPr>
        <vertAlign val="subscript"/>
        <sz val="11"/>
        <color rgb="FF000000"/>
        <rFont val="Calibri"/>
        <charset val="134"/>
      </rPr>
      <t>rmin</t>
    </r>
    <r>
      <rPr>
        <sz val="11"/>
        <color rgb="FF000000"/>
        <rFont val="Calibri"/>
        <charset val="134"/>
      </rPr>
      <t xml:space="preserve"> = Persentase responden minimum</t>
    </r>
  </si>
  <si>
    <t>Waktu tunggu lulusan untuk mendapatkan pekerjaan pertama dalam 3 tahun, mulai TS-4 s.d. TS-2.
Tabel 8.d.1) LKPS</t>
  </si>
  <si>
    <t>Thn Lulus TS-4</t>
  </si>
  <si>
    <r>
      <rPr>
        <sz val="11"/>
        <color rgb="FF000000"/>
        <rFont val="Calibri"/>
        <charset val="134"/>
      </rPr>
      <t>Jumlah lulusan dengan W</t>
    </r>
    <r>
      <rPr>
        <sz val="11"/>
        <color rgb="FF000000"/>
        <rFont val="Calibri"/>
        <charset val="134"/>
      </rPr>
      <t>T &lt; 3 bulan</t>
    </r>
  </si>
  <si>
    <r>
      <rPr>
        <sz val="11"/>
        <color rgb="FF000000"/>
        <rFont val="Calibri"/>
        <charset val="134"/>
      </rPr>
      <t>Jumlah lulusan dengan 3 bulan ≤ W</t>
    </r>
    <r>
      <rPr>
        <sz val="11"/>
        <color rgb="FF000000"/>
        <rFont val="Calibri"/>
        <charset val="134"/>
      </rPr>
      <t>T ≤ 6 bulan</t>
    </r>
  </si>
  <si>
    <r>
      <rPr>
        <sz val="11"/>
        <color rgb="FF000000"/>
        <rFont val="Calibri"/>
        <charset val="134"/>
      </rPr>
      <t>Jumlah lulusan dengan W</t>
    </r>
    <r>
      <rPr>
        <sz val="11"/>
        <color rgb="FF000000"/>
        <rFont val="Calibri"/>
        <charset val="134"/>
      </rPr>
      <t>T &gt; 6 bulan</t>
    </r>
  </si>
  <si>
    <t>Thn Lulus TS-3</t>
  </si>
  <si>
    <t>Thn Lulus TS-2</t>
  </si>
  <si>
    <t>mid1 =</t>
  </si>
  <si>
    <t>mid2 =</t>
  </si>
  <si>
    <t>mid3 =</t>
  </si>
  <si>
    <t>WT = Rata-rata masa tunggu lulusan (bulan)</t>
  </si>
  <si>
    <t>Skor Awal</t>
  </si>
  <si>
    <t>STUDI PENELUSURAN LULUSAN
TABEL REFERENSI 8.d.2)</t>
  </si>
  <si>
    <r>
      <rPr>
        <sz val="11"/>
        <color rgb="FF000000"/>
        <rFont val="Calibri"/>
        <charset val="134"/>
      </rPr>
      <t>N</t>
    </r>
    <r>
      <rPr>
        <vertAlign val="subscript"/>
        <sz val="11"/>
        <color rgb="FF000000"/>
        <rFont val="Calibri"/>
        <charset val="134"/>
      </rPr>
      <t>J2</t>
    </r>
    <r>
      <rPr>
        <sz val="11"/>
        <color rgb="FF000000"/>
        <rFont val="Calibri"/>
        <charset val="134"/>
      </rPr>
      <t xml:space="preserve"> = Jumlah lulusan pada TS-2 yang terlacak</t>
    </r>
  </si>
  <si>
    <t>Kesesuaian bidang kerja. 
Tabel 8.d.2) LKPS</t>
  </si>
  <si>
    <t>Jumlah lulusan dengan kesesuaian bidang kerja rendah</t>
  </si>
  <si>
    <t>Jumlah lulusan dengan kesesuaian bidang kerja sedang</t>
  </si>
  <si>
    <t>Jumlah lulusan dengan kesesuaian bidang kerja tinggi</t>
  </si>
  <si>
    <t>rendah</t>
  </si>
  <si>
    <t>sedang</t>
  </si>
  <si>
    <t>tinggi</t>
  </si>
  <si>
    <t>PBS = Kesesuaian bidang kerja lulusan saat mendapatkan pekerjaan pertama.</t>
  </si>
  <si>
    <t>STUDI PENELUSURAN LULUSAN
TABEL REFERENSI 8.e.1)</t>
  </si>
  <si>
    <r>
      <rPr>
        <sz val="11"/>
        <color rgb="FF000000"/>
        <rFont val="Calibri"/>
        <charset val="134"/>
      </rPr>
      <t>N</t>
    </r>
    <r>
      <rPr>
        <vertAlign val="subscript"/>
        <sz val="11"/>
        <color rgb="FF000000"/>
        <rFont val="Calibri"/>
        <charset val="134"/>
      </rPr>
      <t>J4</t>
    </r>
    <r>
      <rPr>
        <sz val="11"/>
        <color rgb="FF000000"/>
        <rFont val="Calibri"/>
        <charset val="134"/>
      </rPr>
      <t xml:space="preserve"> = Jumlah lulusan pada TS-4 yang terlacak (bekerja/berwirausaha)</t>
    </r>
  </si>
  <si>
    <r>
      <rPr>
        <sz val="11"/>
        <color rgb="FF000000"/>
        <rFont val="Calibri"/>
        <charset val="134"/>
      </rPr>
      <t>N</t>
    </r>
    <r>
      <rPr>
        <vertAlign val="subscript"/>
        <sz val="11"/>
        <color rgb="FF000000"/>
        <rFont val="Calibri"/>
        <charset val="134"/>
      </rPr>
      <t>J3</t>
    </r>
    <r>
      <rPr>
        <sz val="11"/>
        <color rgb="FF000000"/>
        <rFont val="Calibri"/>
        <charset val="134"/>
      </rPr>
      <t xml:space="preserve"> = Jumlah lulusan pada TS-3 yang terlacak (bekerja/berwirausaha)</t>
    </r>
  </si>
  <si>
    <r>
      <rPr>
        <sz val="11"/>
        <color rgb="FF000000"/>
        <rFont val="Calibri"/>
        <charset val="134"/>
      </rPr>
      <t>N</t>
    </r>
    <r>
      <rPr>
        <vertAlign val="subscript"/>
        <sz val="11"/>
        <color rgb="FF000000"/>
        <rFont val="Calibri"/>
        <charset val="134"/>
      </rPr>
      <t>J2</t>
    </r>
    <r>
      <rPr>
        <sz val="11"/>
        <color rgb="FF000000"/>
        <rFont val="Calibri"/>
        <charset val="134"/>
      </rPr>
      <t xml:space="preserve"> = Jumlah lulusan pada TS-2 yang terlacak (bekerja/berwirausaha)</t>
    </r>
  </si>
  <si>
    <t>Tingkat dan ukuran tempat kerja lulusan.
Tabel 8.e.1) LKPS</t>
  </si>
  <si>
    <t>Tahun Lulus TS-4</t>
  </si>
  <si>
    <t>NI = Jumlah lulusan yang bekerja di badan usaha tingkat multi nasional/internasional.</t>
  </si>
  <si>
    <t>NN = Jumlah lulusan yang bekerja di badan usaha tingkat nasional atau berwirausaha yang berizin.</t>
  </si>
  <si>
    <t>NW = Jumlah lulusan yang bekerja di badan usaha tingkat wilayah/lokal atau berwirausaha tidak berizin.</t>
  </si>
  <si>
    <t>Tahun Lulus TS-3</t>
  </si>
  <si>
    <t>Tahun Lulus TS-2</t>
  </si>
  <si>
    <r>
      <rPr>
        <sz val="11"/>
        <color rgb="FF000000"/>
        <rFont val="Calibri"/>
        <charset val="134"/>
      </rPr>
      <t>R</t>
    </r>
    <r>
      <rPr>
        <vertAlign val="subscript"/>
        <sz val="11"/>
        <color rgb="FF000000"/>
        <rFont val="Calibri"/>
        <charset val="134"/>
      </rPr>
      <t>I</t>
    </r>
    <r>
      <rPr>
        <sz val="11"/>
        <color rgb="FF000000"/>
        <rFont val="Calibri"/>
        <charset val="134"/>
      </rPr>
      <t xml:space="preserve"> = N</t>
    </r>
    <r>
      <rPr>
        <vertAlign val="subscript"/>
        <sz val="11"/>
        <color rgb="FF000000"/>
        <rFont val="Calibri"/>
        <charset val="134"/>
      </rPr>
      <t>I</t>
    </r>
    <r>
      <rPr>
        <sz val="11"/>
        <color rgb="FF000000"/>
        <rFont val="Calibri"/>
        <charset val="134"/>
      </rPr>
      <t xml:space="preserve"> / N</t>
    </r>
    <r>
      <rPr>
        <vertAlign val="subscript"/>
        <sz val="11"/>
        <color rgb="FF000000"/>
        <rFont val="Calibri"/>
        <charset val="134"/>
      </rPr>
      <t>L</t>
    </r>
  </si>
  <si>
    <r>
      <rPr>
        <sz val="11"/>
        <color rgb="FF000000"/>
        <rFont val="Calibri"/>
        <charset val="134"/>
      </rPr>
      <t>R</t>
    </r>
    <r>
      <rPr>
        <vertAlign val="subscript"/>
        <sz val="11"/>
        <color rgb="FF000000"/>
        <rFont val="Calibri"/>
        <charset val="134"/>
      </rPr>
      <t>N</t>
    </r>
    <r>
      <rPr>
        <sz val="11"/>
        <color rgb="FF000000"/>
        <rFont val="Calibri"/>
        <charset val="134"/>
      </rPr>
      <t xml:space="preserve"> = N</t>
    </r>
    <r>
      <rPr>
        <vertAlign val="subscript"/>
        <sz val="11"/>
        <color rgb="FF000000"/>
        <rFont val="Calibri"/>
        <charset val="134"/>
      </rPr>
      <t>N</t>
    </r>
    <r>
      <rPr>
        <sz val="11"/>
        <color rgb="FF000000"/>
        <rFont val="Calibri"/>
        <charset val="134"/>
      </rPr>
      <t xml:space="preserve"> / N</t>
    </r>
    <r>
      <rPr>
        <vertAlign val="subscript"/>
        <sz val="11"/>
        <color rgb="FF000000"/>
        <rFont val="Calibri"/>
        <charset val="134"/>
      </rPr>
      <t>L</t>
    </r>
  </si>
  <si>
    <r>
      <rPr>
        <sz val="11"/>
        <color rgb="FF000000"/>
        <rFont val="Calibri"/>
        <charset val="134"/>
      </rPr>
      <t>R</t>
    </r>
    <r>
      <rPr>
        <vertAlign val="subscript"/>
        <sz val="11"/>
        <color rgb="FF000000"/>
        <rFont val="Calibri"/>
        <charset val="134"/>
      </rPr>
      <t>W</t>
    </r>
    <r>
      <rPr>
        <sz val="11"/>
        <color rgb="FF000000"/>
        <rFont val="Calibri"/>
        <charset val="134"/>
      </rPr>
      <t xml:space="preserve"> = N</t>
    </r>
    <r>
      <rPr>
        <vertAlign val="subscript"/>
        <sz val="11"/>
        <color rgb="FF000000"/>
        <rFont val="Calibri"/>
        <charset val="134"/>
      </rPr>
      <t>W</t>
    </r>
    <r>
      <rPr>
        <sz val="11"/>
        <color rgb="FF000000"/>
        <rFont val="Calibri"/>
        <charset val="134"/>
      </rPr>
      <t xml:space="preserve"> / N</t>
    </r>
    <r>
      <rPr>
        <vertAlign val="subscript"/>
        <sz val="11"/>
        <color rgb="FF000000"/>
        <rFont val="Calibri"/>
        <charset val="134"/>
      </rPr>
      <t>L</t>
    </r>
  </si>
  <si>
    <t>STUDI PENELUSURAN LULUSAN
TABEL REFERENSI 8.e.2)</t>
  </si>
  <si>
    <r>
      <rPr>
        <sz val="11"/>
        <color rgb="FF000000"/>
        <rFont val="Calibri"/>
        <charset val="134"/>
      </rPr>
      <t>N</t>
    </r>
    <r>
      <rPr>
        <vertAlign val="subscript"/>
        <sz val="11"/>
        <color rgb="FF000000"/>
        <rFont val="Calibri"/>
        <charset val="134"/>
      </rPr>
      <t>J4</t>
    </r>
    <r>
      <rPr>
        <sz val="11"/>
        <color rgb="FF000000"/>
        <rFont val="Calibri"/>
        <charset val="134"/>
      </rPr>
      <t xml:space="preserve"> = Jumlah lulusan pada TS-4 yang dinilai oleh pengguna</t>
    </r>
  </si>
  <si>
    <r>
      <rPr>
        <sz val="11"/>
        <color rgb="FF000000"/>
        <rFont val="Calibri"/>
        <charset val="134"/>
      </rPr>
      <t>N</t>
    </r>
    <r>
      <rPr>
        <vertAlign val="subscript"/>
        <sz val="11"/>
        <color rgb="FF000000"/>
        <rFont val="Calibri"/>
        <charset val="134"/>
      </rPr>
      <t>J3</t>
    </r>
    <r>
      <rPr>
        <sz val="11"/>
        <color rgb="FF000000"/>
        <rFont val="Calibri"/>
        <charset val="134"/>
      </rPr>
      <t xml:space="preserve"> = Jumlah lulusan pada TS-3 yang dinilai oleh pengguna</t>
    </r>
  </si>
  <si>
    <r>
      <rPr>
        <sz val="11"/>
        <color rgb="FF000000"/>
        <rFont val="Calibri"/>
        <charset val="134"/>
      </rPr>
      <t>N</t>
    </r>
    <r>
      <rPr>
        <vertAlign val="subscript"/>
        <sz val="11"/>
        <color rgb="FF000000"/>
        <rFont val="Calibri"/>
        <charset val="134"/>
      </rPr>
      <t>J2</t>
    </r>
    <r>
      <rPr>
        <sz val="11"/>
        <color rgb="FF000000"/>
        <rFont val="Calibri"/>
        <charset val="134"/>
      </rPr>
      <t xml:space="preserve"> = Jumlah lulusan pada TS-2 yang dinilai oleh pengguna</t>
    </r>
  </si>
  <si>
    <t>Persentase responden pengguna lulusan</t>
  </si>
  <si>
    <t>Tingkat kepuasan pengguna lulusan.
Tabel 8.e.2) LKPS</t>
  </si>
  <si>
    <t>Etika</t>
  </si>
  <si>
    <t>TK1</t>
  </si>
  <si>
    <t>Keahlian</t>
  </si>
  <si>
    <t>TK2</t>
  </si>
  <si>
    <t>Bahasa</t>
  </si>
  <si>
    <t>TK3</t>
  </si>
  <si>
    <t>Teknologi Informasi</t>
  </si>
  <si>
    <t>TK4</t>
  </si>
  <si>
    <t>Komunikasi</t>
  </si>
  <si>
    <t>TK5</t>
  </si>
  <si>
    <t>Kerjasama</t>
  </si>
  <si>
    <t>TK6</t>
  </si>
  <si>
    <t>Pengembangan Diri</t>
  </si>
  <si>
    <t>TK7</t>
  </si>
  <si>
    <t xml:space="preserve">C.9.4.b) Luaran Dharma Penelitian dan PkM </t>
  </si>
  <si>
    <t>Publikasi ilmiah mahasiswa, yang dihasilkan secara mandiri atau bersama DTPS, dengan judul yang relevan dengan bidang program studi dalam 3 tahun terakhir.
Tabel 8.f.1) LKPS</t>
  </si>
  <si>
    <r>
      <rPr>
        <sz val="11"/>
        <color rgb="FF000000"/>
        <rFont val="Calibri"/>
        <charset val="134"/>
      </rPr>
      <t>N</t>
    </r>
    <r>
      <rPr>
        <vertAlign val="subscript"/>
        <sz val="11"/>
        <color rgb="FF000000"/>
        <rFont val="Calibri"/>
        <charset val="134"/>
      </rPr>
      <t>M</t>
    </r>
    <r>
      <rPr>
        <sz val="11"/>
        <color rgb="FF000000"/>
        <rFont val="Calibri"/>
        <charset val="134"/>
      </rPr>
      <t xml:space="preserve"> = Jumlah mahasiswa pada saat TS. </t>
    </r>
  </si>
  <si>
    <t>Luaran penelitian dan PkM yang dihasilkan mahasiswa, baik secara mandiri atau bersama DTPS dalam 3 tahun terakhir.
Tabel 8.f.4) LKPS</t>
  </si>
  <si>
    <r>
      <rPr>
        <sz val="11"/>
        <color rgb="FF000000"/>
        <rFont val="Calibri"/>
        <charset val="134"/>
      </rPr>
      <t>N</t>
    </r>
    <r>
      <rPr>
        <vertAlign val="subscript"/>
        <sz val="11"/>
        <color rgb="FF000000"/>
        <rFont val="Calibri"/>
        <charset val="134"/>
      </rPr>
      <t>LP</t>
    </r>
    <r>
      <rPr>
        <sz val="11"/>
        <color rgb="FF000000"/>
        <rFont val="Calibri"/>
        <charset val="134"/>
      </rPr>
      <t xml:space="preserve"> = (2 x (N</t>
    </r>
    <r>
      <rPr>
        <vertAlign val="subscript"/>
        <sz val="11"/>
        <color rgb="FF000000"/>
        <rFont val="Calibri"/>
        <charset val="134"/>
      </rPr>
      <t>A</t>
    </r>
    <r>
      <rPr>
        <sz val="11"/>
        <color rgb="FF000000"/>
        <rFont val="Calibri"/>
        <charset val="134"/>
      </rPr>
      <t xml:space="preserve"> + N</t>
    </r>
    <r>
      <rPr>
        <vertAlign val="subscript"/>
        <sz val="11"/>
        <color rgb="FF000000"/>
        <rFont val="Calibri"/>
        <charset val="134"/>
      </rPr>
      <t>B</t>
    </r>
    <r>
      <rPr>
        <sz val="11"/>
        <color rgb="FF000000"/>
        <rFont val="Calibri"/>
        <charset val="134"/>
      </rPr>
      <t xml:space="preserve"> + N</t>
    </r>
    <r>
      <rPr>
        <vertAlign val="subscript"/>
        <sz val="11"/>
        <color rgb="FF000000"/>
        <rFont val="Calibri"/>
        <charset val="134"/>
      </rPr>
      <t>C</t>
    </r>
    <r>
      <rPr>
        <sz val="11"/>
        <color rgb="FF000000"/>
        <rFont val="Calibri"/>
        <charset val="134"/>
      </rPr>
      <t>) + N</t>
    </r>
    <r>
      <rPr>
        <vertAlign val="subscript"/>
        <sz val="11"/>
        <color rgb="FF000000"/>
        <rFont val="Calibri"/>
        <charset val="134"/>
      </rPr>
      <t>D</t>
    </r>
    <r>
      <rPr>
        <sz val="11"/>
        <color rgb="FF000000"/>
        <rFont val="Calibri"/>
        <charset val="134"/>
      </rPr>
      <t>)</t>
    </r>
  </si>
  <si>
    <t>D  Analisis dan Penetapan Program Pengembangan
D.1 
Analisis dan Capaian Kinerja</t>
  </si>
  <si>
    <t>Keserbacakupan (kelengkapan, keluasan, dan kedalaman), ketepatan, ketajaman, dan kesesuaian analisis capaian kinerja serta konsistensi dengan setiap kriteria.</t>
  </si>
  <si>
    <t>UPPS telah melakukan analisis capaian kinerja yang: 
1) analisisnya didukung oleh data/informasi yang relevan (merujuk pada pencapaian standar mutu perguruan tinggi) dan berkualitas (andal dan memadai) yang didukung oleh keberadaan pangkalan data institusi yang terintegrasi.
2) konsisten dengan seluruh kriteria yang diuraikan sebelumnya, 
3) analisisnya dilakukan secara komprehensif, tepat, dan tajam untuk mengidentifikasi akar masalah di  UPPS.
4) hasilnya dipublikasikan kepada para pemangku kepentingan internal dan eksternal serta mudah diakses.</t>
  </si>
  <si>
    <t>UPPS telah melakukan analisis capaian kinerja yang: 
1) analisisnya didukung oleh data/informasi yang relevan (merujuk pada pencapaian standar mutu perguruan tinggi) dan berkualitas (andal dan memadai) yang didukung oleh keberadaan pangkalan data institusi yang belum terintegrasi.
2) konsisten dengan sebagian besar (7 s.d. 8) kriteria yang diuraikan sebelumnya, 
3) analisisnya dilakukan secara komprehensif dan tepat untuk mengidentifikasi akar masalah di UPPS.
4) hasilnya dipublikasikan kepada para pemangku kepentingan internal serta mudah diakses.</t>
  </si>
  <si>
    <t>UPPS telah melakukan analisis capaian kinerja yang: 
1) analisisnya didukung oleh data/informasi yang relevan (merujuk pada pencapaian standar mutu perguruan tinggi) dan berkualitas (andal dan memadai).
2) konsisten dengan sebagian (5 s.d. 6) kriteria yang diuraikan sebelumnya, 
3) analisisnya dilakukan secara komprehensif untuk mengidentifikasi akar masalah di UPPS.
4) hasilnya dipublikasikan kepada para pemangku kepentingan internal.</t>
  </si>
  <si>
    <t>UPPS telah melakukan analisis capaian kinerja yang: 
1) analisisnya tidak sepenuhnya didukung oleh data/informasi yang relevan (merujuk pada pencapaian standar mutu perguruan tinggi) dan berkualitas (andal dan memadai).
2) konsisten dengan sebagian kecil (kurang dari 5) kriteria yang diuraikan sebelumnya, 
3) analisisnya dilakukan tidak secara komprehensif untuk mengidentifikasi akar masalah di UPPS.
4) hasilnya tidak dipublikasikan.</t>
  </si>
  <si>
    <t>UPPS tidak melakukan analisis capaian kinerja.</t>
  </si>
  <si>
    <t>D.2 
Analisis SWOT atau Analisis Lain yang Relevan</t>
  </si>
  <si>
    <t>Ketepatan analisis SWOT atau analisis yang relevan di dalam mengembangkan strategi.</t>
  </si>
  <si>
    <t>UPPS melakukan analisis SWOT atau analisis lain yang relevan, serta memenuhi aspek-aspek sebagai berikut:
1) melakukan identifikasi kekuatan atau faktor pendorong, kelemahan atau faktor penghambat, peluang dan ancaman yang dihadapi UPPS dilakukan secara tepat,
2) memiliki keterkaitan dengan hasil analisis capaian kinerja,
3) merumuskan strategi pengembangan UPPS yang berkesesuaian, dan
4) menghasilkan program-program pengembangan alternatif yang tepat.</t>
  </si>
  <si>
    <t>UPPS melakukan analisis SWOT atau analisis lain yang relevan, serta memenuhi aspek-aspek sebagai berikut:
1) melakukan identifikasi kekuatan atau faktor pendorong, kelemahan atau faktor penghambat, peluang dan ancaman yang dihadapi UPPS dilakukan secara tepat,
2) memiliki keterkaitan dengan hasil analisis capaian kinerja, dan
3) merumuskan strategi pengembangan UPPS yang berkesesuaian.</t>
  </si>
  <si>
    <t>UPPS melakukan analisis SWOT atau analisis lain yang relevan, serta memenuhi aspek-aspek sebagai berikut:
1) melakukan identifikasi kekuatan atau faktor pendorong, kelemahan atau faktor penghambat, peluang dan ancaman yang dihadapi UPPS dilakukan secara tepat, dan 
2) memiliki keterkaitan dengan hasil analisis capaian kinerja.</t>
  </si>
  <si>
    <t>UPPS melakukan analisis SWOT atau analisis lain yang memenuhi aspek-aspek sebagai berikut:
1) melakukan identifikasi kekuatan atau faktor pendorong, kelemahan atau faktor penghambat, peluang dan ancaman yang dihadapi UPPS, dan
2) memiliki keterkaitan dengan hasil analisis capaian kinerja, namun tidak terstruktur dan tidak sistematis.</t>
  </si>
  <si>
    <t>UPPS tidak melakukan analisis untuk mengembangkan strategi.</t>
  </si>
  <si>
    <t>D.3
Program Pengembangan</t>
  </si>
  <si>
    <t>Ketepatan di dalam menetapkan prioritas program pengembangan.</t>
  </si>
  <si>
    <t>UPPS menetapkan prioritas program pengembangan berdasarkan hasil analisis SWOT atau analisis lainnya yang mempertimbangkan secara komprehensif:
1) kapasitas UPPS,
2) kebutuhan UPPS dan PS di masa depan,
3) rencana strategis UPPS yang berlaku,
4) aspirasi dari pemangku kepentingan internal dan eksternal, dan
5) program yang menjamin keberlanjutan.</t>
  </si>
  <si>
    <t>UPPS menetapkan prioritas program pengembangan berdasarkan hasil analisis SWOT atau analisis lainnya yang mempertimbangkan secara komprehensif:
1) kapasitas UPPS,
2) kebutuhan UPPS dan PS di masa depan,
3) rencana strategis UPPS yang berlaku, dan
4) aspirasi dari pemangku kepentingan internal.</t>
  </si>
  <si>
    <t>UPPS menetapkan prioritas program pengembangan berdasarkan hasil analisis SWOT atau analisis lainnya yang mempertimbangkan secara komprehensif:
1) kapasitas UPPS,
2) kebutuhan UPPS dan PS di masa depan, dan
3) rencana strategis UPPS yang berlaku.</t>
  </si>
  <si>
    <t>UPPS menetapkan prioritas program pengembangan namun belum mempertimbangan secara komprehensif:
1) kapasitas UPPS,
2) kebutuhan UPPS dan PS, dan
3) rencana strategis UPPS yang berlaku.</t>
  </si>
  <si>
    <t>UPPS tidak menetapkan prioritas program pengembangan.</t>
  </si>
  <si>
    <t xml:space="preserve">D.4 
Program Keberlanjutan </t>
  </si>
  <si>
    <t>UPPS memiliki kebijakan, ketersediaan sumberdaya, kemampuan melaksanakan, dan kerealistikan program.</t>
  </si>
  <si>
    <t>UPPS memiliki kebijakan dan upaya yang diturunkan ke dalam berbagai peraturan untuk menjamin keberlanjutan program yang mencakup:
1) alokasi sumber daya, 
2) kemampuan melaksanakan,
3) rencana penjaminan mutu yang berkelanjutan, dan 
4) keberadaan dukungan stakeholders eksternal.</t>
  </si>
  <si>
    <t>UPPS memiliki kebijakan dan upaya yang diturunkan ke dalam berbagai peraturan untuk menjamin keberlanjutan program yang mencakup:
1) alokasi sumber daya, 
2) kemampuan melaksanakan, dan
3) rencana penjaminan mutu yang berkelanjutan.</t>
  </si>
  <si>
    <t>UPPS memiliki kebijakan dan upaya untuk menjamin keberlanjutan program yang mencakup:
1) alokasi sumber daya, 
2) kemampuan melaksanakan, dan
3) rencana penjaminan mutu yang berkelanjutan.</t>
  </si>
  <si>
    <t>UPPS memiliki kebijakan dan upaya namun belum cukup untuk menjamin keberlanjutan program.</t>
  </si>
  <si>
    <t>UPPS tidak memiliki kebijakan dan upaya untuk menjamin keberlanjutan program.</t>
  </si>
  <si>
    <t>LAPORAN ASESMEN KECUKUPAN</t>
  </si>
  <si>
    <t>PENILAIAN ASESMEN KECUKUPAN</t>
  </si>
  <si>
    <t>Penilaian Individual</t>
  </si>
  <si>
    <t>Nilai Asesmen Kecukupan</t>
  </si>
  <si>
    <t>Nama Asesor:</t>
  </si>
  <si>
    <t>Syarat Perlu Terakreditasi</t>
  </si>
  <si>
    <t>Kode Panel:</t>
  </si>
  <si>
    <t>Syarat Perlu Peringkat Unggul</t>
  </si>
  <si>
    <t>Tanggal Penilaian:</t>
  </si>
  <si>
    <t>Syarat Perlu Peringkat Baik Sekali</t>
  </si>
  <si>
    <t>NO.</t>
  </si>
  <si>
    <t>KRITERIA/ELEMEN/INDIKATOR</t>
  </si>
  <si>
    <t>BOBOT</t>
  </si>
  <si>
    <t>SKOR x BOBOT</t>
  </si>
  <si>
    <t>SYARAT PERLU TERAKREDITASI</t>
  </si>
  <si>
    <t>SYARAT PERLU PERINGKAT 
UNGGUL</t>
  </si>
  <si>
    <t>SYARAT PERLU PERINGKAT 
BAIK SEKALI</t>
  </si>
  <si>
    <r>
      <rPr>
        <b/>
        <sz val="9"/>
        <color rgb="FF000000"/>
        <rFont val="Calibri"/>
        <charset val="134"/>
      </rPr>
      <t xml:space="preserve">A. Kondisi Eksternal
</t>
    </r>
    <r>
      <rPr>
        <sz val="9"/>
        <color rgb="FF000000"/>
        <rFont val="Calibri"/>
        <charset val="134"/>
      </rPr>
      <t>Konsistensi dengan hasil analisis SWOT dan/atau analisis lain serta rencana pengembangan ke depan.</t>
    </r>
  </si>
  <si>
    <r>
      <rPr>
        <b/>
        <sz val="9"/>
        <color rgb="FF000000"/>
        <rFont val="Calibri"/>
        <charset val="134"/>
      </rPr>
      <t xml:space="preserve">B. Profil Unit Pengelola Program Studi
</t>
    </r>
    <r>
      <rPr>
        <sz val="9"/>
        <color rgb="FF000000"/>
        <rFont val="Calibri"/>
        <charset val="134"/>
      </rPr>
      <t>Keserbacakupan informasi dalam profil dan konsistensi antara profil dengan data dan informasi yang disampaikan pada masing-masing kriteria, serta menunjukkan iklim yang kondusif untuk pengembangan dan reputasi sebagai rujukan di bidang keilmuannya.</t>
    </r>
  </si>
  <si>
    <r>
      <rPr>
        <b/>
        <sz val="9"/>
        <color rgb="FF000000"/>
        <rFont val="Calibri"/>
        <charset val="134"/>
      </rPr>
      <t>C. Kriteria
C.1. Visi, Misi, Tujuan dan Strategi</t>
    </r>
    <r>
      <rPr>
        <sz val="9"/>
        <color rgb="FF000000"/>
        <rFont val="Calibri"/>
        <charset val="134"/>
      </rPr>
      <t xml:space="preserve">
C.1.4. Indikator Kinerja Utama
Kesesuaian Visi, Misi, Tujuan dan Strategi (VMTS) Unit Pengelola Program Studi (UPPS) terhadap VMTS Perguruan Tinggi (PT) dan visi keilmuan Program Studi (PS) yang dikelolanya.</t>
    </r>
  </si>
  <si>
    <r>
      <rPr>
        <b/>
        <sz val="9"/>
        <color rgb="FF000000"/>
        <rFont val="Calibri"/>
        <charset val="134"/>
      </rPr>
      <t>C.2. Tata Pamong, Tata Kelola dan Kerjasama</t>
    </r>
    <r>
      <rPr>
        <sz val="9"/>
        <color rgb="FF000000"/>
        <rFont val="Calibri"/>
        <charset val="134"/>
      </rPr>
      <t xml:space="preserve">
C.2.4. Indikator Kinerja Utama
C.2.4.a) Sistem Tata Pamong
A. Kelengkapan struktur organisasi dan keefektifan penyelenggaraan organisasi.
B. Perwujudan good governance dan pemenuhan lima pilar sistem tata pamong, yang mencakup: 1) Kredibel, 2) Transparan, 3) Akuntabel, 4) Bertanggung jawab, 5) Adil.</t>
    </r>
  </si>
  <si>
    <t xml:space="preserve">C.2.4.b) Kepemimpinan dan Kemampuan Manajerial
A. Komitmen pimpinan UPPS.
B. Kapabilitas pimpinan UPPS, mencakup aspek: 1) perencanaan, 2) pengorganisasian, 3) penempatan personel, 4) pelaksanaan, 5) pengendalian dan pengawasan, dan 6) pelaporan yang menjadi dasar tindak lanjut. </t>
  </si>
  <si>
    <t>C.2.4.c) Kerjasama
Mutu, manfaat, kepuasan dan keberlanjutan kerjasama pendidikan, penelitian dan PkM yang relevan dengan program studi. UPPS memiliki bukti yang sahih terkait kerjasama yang ada telah memenuhi 3 aspek berikut: 1) memberikan manfaat bagi program studi dalam pemenuhan proses pembelajaran, penelitian, PkM. 2) memberikan peningkatan kinerja tridharma dan fasilitas pendukung program studi. 3) memberikan kepuasan kepada mitra industri dan mitra kerjasama lainnya, serta menjamin keberlanjutan kerjasama dan hasilnya.</t>
  </si>
  <si>
    <t xml:space="preserve">A. Kerjasama pendidikan, penelitian, dan PkM yang relevan dengan program studi dan dikelola oleh UPPS dalam 3 tahun terakhir.
B. Kerjasama tingkat internasional, nasional, wilayah/lokal yang relevan dengan program studi dan dikelola oleh UPPS dalam 3 tahun terakhir.
Tabel 1 LKPS </t>
  </si>
  <si>
    <t>C.2.5 Indikator Kinerja Tambahan
Pelampauan SN-DIKTI (indikator kinerja tambahan) yang ditetapkan oleh UPPS pada tiap kriteria.</t>
  </si>
  <si>
    <t>C.2.6 Evaluasi Capaian Kinerja
Analisis keberhasilan dan/atau ketidakberhasilan pencapaian kinerja UPPS yang telah ditetapkan di tiap kriteria memenuhi 2 aspek sebagai berikut: 1) capaian kinerja diukur dengan metoda yang tepat, dan hasilnya dianalisis serta dievaluasi, dan 2) analisis terhadap capaian kinerja mencakup identifikasi akar masalah, faktor pendukung keberhasilan dan faktor penghambat ketercapaian standard, dan deskripsi singkat tindak lanjut yang akan dilakukan.</t>
  </si>
  <si>
    <t>C.2.7. Penjaminan Mutu
Keterlaksanaan Sistem Penjaminan Mutu Internal (akademik dan nonakademik) yang dibuktikan dengan keberadaan 5 aspek: 1) dokumen legal pembentukan unsur pelaksana penjaminan mutu, 2) ketersediaan dokumen mutu: kebijakan SPMI, manual SPMI, standar SPMI, dan formulir SPMI, 3) terlaksananya siklus penjaminan mutu (siklus PPEPP), 4) bukti sahih efektivitas pelaksanaan penjaminan mutu, dan 5) memiliki external benchmarking dalam peningkatan mutu.</t>
  </si>
  <si>
    <t>Skor min. = 2,0</t>
  </si>
  <si>
    <t>C.2.8. Kepuasan Pemangku Kepentingan
Pengukuran kepuasan layanan manajemen terhadap para pemangku kepentingan: mahasiswa, dosen, tenaga kependidikan, lulusan, pengguna dan mitra yang memenuhi aspek-aspek berikut: 1) menggunakan instrumen kepuasan yang sahih, andal, mudah digunakan, 2) dilaksanakan secara berkala, serta datanya terekam secara komprehensif, 
3) dianalisis dengan metode yang tepat serta bermanfaat untuk pengambilan keputusan, 4) tingkat kepuasan dan umpan balik ditindaklanjuti untuk perbaikan dan peningkatan mutu luaran secara berkala dan tersistem, 5) dilakukan review terhadap pelaksanaan pengukuran kepuasan dosen dan mahasiswa, serta 6) hasilnya dipublikasikan dan mudah diakses oleh dosen dan mahasiswa.</t>
  </si>
  <si>
    <r>
      <rPr>
        <b/>
        <sz val="9"/>
        <color rgb="FF000000"/>
        <rFont val="Calibri"/>
        <charset val="134"/>
      </rPr>
      <t>C.3. Mahasiswa</t>
    </r>
    <r>
      <rPr>
        <sz val="9"/>
        <color rgb="FF000000"/>
        <rFont val="Calibri"/>
        <charset val="134"/>
      </rPr>
      <t xml:space="preserve">
C.3.4. Indikator Kinerja Utama
C.3.4.a) Kualitas Input Mahasiswa
A. Metoda rekrutmen dan keketatan seleksi.
Tabel 2.a LKPS
</t>
    </r>
  </si>
  <si>
    <t>C.3.4.b) Daya Tarik Program Studi
A. Peningkatan animo calon mahasiswa.
Tabel 2.a LKPS
B. Mahasiswa asing
Tabel 2.b LKPS</t>
  </si>
  <si>
    <t>C.3.4.c) Layanan Kemahasiswaan
A. Ketersediaan layanan kemahasiswaan di bidang: 1) penalaran, minat dan bakat, 2) kesejahteraan (bimbingan dan konseling, layanan beasiswa, dan layanan kesehatan), dan 3) bimbingan karir dan kewirausahaan.
B. Akses dan mutu layanan kemahasiswaan.</t>
  </si>
  <si>
    <r>
      <rPr>
        <b/>
        <sz val="9"/>
        <color rgb="FF000000"/>
        <rFont val="Calibri"/>
        <charset val="134"/>
      </rPr>
      <t>C.4. Sumber Daya Manusia</t>
    </r>
    <r>
      <rPr>
        <sz val="9"/>
        <color rgb="FF000000"/>
        <rFont val="Calibri"/>
        <charset val="134"/>
      </rPr>
      <t xml:space="preserve">
C.4.4. Indikator Kinerja Utama
C.4.4.a) Profil Dosen
Kecukupan jumlah DTPS.
Tabel 3.a.1) LKPS</t>
    </r>
  </si>
  <si>
    <t>Skor min. = 3,5</t>
  </si>
  <si>
    <t>Skor min. = 3,0</t>
  </si>
  <si>
    <t>Rasio jumlah mahasiswa program studi terhadap jumlah DTPS.
Tabel 2.a LKPS
Tabel 3.a.1) LKPS</t>
  </si>
  <si>
    <t>C.4.4.b) Kinerja Dosen
Pengakuan/rekognisi atas kepakaran/prestasi/kinerja DTPS.
Tabel 3.b.1) LKPS</t>
  </si>
  <si>
    <t>C.4.4.c) Pengembangan Dosen
Upaya pengembangan dosen.</t>
  </si>
  <si>
    <t xml:space="preserve">C.4.4.d) Tenaga Kependidikan
A. Kualifikasi dan kecukupan tenaga kependidikan berdasarkan jenis pekerjaannya (administrasi, pustakawan, teknisi, dll.)
B. Kualifikasi dan kecukupan laboran untuk mendukung proses pembelajaran sesuai dengan kebutuhan program studi. </t>
  </si>
  <si>
    <r>
      <rPr>
        <b/>
        <sz val="9"/>
        <color rgb="FF000000"/>
        <rFont val="Calibri"/>
        <charset val="134"/>
      </rPr>
      <t>C.5. Keuangan, Sarana dan Prasarana</t>
    </r>
    <r>
      <rPr>
        <sz val="9"/>
        <color rgb="FF000000"/>
        <rFont val="Calibri"/>
        <charset val="134"/>
      </rPr>
      <t xml:space="preserve">
C.5.4. Indikator Kinerja Utama
C.5.4.a) Keuangan
Biaya operasional pendidikan.
Tabel 4 LKPS</t>
    </r>
  </si>
  <si>
    <t>Realisasi investasi (SDM, sarana dan prasarana) yang mendukung penyelenggaraan tridharma.</t>
  </si>
  <si>
    <t>C.5.4.b) Sarana dan Prasarana
Kecukupan, aksesibilitas dan mutu sarana dan prasarana untuk menjamin pencapaian capaian pembelajaran dan meningkatkan suasana akademik.</t>
  </si>
  <si>
    <r>
      <rPr>
        <b/>
        <sz val="9"/>
        <color rgb="FF000000"/>
        <rFont val="Calibri"/>
        <charset val="134"/>
      </rPr>
      <t>C.6. Pendidikan</t>
    </r>
    <r>
      <rPr>
        <sz val="9"/>
        <color rgb="FF000000"/>
        <rFont val="Calibri"/>
        <charset val="134"/>
      </rPr>
      <t xml:space="preserve">
C.6.4. Indikator Kinerja Utama
C.6.4.a) Kurikulum
A. Keterlibatan pemangku kepentingan dalam proses evaluasi dan pemutakhiran kurikulum.
B. Kesesuaian capaian pembelajaran dengan profil lulusan dan jenjang KKNI/SKKNI.
C. Ketepatan struktur kurikulum dalam pembentukan capaian pembelajaran.</t>
    </r>
  </si>
  <si>
    <t>C.6.4.b) Karakteristik Proses Pembelajaran
Pemenuhan karakteristik proses pembelajaran, yang terdiri atas sifat: 1) interaktif, 2) holistik, 3) integratif, 4) saintifik, 5) kontekstual, 6) tematik, 7) efektif, 8) kolaboratif, dan 9) berpusat pada mahasiswa.</t>
  </si>
  <si>
    <t>C.6.4.c) Rencana Proses Pembelajaran
A. Ketersediaan dan kelengkapan dokumen rencana pembelajaran semester (RPS).
B. Kedalaman dan keluasan RPS sesuai dengan capaian pembelajaran lulusan.</t>
  </si>
  <si>
    <t>C.6.4.d) Pelaksanaan Proses Pembelajaran
A. Bentuk interaksi antara dosen, mahasiswa dan sumber belajar.
B. Pemantauan kesesuaian proses terhadap rencana pembelajaran.
C. Proses pembelajaran yang terkait dengan penelitian harus mengacu SN Dikti Penelitian: 1) hasil penelitian: harus memenuhi pengembangan IPTEKS, meningkatkan kesejahteraan masyarakat, dan daya saing bangsa. 2) isi penelitian: memenuhi kedalaman dan keluasan materi penelitian sesuai capaian pembelajaran. 3) proses penelitian: mencakup perencanaan, pelaksanaan, dan pelaporan. 4) penilaian penelitian memenuhi unsur edukatif, obyektif, akuntabel, dan transparan.
D. Proses pembelajaran yang terkait dengan PkM harus mengacu SN Dikti PkM: 1) hasil PkM: harus memenuhi pengembangan IPTEKS, meningkatkan kesejahteraan masyarakat, dan daya saing bangsa. 2) isi PkM: memenuhi kedalaman dan keluasan materi PkM sesuai capaian pembelajaran. 3) proses PkM:  mencakup perencanaan, pelaksanaan, dan pelaporan. 4) penilaian PkM memenuhi unsur edukatif, obyektif, akuntabel, dan transparan.
E. Kesesuaian metode pembelajaran dengan capaian pembelajaran. Contoh: RBE (research based education), IBE (industry based education), teaching factory/teaching industry, dll.</t>
  </si>
  <si>
    <t>C.6.4.e) Monitoring dan Evaluasi Proses Pembelajaran
Monitoring dan evaluasi pelaksanaan proses pembelajaran mencakup karakteristik, perencanaan, pelaksanaan, proses pembelajaran dan beban belajar mahasiswa untuk memperoleh capaian pembelajaran lulusan.</t>
  </si>
  <si>
    <t>C.6.4.f) Penilaian Pembelajaran
A. Mutu pelaksanaan penilaian pembelajaran (proses dan hasil belajar mahasiswa) untuk mengukur ketercapaian capaian pembelajaran berdasarkan prinsip penilaian yang mencakup:1) edukatif, 2) otentik, 3) objektif, 4) akuntabel, dan 5) transparan, yang dilakukan secara terintegrasi.
B. Pelaksanaan penilaian terdiri atas teknik dan instrumen penilaian. Teknik penilaian terdiri dari: 1) observasi, 2) partisipasi, 3) unjuk kerja, 4) test tertulis, 5) test lisan, dan 6) angket. Instrumen penilaian terdiri dari: 1) penilaian proses dalam bentuk rubrik, dan/ atau, 2) penilaian hasil dalam bentuk portofolio, atau 3) karya disain.
C. Pelaksanaan penilaian memuat unsur-unsur sebagai berikut: 1) mempunyai kontrak rencana penilaian, 2) melaksanakan penilaian sesuai kontrak atau kesepakatan, 3) memberikan umpan balik dan memberi kesempatan untuk mempertanyakan hasil kepada mahasiswa, 4) mempunyai dokumentasi penilaian proses dan hasil belajar mahasiswa, 5) mempunyai prosedur yang mencakup tahap perencanaan, kegiatan pemberian tugas atau soal, observasi kinerja, pengembalian hasil observasi, dan pemberian nilai akhir, 6) pelaporan penilaian berupa kualifikasi keberhasilan mahasiswa dalam menempuh suatu mata kuliah dalam bentuk huruf dan angka, 7) mempunyai bukti-bukti rencana dan telah melakukan proses perbaikan berdasar hasil monev penilaian.</t>
  </si>
  <si>
    <t>C.6.4.g) Integrasi kegiatan penelitian dan PkM dalam pembelajaran
Integrasi kegiatan penelitian dan PkM dalam pembelajaran oleh DTPS dalam 3 tahun terakhir.
Tabel 5.b LKPS</t>
  </si>
  <si>
    <t>C.6.4.h) Suasana Akademik
Keterlaksanaan dan keberkalaan program dan kegiatan diluar kegiatan pembelajaran terstruktur untuk meningkatkan suasana akademik.
Contoh: kegiatan himpunan mahasiswa, kuliah umum/studium generale, seminar ilmiah, bedah buku.</t>
  </si>
  <si>
    <t>C.6.4.i) Kepuasan Mahasiswa
A. Tingkat kepuasan mahasiswa terhadap proses pendidikan.
Tabel 5.c LKPS
B. Analisis dan tindak lanjut dari hasil pengukuran kepuasan mahasiswa.</t>
  </si>
  <si>
    <r>
      <rPr>
        <b/>
        <sz val="9"/>
        <color rgb="FF000000"/>
        <rFont val="Calibri"/>
        <charset val="134"/>
      </rPr>
      <t>C.7. Penelitian</t>
    </r>
    <r>
      <rPr>
        <sz val="9"/>
        <color rgb="FF000000"/>
        <rFont val="Calibri"/>
        <charset val="134"/>
      </rPr>
      <t xml:space="preserve">
C.7.4. Indikator Kinerja Utama
C.7.4.a) Relevansi Penelitian
Relevansi penelitian pada UPPS mencakup unsur-unsur sebagai berikut: 1) memiliki peta jalan yang memayungi tema penelitian dosen dan mahasiswa, 2) dosen dan mahasiswa melaksanakan penelitian sesuai dengan agenda penelitian dosen yang merujuk kepada peta jalan penelitian, 3) melakukan evaluasi kesesuaian penelitian dosen dan mahasiswa dengan peta jalan, dan 4) menggunakan hasil evaluasi untuk perbaikan relevansi penelitian dan pengembangan keilmuan program studi.</t>
    </r>
  </si>
  <si>
    <t>C.7.4.b) Penelitian Dosen dan Mahasiswa
Penelitian DTPS yang dalam pelaksanaannya melibatkan mahasiswa program studi dalam 3 tahun terakhir.
Tabel 6.a LKPS</t>
  </si>
  <si>
    <r>
      <rPr>
        <b/>
        <sz val="9"/>
        <color rgb="FF000000"/>
        <rFont val="Calibri"/>
        <charset val="134"/>
      </rPr>
      <t>C.8. Pengabdian kepada Masyarakat</t>
    </r>
    <r>
      <rPr>
        <sz val="9"/>
        <color rgb="FF000000"/>
        <rFont val="Calibri"/>
        <charset val="134"/>
      </rPr>
      <t xml:space="preserve">
C.8.4. Indikator Kinerja Utama
C.8.4.a) Relevansi PkM
Relevansi PkM pada UPPS mencakup unsur-unsur sebagai berikut: 1) memiliki peta jalan yang memayungi tema PkM dosen dan mahasiswa serta hilirisasi/penerapan keilmuan program studi, 2) dosen dan mahasiswa melaksanakan PkM sesuai dengan peta jalan PkM, 3) melakukan evaluasi kesesuaian PkM dosen dan mahasiswa dengan peta jalan, dan 4) menggunakan hasil evaluasi untuk perbaikan relevansi PkM dan pengembangan keilmuan program studi.</t>
    </r>
  </si>
  <si>
    <t>C.8.4.b) PkM Dosen dan Mahasiswa
PkM DTPS yang dalam pelaksanaannya melibatkan mahasiswa program studi dalam 3 tahun terakhir.
Tabel 7 LKPS</t>
  </si>
  <si>
    <r>
      <rPr>
        <b/>
        <sz val="9"/>
        <color rgb="FF000000"/>
        <rFont val="Calibri"/>
        <charset val="134"/>
      </rPr>
      <t>C.9. Luaran dan Capaian Tridharma</t>
    </r>
    <r>
      <rPr>
        <sz val="9"/>
        <color rgb="FF000000"/>
        <rFont val="Calibri"/>
        <charset val="134"/>
      </rPr>
      <t xml:space="preserve">
C.9.4. Indikator Kinerja Utama
C.9.4.a) Luaran Dharma  Pendidikan
Analisis pemenuhan capaian pembelajaran lulusan (CPL) yang diukur dengan metoda yang sahih dan relevan, mencakup aspek: 1) keserbacakupan, 
2) kedalaman, dan 3) kebermanfaatan analisis yang ditunjukkan dengan peningkatan CPL dari waktu ke waktu dalam 3 tahun terakhir.</t>
    </r>
  </si>
  <si>
    <t xml:space="preserve">Pelaksanaan tracer study yang mencakup 5 aspek sebagai berikut: 1) pelaksanaan tracer study terkoordinasi di tingkat PT, 2) kegiatan tracer study dilakukan secara reguler setiap tahun dan terdokumentasi, 3) isi kuesioner mencakup seluruh pertanyaan inti tracer study DIKTI, 4) ditargetkan pada seluruh populasi (lulusan TS-4 s.d. TS-2), dan 5) hasilnya disosialisasikan dan digunakan untuk pengembangan kurikulum dan pembelajaran. </t>
  </si>
  <si>
    <t>Waktu tunggu.
Tabel 8.d.1) LKPS</t>
  </si>
  <si>
    <t>C.9.4.b) Luaran Dharma Penelitian dan PkM 
Publikasi ilmiah mahasiswa, yang dihasilkan secara mandiri atau bersama DTPS, dengan judul yang relevan dengan bidang program studi dalam 3 tahun terakhir.
Tabel 8.f.1) LKPS</t>
  </si>
  <si>
    <r>
      <rPr>
        <b/>
        <sz val="9"/>
        <color rgb="FF000000"/>
        <rFont val="Calibri"/>
        <charset val="134"/>
      </rPr>
      <t xml:space="preserve">D  Analisis dan Penetapan Program Pengembangan
D.1 
Analisis dan Capaian Kinerja
</t>
    </r>
    <r>
      <rPr>
        <sz val="9"/>
        <color rgb="FF000000"/>
        <rFont val="Calibri"/>
        <charset val="134"/>
      </rPr>
      <t>Keserbacakupan (kelengkapan, keluasan, dan kedalaman), ketepatan, ketajaman, dan kesesuaian analisis capaian kinerja serta konsistensi dengan setiap kriteria.</t>
    </r>
  </si>
  <si>
    <r>
      <rPr>
        <b/>
        <sz val="9"/>
        <color rgb="FF000000"/>
        <rFont val="Calibri"/>
        <charset val="134"/>
      </rPr>
      <t xml:space="preserve">D.2 
Analisis SWOT atau Analisis Lain yang Relevan
</t>
    </r>
    <r>
      <rPr>
        <sz val="9"/>
        <color rgb="FF000000"/>
        <rFont val="Calibri"/>
        <charset val="134"/>
      </rPr>
      <t>Ketepatan analisis SWOT atau analisis yang relevan di dalam mengembangkan strategi.</t>
    </r>
  </si>
  <si>
    <r>
      <rPr>
        <b/>
        <sz val="9"/>
        <color rgb="FF000000"/>
        <rFont val="Calibri"/>
        <charset val="134"/>
      </rPr>
      <t xml:space="preserve">D.3
Program Pengembangan
</t>
    </r>
    <r>
      <rPr>
        <sz val="9"/>
        <color rgb="FF000000"/>
        <rFont val="Calibri"/>
        <charset val="134"/>
      </rPr>
      <t>Ketepatan di dalam menetapkan prioritas program pengembangan.</t>
    </r>
  </si>
  <si>
    <r>
      <rPr>
        <b/>
        <sz val="9"/>
        <color rgb="FF000000"/>
        <rFont val="Calibri"/>
        <charset val="134"/>
      </rPr>
      <t xml:space="preserve">D.4 
Program Keberlanjutan
</t>
    </r>
    <r>
      <rPr>
        <sz val="9"/>
        <color rgb="FF000000"/>
        <rFont val="Calibri"/>
        <charset val="134"/>
      </rPr>
      <t>UPPS memiliki kebijakan, ketersediaan sumberdaya, kemampuan melaksanakan, dan kerealistikan program.</t>
    </r>
  </si>
  <si>
    <t>ttd</t>
  </si>
  <si>
    <t>ca</t>
  </si>
  <si>
    <t>LIST INDIKATOR PENILAIAN YANG BERNILAI RENDAH</t>
  </si>
  <si>
    <t>No</t>
  </si>
  <si>
    <t>Indikator Penilaian</t>
  </si>
  <si>
    <t>Catatan:</t>
  </si>
  <si>
    <t xml:space="preserve">Kapabilitas pimpinan UPPS, mencakup aspek: 1) perencanaan, 2) pengorganisasian, 3) penempatan personel, 4) pelaksanaan, 5) pengendalian dan pengawasan, dan 6) pelaporan yang menjadi dasar tindak lanjut. </t>
  </si>
  <si>
    <r>
      <t xml:space="preserve">Pimpinan UPPS mampu melaksanakan 6 fungsi manajemen secara efektif, tapi </t>
    </r>
    <r>
      <rPr>
        <b/>
        <sz val="11"/>
        <color rgb="FFFF0000"/>
        <rFont val="Calibri"/>
        <family val="2"/>
        <scheme val="minor"/>
      </rPr>
      <t>belum: 1) mengantisipasi dan menyelesaikan masalah pada situasi yang tidak terduga,
2) melakukan inovasi untuk menghasilkan nilai tambah.</t>
    </r>
  </si>
  <si>
    <t>Tidak ada Doktor</t>
  </si>
  <si>
    <t>tidak ada Lektor</t>
  </si>
  <si>
    <t>Rasio 1:29</t>
  </si>
  <si>
    <t>PKM hanya 9 buah, dengan pembiayaan Mandiri</t>
  </si>
  <si>
    <t>Tidak ada luaran PKM</t>
  </si>
  <si>
    <t>Kualifikasi dan kecukupan laboran untuk mendukung proses pembelajaran sesuai dengan kebutuhan program studi.</t>
  </si>
  <si>
    <r>
      <t>UPPS memiliki jumlah laboran yang cukup terhadap jumlah laboratorium yang digunakan program studi dan kualifikasinya sesuai dengan laboratorium yang menjadi tanggungjawabnya,</t>
    </r>
    <r>
      <rPr>
        <b/>
        <sz val="11"/>
        <color rgb="FFFF0000"/>
        <rFont val="Calibri"/>
        <family val="2"/>
        <scheme val="minor"/>
      </rPr>
      <t xml:space="preserve"> tapi belum memiliki sertifikat</t>
    </r>
    <r>
      <rPr>
        <sz val="11"/>
        <color rgb="FF000000"/>
        <rFont val="Calibri"/>
        <charset val="134"/>
      </rPr>
      <t xml:space="preserve"> </t>
    </r>
    <r>
      <rPr>
        <b/>
        <sz val="11"/>
        <color rgb="FFFF0000"/>
        <rFont val="Calibri"/>
        <family val="2"/>
        <scheme val="minor"/>
      </rPr>
      <t>kompetensi</t>
    </r>
  </si>
  <si>
    <r>
      <rPr>
        <b/>
        <sz val="11"/>
        <color rgb="FFFF0000"/>
        <rFont val="Calibri"/>
        <family val="2"/>
        <scheme val="minor"/>
      </rPr>
      <t xml:space="preserve">Rp. 856.061 </t>
    </r>
    <r>
      <rPr>
        <sz val="11"/>
        <color rgb="FF000000"/>
        <rFont val="Calibri"/>
        <charset val="134"/>
      </rPr>
      <t>/ dosen/ dalam 3 tahun</t>
    </r>
  </si>
  <si>
    <r>
      <rPr>
        <b/>
        <sz val="11"/>
        <color rgb="FFFF0000"/>
        <rFont val="Calibri"/>
        <family val="2"/>
        <scheme val="minor"/>
      </rPr>
      <t>Rp. 211.515</t>
    </r>
    <r>
      <rPr>
        <sz val="11"/>
        <color rgb="FF000000"/>
        <rFont val="Calibri"/>
        <charset val="134"/>
      </rPr>
      <t xml:space="preserve"> / dosen / dalam 3 tahun </t>
    </r>
  </si>
  <si>
    <r>
      <t xml:space="preserve">Persentase realisasi dana untuk investasi SDM serta Sarana dan Prasarana telah sesuai dengan perencanaan investasi serta memenuhi standar pembelajaran, penelitian dan PkM, </t>
    </r>
    <r>
      <rPr>
        <b/>
        <sz val="11"/>
        <color rgb="FFFF0000"/>
        <rFont val="Calibri"/>
        <family val="2"/>
        <scheme val="minor"/>
      </rPr>
      <t>belum melebihi standar pembelajaran, penelitian dan PkM untuk mendukung terciptanya suasana akademik yang sehat dan kondusif.</t>
    </r>
  </si>
  <si>
    <t>Keterlibatan pemangku kepentingan dalam proses evaluasi dan pemutakhiran kurikulum.</t>
  </si>
  <si>
    <r>
      <t>Evaluasi dan pemutakhiran kurikulum melibatkan pemangku kepentingan internal, tapi</t>
    </r>
    <r>
      <rPr>
        <b/>
        <sz val="11"/>
        <color rgb="FFFF0000"/>
        <rFont val="Calibri"/>
        <family val="2"/>
        <scheme val="minor"/>
      </rPr>
      <t xml:space="preserve"> belum secara berkala tiap 4 s.d. 5 tahun yang melibatkan pemangku kepentingan internal dan eksternal, serta direview oleh pakar bidang ilmu program studi, industri, asosiasi, serta sesuai perkembangan ipteks dan kebutuhan pengguna. </t>
    </r>
  </si>
  <si>
    <t>Kesesuaian capaian pembelajaran dengan profil lulusan dan jenjang KKNI/SKKNI.</t>
  </si>
  <si>
    <r>
      <t>Capaian pembelajaran diturunkan dari profil lulusan dan memenuhi level KKNI, tapi</t>
    </r>
    <r>
      <rPr>
        <b/>
        <sz val="11"/>
        <color rgb="FFFF0000"/>
        <rFont val="Calibri"/>
        <family val="2"/>
        <scheme val="minor"/>
      </rPr>
      <t xml:space="preserve"> belum mengacu pada hasil kesepakatan dengan asosiasi penyelenggara program studi sejenis dan organisasi profesi, serta dimutakhirkan secara berkala tiap 4 s.d. 5 tahun sesuai perkembangan ipteks dan kebutuhan pengguna.  </t>
    </r>
  </si>
  <si>
    <t>Kesesuaian metode pembelajaran dengan capaian pembelajaran. Contoh: RBE (research based education), IBE (industry based education), teaching factory/teaching industry, dll.</t>
  </si>
  <si>
    <r>
      <t>UPPS telah melakukan analisis capaian kinerja yang: 
1) analisisnya didukung oleh data/informasi yang relevan (merujuk pada pencapaian standar mutu perguruan tinggi) dan berkualitas (andal dan memadai).
2) konsisten dengan sebagian (5 s.d. 6) kriteria yang diuraikan sebelumnya, 
3) analisisnya dilakukan secara komprehensif untuk mengidentifikasi akar masalah di UPPS.
4) hasilnya dipublikasikan kepada para pemangku kepentingan internal.,</t>
    </r>
    <r>
      <rPr>
        <b/>
        <sz val="11"/>
        <color rgb="FFFF0000"/>
        <rFont val="Calibri"/>
        <family val="2"/>
        <scheme val="minor"/>
      </rPr>
      <t xml:space="preserve"> tapi hasilnya belum dipublikasikan ke pihak eksternal serta mudah di akses</t>
    </r>
  </si>
  <si>
    <r>
      <t xml:space="preserve">UPPS menetapkan prioritas program pengembangan berdasarkan hasil analisis SWOT atau analisis lainnya yang mempertimbangkan secara komprehensif:
1) kapasitas UPPS,
2) kebutuhan UPPS dan PS di masa depan, dan
3) rencana strategis UPPS yang berlaku, tapi </t>
    </r>
    <r>
      <rPr>
        <b/>
        <sz val="11"/>
        <color rgb="FFFF0000"/>
        <rFont val="Calibri"/>
        <family val="2"/>
        <scheme val="minor"/>
      </rPr>
      <t>belum mempertimbangkan 4) aspirasi dari pemangku kepentingan internal dan eksternal, dan
5) program yang menjamin keberlanjutan.</t>
    </r>
  </si>
  <si>
    <t>Teknik Pertambangan</t>
  </si>
  <si>
    <t>Institut Teknologi Sumatera</t>
  </si>
  <si>
    <t>Jurusan Teknologi Produksi dan Industri</t>
  </si>
  <si>
    <r>
      <rPr>
        <b/>
        <sz val="11"/>
        <color rgb="FFFF0000"/>
        <rFont val="Calibri"/>
        <family val="2"/>
        <scheme val="minor"/>
      </rPr>
      <t>Rp. 839.534</t>
    </r>
    <r>
      <rPr>
        <sz val="11"/>
        <color rgb="FF000000"/>
        <rFont val="Calibri"/>
        <charset val="134"/>
      </rPr>
      <t xml:space="preserve"> / mahasiswa / dalam 3 tahun</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</si>
</sst>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1" formatCode="_-* #,##0_-;\-* #,##0_-;_-* &quot;-&quot;_-;_-@_-"/>
    <numFmt numFmtId="164" formatCode="[$-409]d\-mmm\-yyyy;@"/>
    <numFmt numFmtId="165" formatCode="0.0%"/>
    <numFmt numFmtId="166" formatCode="_(* #,##0.00_);_(* \(#,##0.00\);_(* &quot;-&quot;??_);_(@_)"/>
    <numFmt numFmtId="167" formatCode="0.0"/>
  </numFmts>
  <fonts count="37">
    <font>
      <sz val="11"/>
      <color rgb="FF000000"/>
      <name val="Calibri"/>
      <charset val="134"/>
    </font>
    <font>
      <sz val="10"/>
      <color rgb="FF000000"/>
      <name val="Calibri"/>
      <charset val="134"/>
    </font>
    <font>
      <sz val="9"/>
      <color rgb="FF000000"/>
      <name val="Calibri"/>
      <charset val="134"/>
    </font>
    <font>
      <sz val="12"/>
      <color rgb="FF000000"/>
      <name val="Calibri"/>
      <charset val="134"/>
    </font>
    <font>
      <b/>
      <sz val="11"/>
      <color rgb="FF000000"/>
      <name val="Calibri"/>
      <charset val="134"/>
    </font>
    <font>
      <b/>
      <u/>
      <sz val="11"/>
      <color rgb="FF000000"/>
      <name val="Calibri"/>
      <charset val="134"/>
    </font>
    <font>
      <b/>
      <sz val="10"/>
      <color rgb="FF000000"/>
      <name val="Calibri"/>
      <charset val="134"/>
    </font>
    <font>
      <b/>
      <sz val="9"/>
      <color rgb="FF000000"/>
      <name val="Calibri"/>
      <charset val="134"/>
    </font>
    <font>
      <b/>
      <sz val="11"/>
      <color rgb="FFFFFFFF"/>
      <name val="Calibri"/>
      <charset val="134"/>
    </font>
    <font>
      <b/>
      <sz val="12"/>
      <color rgb="FF000000"/>
      <name val="Calibri"/>
      <charset val="134"/>
    </font>
    <font>
      <u/>
      <sz val="11"/>
      <color rgb="FF000000"/>
      <name val="Calibri"/>
      <charset val="134"/>
    </font>
    <font>
      <sz val="11"/>
      <color rgb="FFFFFFFF"/>
      <name val="Calibri"/>
      <charset val="134"/>
    </font>
    <font>
      <sz val="9"/>
      <color rgb="FF000000"/>
      <name val="Arial"/>
      <charset val="134"/>
    </font>
    <font>
      <sz val="18"/>
      <color rgb="FF000000"/>
      <name val="Calibri"/>
      <charset val="134"/>
    </font>
    <font>
      <b/>
      <sz val="16"/>
      <color rgb="FFFFFFFF"/>
      <name val="Calibri"/>
      <charset val="134"/>
    </font>
    <font>
      <b/>
      <sz val="22"/>
      <color rgb="FF000000"/>
      <name val="Calibri"/>
      <charset val="134"/>
    </font>
    <font>
      <b/>
      <sz val="26"/>
      <color rgb="FFFFFFFF"/>
      <name val="Calibri"/>
      <charset val="134"/>
    </font>
    <font>
      <b/>
      <sz val="18"/>
      <color rgb="FF000000"/>
      <name val="Calibri"/>
      <charset val="134"/>
    </font>
    <font>
      <sz val="14"/>
      <color rgb="FF92D050"/>
      <name val="Calibri"/>
      <charset val="134"/>
    </font>
    <font>
      <sz val="14"/>
      <color rgb="FF000000"/>
      <name val="Calibri"/>
      <charset val="134"/>
    </font>
    <font>
      <sz val="11"/>
      <color rgb="FFFFFF00"/>
      <name val="Calibri"/>
      <charset val="134"/>
    </font>
    <font>
      <b/>
      <sz val="18"/>
      <color rgb="FFFFFFFF"/>
      <name val="Calibri"/>
      <charset val="134"/>
    </font>
    <font>
      <b/>
      <sz val="14"/>
      <color rgb="FFFFFFFF"/>
      <name val="Calibri"/>
      <charset val="134"/>
    </font>
    <font>
      <b/>
      <sz val="18"/>
      <color rgb="FF008080"/>
      <name val="Calibri"/>
      <charset val="134"/>
    </font>
    <font>
      <b/>
      <sz val="14"/>
      <color rgb="FF008080"/>
      <name val="Calibri"/>
      <charset val="134"/>
    </font>
    <font>
      <b/>
      <sz val="18"/>
      <color rgb="FFFFFF00"/>
      <name val="Calibri"/>
      <charset val="134"/>
    </font>
    <font>
      <b/>
      <sz val="12"/>
      <color rgb="FFFFFFFF"/>
      <name val="Calibri"/>
      <charset val="134"/>
    </font>
    <font>
      <b/>
      <sz val="12"/>
      <color rgb="FFFFFF00"/>
      <name val="Calibri"/>
      <charset val="134"/>
    </font>
    <font>
      <i/>
      <sz val="11"/>
      <color rgb="FF000000"/>
      <name val="Calibri"/>
      <charset val="134"/>
    </font>
    <font>
      <vertAlign val="subscript"/>
      <sz val="11"/>
      <color rgb="FF000000"/>
      <name val="Calibri"/>
      <charset val="134"/>
    </font>
    <font>
      <sz val="11"/>
      <color rgb="FF000000"/>
      <name val="Symbol"/>
      <charset val="134"/>
    </font>
    <font>
      <b/>
      <sz val="9"/>
      <color rgb="FF000000"/>
      <name val="Tahoma"/>
      <charset val="134"/>
    </font>
    <font>
      <sz val="9"/>
      <color rgb="FF000000"/>
      <name val="Tahoma"/>
      <charset val="134"/>
    </font>
    <font>
      <sz val="11"/>
      <color rgb="FF000000"/>
      <name val="Calibri"/>
      <family val="2"/>
    </font>
    <font>
      <b/>
      <sz val="16"/>
      <color theme="1"/>
      <name val="Calibri"/>
      <family val="2"/>
      <scheme val="minor"/>
    </font>
    <font>
      <b/>
      <sz val="11"/>
      <color theme="1"/>
      <name val="Calibri"/>
      <family val="2"/>
      <scheme val="minor"/>
    </font>
    <font>
      <b/>
      <sz val="11"/>
      <color rgb="FFFF0000"/>
      <name val="Calibri"/>
      <family val="2"/>
      <scheme val="minor"/>
    </font>
  </fonts>
  <fills count="19">
    <fill>
      <patternFill patternType="none"/>
    </fill>
    <fill>
      <patternFill patternType="gray125"/>
    </fill>
    <fill>
      <patternFill patternType="solid">
        <fgColor rgb="FFD8D8D8"/>
        <bgColor rgb="FFFFFFFF"/>
      </patternFill>
    </fill>
    <fill>
      <patternFill patternType="solid">
        <fgColor rgb="FFBFBFBF"/>
        <bgColor rgb="FFFFFFFF"/>
      </patternFill>
    </fill>
    <fill>
      <patternFill patternType="solid">
        <fgColor rgb="FF0070C0"/>
        <bgColor rgb="FFFFFFFF"/>
      </patternFill>
    </fill>
    <fill>
      <patternFill patternType="solid">
        <fgColor rgb="FFFFFFFF"/>
        <bgColor rgb="FFFFFFFF"/>
      </patternFill>
    </fill>
    <fill>
      <patternFill patternType="solid">
        <fgColor rgb="FFF79646"/>
        <bgColor rgb="FFFFFFFF"/>
      </patternFill>
    </fill>
    <fill>
      <patternFill patternType="solid">
        <fgColor rgb="FF388194"/>
        <bgColor rgb="FFFFFFFF"/>
      </patternFill>
    </fill>
    <fill>
      <patternFill patternType="solid">
        <fgColor rgb="FF00B050"/>
        <bgColor rgb="FFFFFFFF"/>
      </patternFill>
    </fill>
    <fill>
      <patternFill patternType="solid">
        <fgColor rgb="FFFFFF00"/>
        <bgColor rgb="FFFFFFFF"/>
      </patternFill>
    </fill>
    <fill>
      <patternFill patternType="solid">
        <fgColor rgb="FFFFFF00"/>
        <bgColor indexed="64"/>
      </patternFill>
    </fill>
    <fill>
      <patternFill patternType="solid">
        <fgColor rgb="FF00FF00"/>
        <bgColor rgb="FFFFFFFF"/>
      </patternFill>
    </fill>
    <fill>
      <patternFill patternType="solid">
        <fgColor rgb="FF000000"/>
        <bgColor rgb="FFFFFFFF"/>
      </patternFill>
    </fill>
    <fill>
      <patternFill patternType="solid">
        <fgColor rgb="FFDAEEF3"/>
        <bgColor rgb="FFFFFFFF"/>
      </patternFill>
    </fill>
    <fill>
      <patternFill patternType="solid">
        <fgColor rgb="FF66FF33"/>
        <bgColor rgb="FFFFFFFF"/>
      </patternFill>
    </fill>
    <fill>
      <patternFill patternType="solid">
        <fgColor rgb="FF008080"/>
        <bgColor rgb="FFFFFFFF"/>
      </patternFill>
    </fill>
    <fill>
      <patternFill patternType="solid">
        <fgColor rgb="FFFBD4B4"/>
        <bgColor rgb="FFFFFFFF"/>
      </patternFill>
    </fill>
    <fill>
      <patternFill patternType="solid">
        <fgColor rgb="FFEAF1DD"/>
        <bgColor rgb="FFFFFFFF"/>
      </patternFill>
    </fill>
    <fill>
      <patternFill patternType="solid">
        <fgColor rgb="FFFF0000"/>
        <bgColor rgb="FF000000"/>
      </patternFill>
    </fill>
  </fills>
  <borders count="55">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top style="medium">
        <color rgb="FF000000"/>
      </top>
      <bottom style="medium">
        <color rgb="FF000000"/>
      </bottom>
      <diagonal/>
    </border>
    <border>
      <left/>
      <right style="thin">
        <color rgb="FF000000"/>
      </right>
      <top style="medium">
        <color rgb="FF000000"/>
      </top>
      <bottom style="medium">
        <color rgb="FF000000"/>
      </bottom>
      <diagonal/>
    </border>
    <border>
      <left style="thin">
        <color rgb="FF000000"/>
      </left>
      <right style="medium">
        <color rgb="FF000000"/>
      </right>
      <top style="medium">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style="thin">
        <color rgb="FF000000"/>
      </right>
      <top style="medium">
        <color rgb="FF000000"/>
      </top>
      <bottom/>
      <diagonal/>
    </border>
    <border>
      <left style="thin">
        <color rgb="FF000000"/>
      </left>
      <right style="thin">
        <color rgb="FF000000"/>
      </right>
      <top style="medium">
        <color rgb="FF000000"/>
      </top>
      <bottom/>
      <diagonal/>
    </border>
    <border>
      <left style="thin">
        <color rgb="FF000000"/>
      </left>
      <right/>
      <top style="medium">
        <color rgb="FF000000"/>
      </top>
      <bottom style="thin">
        <color rgb="FF000000"/>
      </bottom>
      <diagonal/>
    </border>
    <border>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bottom/>
      <diagonal/>
    </border>
    <border>
      <left style="thin">
        <color rgb="FF000000"/>
      </left>
      <right style="thin">
        <color rgb="FF000000"/>
      </right>
      <top/>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bottom style="medium">
        <color rgb="FF000000"/>
      </bottom>
      <diagonal/>
    </border>
    <border>
      <left style="thin">
        <color rgb="FF000000"/>
      </left>
      <right style="thin">
        <color rgb="FF000000"/>
      </right>
      <top/>
      <bottom style="medium">
        <color rgb="FF000000"/>
      </bottom>
      <diagonal/>
    </border>
    <border>
      <left style="thin">
        <color rgb="FF000000"/>
      </left>
      <right/>
      <top style="thin">
        <color rgb="FF000000"/>
      </top>
      <bottom style="medium">
        <color rgb="FF000000"/>
      </bottom>
      <diagonal/>
    </border>
    <border>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right/>
      <top style="medium">
        <color rgb="FF000000"/>
      </top>
      <bottom style="medium">
        <color rgb="FF000000"/>
      </bottom>
      <diagonal/>
    </border>
    <border>
      <left/>
      <right/>
      <top style="medium">
        <color rgb="FF000000"/>
      </top>
      <bottom/>
      <diagonal/>
    </border>
    <border>
      <left/>
      <right style="thin">
        <color rgb="FF000000"/>
      </right>
      <top style="medium">
        <color rgb="FF000000"/>
      </top>
      <bottom/>
      <diagonal/>
    </border>
    <border>
      <left/>
      <right style="medium">
        <color rgb="FF000000"/>
      </right>
      <top style="thin">
        <color rgb="FF000000"/>
      </top>
      <bottom style="thin">
        <color rgb="FF000000"/>
      </bottom>
      <diagonal/>
    </border>
    <border>
      <left style="thin">
        <color rgb="FF000000"/>
      </left>
      <right/>
      <top/>
      <bottom style="thin">
        <color rgb="FF000000"/>
      </bottom>
      <diagonal/>
    </border>
    <border>
      <left/>
      <right style="thin">
        <color rgb="FF000000"/>
      </right>
      <top/>
      <bottom/>
      <diagonal/>
    </border>
    <border>
      <left style="thin">
        <color rgb="FF000000"/>
      </left>
      <right style="medium">
        <color rgb="FF000000"/>
      </right>
      <top/>
      <bottom style="thin">
        <color rgb="FF000000"/>
      </bottom>
      <diagonal/>
    </border>
    <border>
      <left/>
      <right style="thin">
        <color rgb="FF000000"/>
      </right>
      <top/>
      <bottom style="medium">
        <color rgb="FF000000"/>
      </bottom>
      <diagonal/>
    </border>
    <border>
      <left style="thin">
        <color rgb="FF000000"/>
      </left>
      <right style="thin">
        <color rgb="FF000000"/>
      </right>
      <top style="thin">
        <color rgb="FF000000"/>
      </top>
      <bottom/>
      <diagonal/>
    </border>
    <border>
      <left style="thin">
        <color rgb="FF000000"/>
      </left>
      <right style="medium">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medium">
        <color rgb="FF000000"/>
      </top>
      <bottom/>
      <diagonal/>
    </border>
    <border>
      <left style="thin">
        <color rgb="FF000000"/>
      </left>
      <right style="thin">
        <color rgb="FF000000"/>
      </right>
      <top style="thin">
        <color rgb="FF000000"/>
      </top>
      <bottom style="medium">
        <color rgb="FF000000"/>
      </bottom>
      <diagonal/>
    </border>
    <border>
      <left/>
      <right style="medium">
        <color rgb="FF000000"/>
      </right>
      <top style="thin">
        <color rgb="FF000000"/>
      </top>
      <bottom style="medium">
        <color rgb="FF000000"/>
      </bottom>
      <diagonal/>
    </border>
    <border>
      <left/>
      <right/>
      <top/>
      <bottom style="medium">
        <color rgb="FF000000"/>
      </bottom>
      <diagonal/>
    </border>
    <border>
      <left style="thin">
        <color rgb="FF000000"/>
      </left>
      <right style="thin">
        <color rgb="FF000000"/>
      </right>
      <top style="medium">
        <color rgb="FF000000"/>
      </top>
      <bottom style="thin">
        <color rgb="FF000000"/>
      </bottom>
      <diagonal/>
    </border>
    <border>
      <left/>
      <right style="medium">
        <color rgb="FF000000"/>
      </right>
      <top/>
      <bottom style="thin">
        <color rgb="FF000000"/>
      </bottom>
      <diagonal/>
    </border>
    <border>
      <left/>
      <right style="thin">
        <color rgb="FF000000"/>
      </right>
      <top style="thin">
        <color rgb="FF000000"/>
      </top>
      <bottom style="thin">
        <color rgb="FF000000"/>
      </bottom>
      <diagonal/>
    </border>
    <border>
      <left/>
      <right style="medium">
        <color rgb="FF000000"/>
      </right>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style="medium">
        <color rgb="FF000000"/>
      </bottom>
      <diagonal/>
    </border>
    <border>
      <left style="thin">
        <color rgb="FF000000"/>
      </left>
      <right style="medium">
        <color rgb="FF000000"/>
      </right>
      <top/>
      <bottom style="medium">
        <color rgb="FF000000"/>
      </bottom>
      <diagonal/>
    </border>
    <border>
      <left/>
      <right style="thin">
        <color rgb="FF000000"/>
      </right>
      <top/>
      <bottom style="thin">
        <color rgb="FF000000"/>
      </bottom>
      <diagonal/>
    </border>
    <border>
      <left style="thin">
        <color rgb="FF000000"/>
      </left>
      <right style="medium">
        <color rgb="FF000000"/>
      </right>
      <top style="medium">
        <color rgb="FF000000"/>
      </top>
      <bottom style="medium">
        <color rgb="FF000000"/>
      </bottom>
      <diagonal/>
    </border>
    <border>
      <left/>
      <right style="medium">
        <color rgb="FF000000"/>
      </right>
      <top style="thin">
        <color rgb="FF000000"/>
      </top>
      <bottom/>
      <diagonal/>
    </border>
    <border>
      <left/>
      <right/>
      <top style="thin">
        <color rgb="FF000000"/>
      </top>
      <bottom style="medium">
        <color rgb="FF000000"/>
      </bottom>
      <diagonal/>
    </border>
    <border>
      <left style="thin">
        <color rgb="FF000000"/>
      </left>
      <right/>
      <top/>
      <bottom/>
      <diagonal/>
    </border>
    <border>
      <left style="medium">
        <color rgb="FF000000"/>
      </left>
      <right style="thin">
        <color rgb="FF000000"/>
      </right>
      <top style="medium">
        <color rgb="FF000000"/>
      </top>
      <bottom style="thin">
        <color rgb="FF000000"/>
      </bottom>
      <diagonal/>
    </border>
    <border>
      <left style="medium">
        <color rgb="FF000000"/>
      </left>
      <right/>
      <top style="thin">
        <color rgb="FF000000"/>
      </top>
      <bottom style="thin">
        <color rgb="FF000000"/>
      </bottom>
      <diagonal/>
    </border>
    <border>
      <left style="medium">
        <color rgb="FF000000"/>
      </left>
      <right/>
      <top style="thin">
        <color rgb="FF000000"/>
      </top>
      <bottom style="medium">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47">
    <xf numFmtId="0" fontId="0" fillId="0" borderId="0" xfId="0" applyFill="1"/>
    <xf numFmtId="0" fontId="1" fillId="0" borderId="0" xfId="0" applyFont="1" applyFill="1"/>
    <xf numFmtId="0" fontId="2" fillId="0" borderId="0" xfId="0" applyFont="1" applyFill="1"/>
    <xf numFmtId="0" fontId="3" fillId="0" borderId="0" xfId="0" applyFont="1" applyFill="1"/>
    <xf numFmtId="0" fontId="3" fillId="0" borderId="0" xfId="0" applyFont="1" applyFill="1" applyAlignment="1">
      <alignment horizontal="center"/>
    </xf>
    <xf numFmtId="0" fontId="3" fillId="0" borderId="0" xfId="0" applyFont="1" applyFill="1" applyAlignment="1">
      <alignment wrapText="1"/>
    </xf>
    <xf numFmtId="0" fontId="3" fillId="0" borderId="0" xfId="0" applyFont="1" applyFill="1" applyAlignment="1">
      <alignment horizontal="center" vertical="center"/>
    </xf>
    <xf numFmtId="0" fontId="4" fillId="0" borderId="0" xfId="0" applyFont="1" applyFill="1" applyAlignment="1">
      <alignment horizontal="center" vertical="center"/>
    </xf>
    <xf numFmtId="0" fontId="0" fillId="0" borderId="0" xfId="0" applyFill="1" applyAlignment="1">
      <alignment horizontal="left" vertical="center"/>
    </xf>
    <xf numFmtId="0" fontId="0" fillId="0" borderId="0" xfId="0" applyFill="1" applyAlignment="1">
      <alignment horizontal="center"/>
    </xf>
    <xf numFmtId="0" fontId="0" fillId="0" borderId="0" xfId="0" applyFill="1" applyAlignment="1">
      <alignment wrapText="1"/>
    </xf>
    <xf numFmtId="0" fontId="0" fillId="0" borderId="0" xfId="0" applyFill="1" applyAlignment="1" applyProtection="1">
      <alignment wrapText="1"/>
      <protection locked="0"/>
    </xf>
    <xf numFmtId="0" fontId="0" fillId="0" borderId="0" xfId="0" applyFill="1" applyAlignment="1" applyProtection="1">
      <alignment horizontal="center" vertical="center"/>
      <protection locked="0"/>
    </xf>
    <xf numFmtId="0" fontId="0" fillId="0" borderId="0" xfId="0" applyFill="1" applyAlignment="1">
      <alignment vertical="top"/>
    </xf>
    <xf numFmtId="0" fontId="0" fillId="0" borderId="0" xfId="0" applyFill="1" applyAlignment="1" applyProtection="1">
      <alignment vertical="top"/>
      <protection locked="0"/>
    </xf>
    <xf numFmtId="0" fontId="0" fillId="0" borderId="0" xfId="0" applyFill="1" applyAlignment="1">
      <alignment vertical="center"/>
    </xf>
    <xf numFmtId="0" fontId="0" fillId="0" borderId="0" xfId="0" applyFill="1" applyAlignment="1" applyProtection="1">
      <alignment horizontal="left" vertical="top" wrapText="1"/>
      <protection locked="0"/>
    </xf>
    <xf numFmtId="164" fontId="0" fillId="0" borderId="0" xfId="0" applyNumberFormat="1" applyFill="1" applyAlignment="1" applyProtection="1">
      <alignment horizontal="left" vertical="top" wrapText="1"/>
      <protection locked="0"/>
    </xf>
    <xf numFmtId="0" fontId="0" fillId="0" borderId="0" xfId="0" applyFill="1" applyAlignment="1" applyProtection="1">
      <alignment horizontal="center"/>
      <protection locked="0"/>
    </xf>
    <xf numFmtId="0" fontId="6" fillId="2" borderId="1" xfId="0" applyFont="1" applyFill="1" applyBorder="1" applyAlignment="1">
      <alignment horizontal="center" vertical="center" wrapText="1"/>
    </xf>
    <xf numFmtId="0" fontId="2" fillId="0" borderId="1" xfId="0" applyFont="1" applyFill="1" applyBorder="1" applyAlignment="1">
      <alignment horizontal="center" vertical="top"/>
    </xf>
    <xf numFmtId="0" fontId="7" fillId="0" borderId="1" xfId="0" applyFont="1" applyFill="1" applyBorder="1" applyAlignment="1">
      <alignment horizontal="left" vertical="top" wrapText="1"/>
    </xf>
    <xf numFmtId="0" fontId="2" fillId="0" borderId="1" xfId="0" applyFont="1" applyFill="1" applyBorder="1" applyAlignment="1">
      <alignment horizontal="left" vertical="top"/>
    </xf>
    <xf numFmtId="2" fontId="2" fillId="0" borderId="1" xfId="0" applyNumberFormat="1" applyFont="1" applyFill="1" applyBorder="1" applyAlignment="1">
      <alignment horizontal="center" vertical="top"/>
    </xf>
    <xf numFmtId="2" fontId="2" fillId="0" borderId="0" xfId="0" applyNumberFormat="1" applyFont="1" applyFill="1"/>
    <xf numFmtId="0" fontId="2" fillId="0" borderId="1" xfId="0" applyFont="1" applyFill="1" applyBorder="1" applyAlignment="1">
      <alignment vertical="top" wrapText="1"/>
    </xf>
    <xf numFmtId="0" fontId="2" fillId="0" borderId="1" xfId="0" applyFont="1" applyFill="1" applyBorder="1" applyAlignment="1">
      <alignment horizontal="left" vertical="top" wrapText="1"/>
    </xf>
    <xf numFmtId="0" fontId="2" fillId="3" borderId="1" xfId="0" applyFont="1" applyFill="1" applyBorder="1" applyAlignment="1">
      <alignment horizontal="left" vertical="top" wrapText="1"/>
    </xf>
    <xf numFmtId="2" fontId="2" fillId="0" borderId="1" xfId="0" applyNumberFormat="1" applyFont="1" applyFill="1" applyBorder="1" applyAlignment="1" applyProtection="1">
      <alignment horizontal="center" vertical="top"/>
      <protection locked="0"/>
    </xf>
    <xf numFmtId="0" fontId="2" fillId="0" borderId="1" xfId="0" applyFont="1" applyFill="1" applyBorder="1" applyAlignment="1" applyProtection="1">
      <alignment horizontal="left" vertical="top"/>
      <protection locked="0"/>
    </xf>
    <xf numFmtId="0" fontId="4" fillId="0" borderId="0" xfId="0" applyFont="1" applyFill="1" applyAlignment="1">
      <alignment vertical="center"/>
    </xf>
    <xf numFmtId="0" fontId="0" fillId="0" borderId="0" xfId="0" applyFill="1" applyAlignment="1">
      <alignment horizontal="center" vertical="center"/>
    </xf>
    <xf numFmtId="0" fontId="7" fillId="5" borderId="1" xfId="0" applyFont="1" applyFill="1" applyBorder="1" applyAlignment="1">
      <alignment horizontal="left" vertical="top" wrapText="1"/>
    </xf>
    <xf numFmtId="0" fontId="0" fillId="0" borderId="0" xfId="0" applyFill="1" applyAlignment="1">
      <alignment horizontal="left" vertical="top" wrapText="1"/>
    </xf>
    <xf numFmtId="0" fontId="0" fillId="0" borderId="0" xfId="0" applyFill="1" applyAlignment="1" applyProtection="1">
      <alignment horizontal="center" vertical="top" wrapText="1"/>
      <protection locked="0"/>
    </xf>
    <xf numFmtId="0" fontId="0" fillId="0" borderId="0" xfId="0" applyFill="1" applyAlignment="1">
      <alignment horizontal="center" vertical="top" wrapText="1"/>
    </xf>
    <xf numFmtId="0" fontId="9" fillId="0" borderId="0" xfId="0" applyFont="1" applyFill="1" applyAlignment="1">
      <alignment horizontal="center" vertical="center"/>
    </xf>
    <xf numFmtId="0" fontId="9" fillId="7" borderId="0" xfId="0" applyFont="1" applyFill="1" applyAlignment="1">
      <alignment vertical="center"/>
    </xf>
    <xf numFmtId="0" fontId="8" fillId="8" borderId="4" xfId="0" applyFont="1" applyFill="1" applyBorder="1" applyAlignment="1">
      <alignment horizontal="center" vertical="center" wrapText="1"/>
    </xf>
    <xf numFmtId="0" fontId="8" fillId="8" borderId="5" xfId="0" applyFont="1" applyFill="1" applyBorder="1" applyAlignment="1">
      <alignment horizontal="center" vertical="center" wrapText="1"/>
    </xf>
    <xf numFmtId="0" fontId="8" fillId="8" borderId="8" xfId="0" applyFont="1" applyFill="1" applyBorder="1" applyAlignment="1">
      <alignment horizontal="center" vertical="center" wrapText="1"/>
    </xf>
    <xf numFmtId="0" fontId="8" fillId="8" borderId="9" xfId="0" applyFont="1" applyFill="1" applyBorder="1" applyAlignment="1">
      <alignment horizontal="center" vertical="center" wrapText="1"/>
    </xf>
    <xf numFmtId="2" fontId="0" fillId="9" borderId="14" xfId="0" applyNumberFormat="1" applyFill="1" applyBorder="1" applyAlignment="1">
      <alignment horizontal="center" vertical="center"/>
    </xf>
    <xf numFmtId="0" fontId="0" fillId="10" borderId="1" xfId="0" applyFill="1" applyBorder="1" applyAlignment="1">
      <alignment vertical="center" wrapText="1"/>
    </xf>
    <xf numFmtId="0" fontId="0" fillId="0" borderId="1" xfId="0" applyFill="1" applyBorder="1" applyAlignment="1">
      <alignment horizontal="center" vertical="center" wrapText="1"/>
    </xf>
    <xf numFmtId="0" fontId="0" fillId="0" borderId="1" xfId="0" applyFill="1" applyBorder="1" applyAlignment="1">
      <alignment vertical="center" wrapText="1"/>
    </xf>
    <xf numFmtId="1" fontId="0" fillId="0" borderId="17" xfId="0" applyNumberFormat="1" applyFill="1" applyBorder="1" applyAlignment="1" applyProtection="1">
      <alignment horizontal="center" vertical="center"/>
      <protection locked="0"/>
    </xf>
    <xf numFmtId="2" fontId="0" fillId="0" borderId="17" xfId="0" applyNumberFormat="1" applyFill="1" applyBorder="1" applyAlignment="1" applyProtection="1">
      <alignment horizontal="center" vertical="center"/>
      <protection locked="0"/>
    </xf>
    <xf numFmtId="2" fontId="0" fillId="3" borderId="22" xfId="0" applyNumberFormat="1" applyFill="1" applyBorder="1" applyAlignment="1">
      <alignment horizontal="center" vertical="center"/>
    </xf>
    <xf numFmtId="0" fontId="10" fillId="0" borderId="23" xfId="0" applyFont="1" applyFill="1" applyBorder="1" applyAlignment="1">
      <alignment horizontal="center" vertical="center"/>
    </xf>
    <xf numFmtId="0" fontId="0" fillId="0" borderId="23" xfId="0" applyFill="1" applyBorder="1" applyAlignment="1">
      <alignment horizontal="left" vertical="center"/>
    </xf>
    <xf numFmtId="2" fontId="0" fillId="0" borderId="23" xfId="0" applyNumberFormat="1" applyFill="1" applyBorder="1" applyAlignment="1">
      <alignment horizontal="center" vertical="center"/>
    </xf>
    <xf numFmtId="0" fontId="0" fillId="10" borderId="0" xfId="0" applyFill="1" applyAlignment="1">
      <alignment vertical="center" wrapText="1"/>
    </xf>
    <xf numFmtId="0" fontId="0" fillId="0" borderId="0" xfId="0" applyFill="1" applyAlignment="1">
      <alignment vertical="center" wrapText="1"/>
    </xf>
    <xf numFmtId="0" fontId="0" fillId="9" borderId="24" xfId="0" applyFill="1" applyBorder="1" applyAlignment="1" applyProtection="1">
      <alignment horizontal="left" vertical="top" wrapText="1"/>
      <protection locked="0"/>
    </xf>
    <xf numFmtId="0" fontId="0" fillId="0" borderId="2" xfId="0" applyFill="1" applyBorder="1" applyAlignment="1">
      <alignment horizontal="center" vertical="center" wrapText="1"/>
    </xf>
    <xf numFmtId="0" fontId="0" fillId="5" borderId="1" xfId="0" applyFill="1" applyBorder="1" applyAlignment="1">
      <alignment vertical="top" wrapText="1"/>
    </xf>
    <xf numFmtId="1" fontId="0" fillId="0" borderId="26" xfId="0" applyNumberFormat="1" applyFill="1" applyBorder="1" applyAlignment="1" applyProtection="1">
      <alignment horizontal="center" vertical="center"/>
      <protection locked="0"/>
    </xf>
    <xf numFmtId="2" fontId="0" fillId="0" borderId="26" xfId="0" applyNumberFormat="1" applyFill="1" applyBorder="1" applyAlignment="1" applyProtection="1">
      <alignment horizontal="center" vertical="center"/>
      <protection locked="0"/>
    </xf>
    <xf numFmtId="0" fontId="0" fillId="0" borderId="27" xfId="0" applyFill="1" applyBorder="1" applyAlignment="1">
      <alignment horizontal="left" vertical="center" wrapText="1"/>
    </xf>
    <xf numFmtId="2" fontId="0" fillId="9" borderId="29" xfId="0" applyNumberFormat="1" applyFill="1" applyBorder="1" applyAlignment="1">
      <alignment horizontal="center" vertical="center"/>
    </xf>
    <xf numFmtId="0" fontId="0" fillId="0" borderId="1" xfId="0" applyFill="1" applyBorder="1" applyAlignment="1">
      <alignment vertical="top" wrapText="1"/>
    </xf>
    <xf numFmtId="2" fontId="0" fillId="3" borderId="36" xfId="0" applyNumberFormat="1" applyFill="1" applyBorder="1" applyAlignment="1">
      <alignment horizontal="center" vertical="center"/>
    </xf>
    <xf numFmtId="0" fontId="0" fillId="0" borderId="37" xfId="0" applyFill="1" applyBorder="1" applyAlignment="1">
      <alignment horizontal="left" vertical="center"/>
    </xf>
    <xf numFmtId="2" fontId="0" fillId="0" borderId="14" xfId="0" applyNumberFormat="1" applyFill="1" applyBorder="1" applyAlignment="1" applyProtection="1">
      <alignment horizontal="center" vertical="center"/>
      <protection locked="0"/>
    </xf>
    <xf numFmtId="0" fontId="0" fillId="3" borderId="39" xfId="0" applyFill="1" applyBorder="1" applyAlignment="1">
      <alignment horizontal="center" vertical="center"/>
    </xf>
    <xf numFmtId="1" fontId="0" fillId="0" borderId="0" xfId="0" applyNumberFormat="1" applyFill="1" applyAlignment="1">
      <alignment vertical="center"/>
    </xf>
    <xf numFmtId="2" fontId="0" fillId="11" borderId="39" xfId="0" applyNumberFormat="1" applyFill="1" applyBorder="1" applyAlignment="1">
      <alignment horizontal="center" vertical="center"/>
    </xf>
    <xf numFmtId="0" fontId="0" fillId="0" borderId="0" xfId="0" applyFill="1" applyAlignment="1">
      <alignment horizontal="right" vertical="center"/>
    </xf>
    <xf numFmtId="0" fontId="11" fillId="12" borderId="1" xfId="0" applyFont="1" applyFill="1" applyBorder="1" applyAlignment="1">
      <alignment horizontal="left" vertical="center" wrapText="1"/>
    </xf>
    <xf numFmtId="2" fontId="11" fillId="12" borderId="17" xfId="0" applyNumberFormat="1" applyFont="1" applyFill="1" applyBorder="1" applyAlignment="1">
      <alignment horizontal="center" vertical="center"/>
    </xf>
    <xf numFmtId="10" fontId="0" fillId="0" borderId="0" xfId="0" applyNumberFormat="1" applyFill="1" applyAlignment="1">
      <alignment vertical="center"/>
    </xf>
    <xf numFmtId="2" fontId="0" fillId="0" borderId="41" xfId="0" applyNumberFormat="1" applyFill="1" applyBorder="1" applyAlignment="1">
      <alignment horizontal="center" vertical="center"/>
    </xf>
    <xf numFmtId="0" fontId="0" fillId="3" borderId="17" xfId="0" applyFill="1" applyBorder="1" applyAlignment="1">
      <alignment horizontal="center" vertical="center"/>
    </xf>
    <xf numFmtId="1" fontId="11" fillId="12" borderId="1" xfId="0" applyNumberFormat="1" applyFont="1" applyFill="1" applyBorder="1" applyAlignment="1">
      <alignment horizontal="left" vertical="center"/>
    </xf>
    <xf numFmtId="0" fontId="11" fillId="12" borderId="42" xfId="0" applyFont="1" applyFill="1" applyBorder="1" applyAlignment="1">
      <alignment horizontal="left" vertical="center" wrapText="1"/>
    </xf>
    <xf numFmtId="0" fontId="11" fillId="12" borderId="43" xfId="0" applyFont="1" applyFill="1" applyBorder="1" applyAlignment="1">
      <alignment horizontal="left" vertical="center" wrapText="1"/>
    </xf>
    <xf numFmtId="0" fontId="11" fillId="12" borderId="17" xfId="0" applyFont="1" applyFill="1" applyBorder="1" applyAlignment="1">
      <alignment horizontal="center" vertical="center"/>
    </xf>
    <xf numFmtId="0" fontId="12" fillId="0" borderId="0" xfId="0" applyFont="1" applyFill="1" applyAlignment="1">
      <alignment vertical="center" wrapText="1"/>
    </xf>
    <xf numFmtId="2" fontId="0" fillId="12" borderId="17" xfId="0" applyNumberFormat="1" applyFill="1" applyBorder="1" applyAlignment="1">
      <alignment horizontal="center" vertical="center"/>
    </xf>
    <xf numFmtId="2" fontId="0" fillId="3" borderId="45" xfId="0" applyNumberFormat="1" applyFill="1" applyBorder="1" applyAlignment="1">
      <alignment horizontal="center" vertical="center"/>
    </xf>
    <xf numFmtId="0" fontId="0" fillId="0" borderId="0" xfId="0" applyFill="1" applyAlignment="1">
      <alignment horizontal="left" vertical="top"/>
    </xf>
    <xf numFmtId="2" fontId="0" fillId="0" borderId="14" xfId="0" applyNumberFormat="1" applyFill="1" applyBorder="1" applyAlignment="1">
      <alignment horizontal="center" vertical="center"/>
    </xf>
    <xf numFmtId="0" fontId="0" fillId="0" borderId="2" xfId="0" applyFill="1" applyBorder="1" applyAlignment="1">
      <alignment horizontal="center" vertical="center"/>
    </xf>
    <xf numFmtId="0" fontId="0" fillId="0" borderId="46" xfId="0" applyFill="1" applyBorder="1" applyAlignment="1">
      <alignment horizontal="left" vertical="center" wrapText="1"/>
    </xf>
    <xf numFmtId="2" fontId="0" fillId="9" borderId="39" xfId="0" applyNumberFormat="1" applyFill="1" applyBorder="1" applyAlignment="1" applyProtection="1">
      <alignment horizontal="center" vertical="center"/>
      <protection locked="0"/>
    </xf>
    <xf numFmtId="0" fontId="0" fillId="12" borderId="2" xfId="0" applyFill="1" applyBorder="1" applyAlignment="1">
      <alignment horizontal="center" vertical="center"/>
    </xf>
    <xf numFmtId="0" fontId="11" fillId="12" borderId="46" xfId="0" applyFont="1" applyFill="1" applyBorder="1" applyAlignment="1">
      <alignment horizontal="left" vertical="center" wrapText="1"/>
    </xf>
    <xf numFmtId="2" fontId="11" fillId="12" borderId="39" xfId="0" applyNumberFormat="1" applyFont="1" applyFill="1" applyBorder="1" applyAlignment="1" applyProtection="1">
      <alignment horizontal="center" vertical="center"/>
      <protection locked="0"/>
    </xf>
    <xf numFmtId="0" fontId="0" fillId="12" borderId="1" xfId="0" applyFill="1" applyBorder="1" applyAlignment="1">
      <alignment vertical="top"/>
    </xf>
    <xf numFmtId="2" fontId="0" fillId="12" borderId="26" xfId="0" applyNumberFormat="1" applyFill="1" applyBorder="1" applyAlignment="1" applyProtection="1">
      <alignment horizontal="center" vertical="center"/>
      <protection locked="0"/>
    </xf>
    <xf numFmtId="0" fontId="4" fillId="0" borderId="26" xfId="0" applyFont="1" applyFill="1" applyBorder="1" applyAlignment="1">
      <alignment vertical="center" wrapText="1"/>
    </xf>
    <xf numFmtId="2" fontId="0" fillId="0" borderId="0" xfId="0" applyNumberFormat="1" applyFill="1" applyAlignment="1">
      <alignment vertical="center"/>
    </xf>
    <xf numFmtId="0" fontId="11" fillId="12" borderId="2" xfId="0" applyFont="1" applyFill="1" applyBorder="1" applyAlignment="1">
      <alignment horizontal="left" vertical="center" wrapText="1"/>
    </xf>
    <xf numFmtId="0" fontId="11" fillId="12" borderId="40" xfId="0" applyFont="1" applyFill="1" applyBorder="1" applyAlignment="1">
      <alignment horizontal="left" vertical="center" wrapText="1"/>
    </xf>
    <xf numFmtId="2" fontId="11" fillId="12" borderId="39" xfId="0" applyNumberFormat="1" applyFont="1" applyFill="1" applyBorder="1" applyAlignment="1">
      <alignment horizontal="center" vertical="center"/>
    </xf>
    <xf numFmtId="2" fontId="0" fillId="3" borderId="32" xfId="0" applyNumberFormat="1" applyFill="1" applyBorder="1" applyAlignment="1">
      <alignment horizontal="center" vertical="center"/>
    </xf>
    <xf numFmtId="2" fontId="0" fillId="0" borderId="39" xfId="0" applyNumberFormat="1" applyFill="1" applyBorder="1" applyAlignment="1" applyProtection="1">
      <alignment horizontal="center" vertical="center"/>
      <protection locked="0"/>
    </xf>
    <xf numFmtId="0" fontId="0" fillId="0" borderId="42" xfId="0" applyFill="1" applyBorder="1" applyAlignment="1">
      <alignment horizontal="center" vertical="center" wrapText="1"/>
    </xf>
    <xf numFmtId="0" fontId="0" fillId="5" borderId="31" xfId="0" applyFill="1" applyBorder="1" applyAlignment="1">
      <alignment vertical="top" wrapText="1"/>
    </xf>
    <xf numFmtId="2" fontId="0" fillId="0" borderId="41" xfId="0" applyNumberFormat="1" applyFill="1" applyBorder="1" applyAlignment="1" applyProtection="1">
      <alignment horizontal="center" vertical="center"/>
      <protection locked="0"/>
    </xf>
    <xf numFmtId="2" fontId="0" fillId="3" borderId="47" xfId="0" applyNumberFormat="1" applyFill="1" applyBorder="1" applyAlignment="1">
      <alignment horizontal="center" vertical="center"/>
    </xf>
    <xf numFmtId="2" fontId="0" fillId="0" borderId="48" xfId="0" applyNumberFormat="1" applyFill="1" applyBorder="1" applyAlignment="1" applyProtection="1">
      <alignment horizontal="center" vertical="center"/>
      <protection locked="0"/>
    </xf>
    <xf numFmtId="165" fontId="0" fillId="11" borderId="39" xfId="0" applyNumberFormat="1" applyFill="1" applyBorder="1" applyAlignment="1">
      <alignment horizontal="center" vertical="center"/>
    </xf>
    <xf numFmtId="9" fontId="11" fillId="12" borderId="40" xfId="0" applyNumberFormat="1" applyFont="1" applyFill="1" applyBorder="1" applyAlignment="1">
      <alignment horizontal="left" vertical="center" wrapText="1"/>
    </xf>
    <xf numFmtId="0" fontId="0" fillId="5" borderId="1" xfId="0" applyFill="1" applyBorder="1" applyAlignment="1">
      <alignment wrapText="1"/>
    </xf>
    <xf numFmtId="2" fontId="0" fillId="9" borderId="17" xfId="0" applyNumberFormat="1" applyFill="1" applyBorder="1" applyAlignment="1">
      <alignment horizontal="center" vertical="center"/>
    </xf>
    <xf numFmtId="1" fontId="11" fillId="12" borderId="17" xfId="0" applyNumberFormat="1" applyFont="1" applyFill="1" applyBorder="1" applyAlignment="1">
      <alignment horizontal="center" vertical="center"/>
    </xf>
    <xf numFmtId="9" fontId="11" fillId="12" borderId="43" xfId="0" applyNumberFormat="1" applyFont="1" applyFill="1" applyBorder="1" applyAlignment="1">
      <alignment horizontal="left" vertical="center" wrapText="1"/>
    </xf>
    <xf numFmtId="165" fontId="11" fillId="12" borderId="41" xfId="0" applyNumberFormat="1" applyFont="1" applyFill="1" applyBorder="1" applyAlignment="1">
      <alignment horizontal="center" vertical="center"/>
    </xf>
    <xf numFmtId="2" fontId="0" fillId="12" borderId="14" xfId="0" applyNumberFormat="1" applyFill="1" applyBorder="1" applyAlignment="1" applyProtection="1">
      <alignment horizontal="center" vertical="center"/>
      <protection locked="0"/>
    </xf>
    <xf numFmtId="1" fontId="0" fillId="12" borderId="39" xfId="0" applyNumberFormat="1" applyFill="1" applyBorder="1" applyAlignment="1">
      <alignment horizontal="center" vertical="center"/>
    </xf>
    <xf numFmtId="165" fontId="0" fillId="12" borderId="39" xfId="0" applyNumberFormat="1" applyFill="1" applyBorder="1" applyAlignment="1">
      <alignment horizontal="center" vertical="center"/>
    </xf>
    <xf numFmtId="2" fontId="0" fillId="12" borderId="22" xfId="0" applyNumberFormat="1" applyFill="1" applyBorder="1" applyAlignment="1">
      <alignment horizontal="center" vertical="center"/>
    </xf>
    <xf numFmtId="0" fontId="11" fillId="12" borderId="27" xfId="0" applyFont="1" applyFill="1" applyBorder="1" applyAlignment="1">
      <alignment horizontal="left" vertical="center" wrapText="1"/>
    </xf>
    <xf numFmtId="1" fontId="0" fillId="0" borderId="0" xfId="0" applyNumberFormat="1" applyFill="1" applyAlignment="1">
      <alignment horizontal="right" vertical="center"/>
    </xf>
    <xf numFmtId="2" fontId="0" fillId="0" borderId="0" xfId="0" applyNumberFormat="1" applyFill="1" applyAlignment="1">
      <alignment horizontal="right" vertical="center"/>
    </xf>
    <xf numFmtId="2" fontId="11" fillId="12" borderId="32" xfId="0" applyNumberFormat="1" applyFont="1" applyFill="1" applyBorder="1" applyAlignment="1">
      <alignment horizontal="center" vertical="center"/>
    </xf>
    <xf numFmtId="2" fontId="0" fillId="3" borderId="17" xfId="0" applyNumberFormat="1" applyFill="1" applyBorder="1" applyAlignment="1">
      <alignment horizontal="center" vertical="center"/>
    </xf>
    <xf numFmtId="0" fontId="11" fillId="12" borderId="1" xfId="0" applyFont="1" applyFill="1" applyBorder="1" applyAlignment="1">
      <alignment vertical="center"/>
    </xf>
    <xf numFmtId="9" fontId="11" fillId="12" borderId="1" xfId="0" applyNumberFormat="1" applyFont="1" applyFill="1" applyBorder="1" applyAlignment="1">
      <alignment horizontal="left" vertical="center" wrapText="1"/>
    </xf>
    <xf numFmtId="1" fontId="0" fillId="3" borderId="39" xfId="0" applyNumberFormat="1" applyFill="1" applyBorder="1" applyAlignment="1">
      <alignment horizontal="center" vertical="center"/>
    </xf>
    <xf numFmtId="2" fontId="11" fillId="12" borderId="1" xfId="0" applyNumberFormat="1" applyFont="1" applyFill="1" applyBorder="1" applyAlignment="1">
      <alignment horizontal="left" vertical="center" wrapText="1"/>
    </xf>
    <xf numFmtId="0" fontId="0" fillId="0" borderId="14" xfId="0" applyFill="1" applyBorder="1" applyAlignment="1">
      <alignment horizontal="center" vertical="center"/>
    </xf>
    <xf numFmtId="2" fontId="11" fillId="12" borderId="1" xfId="0" applyNumberFormat="1" applyFont="1" applyFill="1" applyBorder="1" applyAlignment="1">
      <alignment horizontal="left" vertical="center"/>
    </xf>
    <xf numFmtId="2" fontId="11" fillId="12" borderId="41" xfId="0" applyNumberFormat="1" applyFont="1" applyFill="1" applyBorder="1" applyAlignment="1">
      <alignment horizontal="center" vertical="center"/>
    </xf>
    <xf numFmtId="2" fontId="0" fillId="12" borderId="39" xfId="0" applyNumberFormat="1" applyFill="1" applyBorder="1" applyAlignment="1">
      <alignment horizontal="center" vertical="center"/>
    </xf>
    <xf numFmtId="2" fontId="0" fillId="3" borderId="29" xfId="0" applyNumberFormat="1" applyFill="1" applyBorder="1" applyAlignment="1">
      <alignment horizontal="center" vertical="center"/>
    </xf>
    <xf numFmtId="1" fontId="0" fillId="3" borderId="39" xfId="0" applyNumberFormat="1" applyFill="1" applyBorder="1" applyAlignment="1">
      <alignment horizontal="right" vertical="center"/>
    </xf>
    <xf numFmtId="41" fontId="0" fillId="11" borderId="39" xfId="0" applyNumberFormat="1" applyFill="1" applyBorder="1" applyAlignment="1">
      <alignment horizontal="right" vertical="center"/>
    </xf>
    <xf numFmtId="166" fontId="11" fillId="12" borderId="41" xfId="0" applyNumberFormat="1" applyFont="1" applyFill="1" applyBorder="1" applyAlignment="1">
      <alignment horizontal="center" vertical="center"/>
    </xf>
    <xf numFmtId="0" fontId="0" fillId="0" borderId="1" xfId="0" applyFill="1" applyBorder="1" applyAlignment="1">
      <alignment wrapText="1"/>
    </xf>
    <xf numFmtId="0" fontId="0" fillId="5" borderId="2" xfId="0" applyFill="1" applyBorder="1" applyAlignment="1">
      <alignment horizontal="center" vertical="center" wrapText="1"/>
    </xf>
    <xf numFmtId="1" fontId="0" fillId="5" borderId="26" xfId="0" applyNumberFormat="1" applyFill="1" applyBorder="1" applyAlignment="1" applyProtection="1">
      <alignment horizontal="center" vertical="center"/>
      <protection locked="0"/>
    </xf>
    <xf numFmtId="9" fontId="0" fillId="11" borderId="39" xfId="0" applyNumberFormat="1" applyFill="1" applyBorder="1" applyAlignment="1">
      <alignment horizontal="center" vertical="center"/>
    </xf>
    <xf numFmtId="2" fontId="0" fillId="12" borderId="29" xfId="0" applyNumberFormat="1" applyFill="1" applyBorder="1" applyAlignment="1">
      <alignment horizontal="center" vertical="center"/>
    </xf>
    <xf numFmtId="0" fontId="0" fillId="12" borderId="2" xfId="0" applyFill="1" applyBorder="1" applyAlignment="1">
      <alignment horizontal="center" vertical="center" wrapText="1"/>
    </xf>
    <xf numFmtId="0" fontId="0" fillId="12" borderId="1" xfId="0" applyFill="1" applyBorder="1" applyAlignment="1">
      <alignment vertical="top" wrapText="1"/>
    </xf>
    <xf numFmtId="1" fontId="0" fillId="12" borderId="26" xfId="0" applyNumberFormat="1" applyFill="1" applyBorder="1" applyAlignment="1" applyProtection="1">
      <alignment horizontal="center" vertical="center"/>
      <protection locked="0"/>
    </xf>
    <xf numFmtId="0" fontId="0" fillId="12" borderId="31" xfId="0" applyFill="1" applyBorder="1" applyAlignment="1">
      <alignment vertical="top" wrapText="1"/>
    </xf>
    <xf numFmtId="1" fontId="0" fillId="12" borderId="48" xfId="0" applyNumberFormat="1" applyFill="1" applyBorder="1" applyAlignment="1" applyProtection="1">
      <alignment horizontal="center" vertical="center"/>
      <protection locked="0"/>
    </xf>
    <xf numFmtId="0" fontId="0" fillId="12" borderId="1" xfId="0" applyFill="1" applyBorder="1" applyAlignment="1">
      <alignment vertical="center" wrapText="1"/>
    </xf>
    <xf numFmtId="1" fontId="0" fillId="12" borderId="17" xfId="0" applyNumberFormat="1" applyFill="1" applyBorder="1" applyAlignment="1" applyProtection="1">
      <alignment vertical="center"/>
      <protection locked="0"/>
    </xf>
    <xf numFmtId="0" fontId="0" fillId="12" borderId="1" xfId="0" applyFill="1" applyBorder="1" applyAlignment="1">
      <alignment horizontal="left" vertical="center" wrapText="1"/>
    </xf>
    <xf numFmtId="1" fontId="0" fillId="12" borderId="17" xfId="0" applyNumberFormat="1" applyFill="1" applyBorder="1" applyAlignment="1">
      <alignment horizontal="center" vertical="center"/>
    </xf>
    <xf numFmtId="166" fontId="11" fillId="12" borderId="17" xfId="0" applyNumberFormat="1" applyFont="1" applyFill="1" applyBorder="1" applyAlignment="1">
      <alignment horizontal="center" vertical="center"/>
    </xf>
    <xf numFmtId="0" fontId="0" fillId="0" borderId="40" xfId="0" applyFill="1" applyBorder="1" applyAlignment="1">
      <alignment horizontal="left" vertical="center"/>
    </xf>
    <xf numFmtId="0" fontId="0" fillId="0" borderId="40" xfId="0" applyFill="1" applyBorder="1" applyAlignment="1">
      <alignment horizontal="right" vertical="center"/>
    </xf>
    <xf numFmtId="165" fontId="0" fillId="3" borderId="39" xfId="0" applyNumberFormat="1" applyFill="1" applyBorder="1" applyAlignment="1">
      <alignment horizontal="center" vertical="center"/>
    </xf>
    <xf numFmtId="0" fontId="11" fillId="12" borderId="2" xfId="0" applyFont="1" applyFill="1" applyBorder="1" applyAlignment="1">
      <alignment horizontal="right" vertical="center" wrapText="1"/>
    </xf>
    <xf numFmtId="165" fontId="11" fillId="12" borderId="39" xfId="0" applyNumberFormat="1" applyFont="1" applyFill="1" applyBorder="1" applyAlignment="1">
      <alignment horizontal="center" vertical="center"/>
    </xf>
    <xf numFmtId="2" fontId="0" fillId="3" borderId="39" xfId="0" applyNumberFormat="1" applyFill="1" applyBorder="1" applyAlignment="1">
      <alignment horizontal="center" vertical="center"/>
    </xf>
    <xf numFmtId="0" fontId="0" fillId="12" borderId="14" xfId="0" applyFill="1" applyBorder="1" applyAlignment="1">
      <alignment horizontal="center" vertical="center"/>
    </xf>
    <xf numFmtId="0" fontId="0" fillId="3" borderId="17" xfId="0" applyFill="1" applyBorder="1" applyAlignment="1" applyProtection="1">
      <alignment horizontal="center" vertical="center"/>
      <protection locked="0"/>
    </xf>
    <xf numFmtId="0" fontId="0" fillId="0" borderId="42" xfId="0" applyFill="1" applyBorder="1" applyAlignment="1">
      <alignment horizontal="left" vertical="center"/>
    </xf>
    <xf numFmtId="0" fontId="0" fillId="0" borderId="43" xfId="0" applyFill="1" applyBorder="1" applyAlignment="1">
      <alignment horizontal="left" vertical="top" wrapText="1"/>
    </xf>
    <xf numFmtId="2" fontId="0" fillId="11" borderId="32" xfId="0" applyNumberFormat="1" applyFill="1" applyBorder="1" applyAlignment="1" applyProtection="1">
      <alignment horizontal="center" vertical="center"/>
      <protection locked="0"/>
    </xf>
    <xf numFmtId="0" fontId="11" fillId="12" borderId="42" xfId="0" applyFont="1" applyFill="1" applyBorder="1" applyAlignment="1">
      <alignment horizontal="left" vertical="top"/>
    </xf>
    <xf numFmtId="2" fontId="11" fillId="12" borderId="43" xfId="0" applyNumberFormat="1" applyFont="1" applyFill="1" applyBorder="1" applyAlignment="1">
      <alignment horizontal="left" vertical="top"/>
    </xf>
    <xf numFmtId="2" fontId="11" fillId="12" borderId="32" xfId="0" applyNumberFormat="1" applyFont="1" applyFill="1" applyBorder="1" applyAlignment="1" applyProtection="1">
      <alignment horizontal="center" vertical="center"/>
      <protection locked="0"/>
    </xf>
    <xf numFmtId="0" fontId="10" fillId="0" borderId="0" xfId="0" applyFont="1" applyFill="1" applyAlignment="1">
      <alignment horizontal="center" vertical="center"/>
    </xf>
    <xf numFmtId="10" fontId="0" fillId="11" borderId="39" xfId="0" applyNumberFormat="1" applyFill="1" applyBorder="1" applyAlignment="1">
      <alignment horizontal="center" vertical="center"/>
    </xf>
    <xf numFmtId="10" fontId="11" fillId="12" borderId="1" xfId="0" applyNumberFormat="1" applyFont="1" applyFill="1" applyBorder="1" applyAlignment="1">
      <alignment horizontal="left" vertical="center"/>
    </xf>
    <xf numFmtId="2" fontId="0" fillId="11" borderId="17" xfId="0" applyNumberFormat="1" applyFill="1" applyBorder="1" applyAlignment="1" applyProtection="1">
      <alignment horizontal="center" vertical="center"/>
      <protection locked="0"/>
    </xf>
    <xf numFmtId="167" fontId="11" fillId="12" borderId="1" xfId="0" applyNumberFormat="1" applyFont="1" applyFill="1" applyBorder="1" applyAlignment="1">
      <alignment horizontal="left" vertical="center"/>
    </xf>
    <xf numFmtId="165" fontId="0" fillId="11" borderId="17" xfId="0" applyNumberFormat="1" applyFill="1" applyBorder="1" applyAlignment="1" applyProtection="1">
      <alignment horizontal="center" vertical="center"/>
      <protection locked="0"/>
    </xf>
    <xf numFmtId="165" fontId="11" fillId="12" borderId="1" xfId="0" applyNumberFormat="1" applyFont="1" applyFill="1" applyBorder="1" applyAlignment="1">
      <alignment horizontal="left" vertical="center"/>
    </xf>
    <xf numFmtId="0" fontId="0" fillId="0" borderId="2" xfId="0" applyFill="1" applyBorder="1" applyAlignment="1">
      <alignment horizontal="left" vertical="top"/>
    </xf>
    <xf numFmtId="0" fontId="0" fillId="0" borderId="40" xfId="0" applyFill="1" applyBorder="1" applyAlignment="1">
      <alignment horizontal="left" vertical="top"/>
    </xf>
    <xf numFmtId="0" fontId="0" fillId="13" borderId="40" xfId="0" applyFill="1" applyBorder="1" applyAlignment="1">
      <alignment horizontal="left" vertical="center" wrapText="1"/>
    </xf>
    <xf numFmtId="0" fontId="0" fillId="13" borderId="52" xfId="0" applyFill="1" applyBorder="1" applyAlignment="1">
      <alignment horizontal="left" vertical="center"/>
    </xf>
    <xf numFmtId="1" fontId="0" fillId="14" borderId="17" xfId="0" applyNumberFormat="1" applyFill="1" applyBorder="1" applyAlignment="1">
      <alignment horizontal="center" vertical="center"/>
    </xf>
    <xf numFmtId="165" fontId="0" fillId="14" borderId="39" xfId="0" applyNumberFormat="1" applyFill="1" applyBorder="1" applyAlignment="1">
      <alignment horizontal="center" vertical="center"/>
    </xf>
    <xf numFmtId="0" fontId="0" fillId="13" borderId="53" xfId="0" applyFill="1" applyBorder="1" applyAlignment="1">
      <alignment horizontal="left" vertical="center"/>
    </xf>
    <xf numFmtId="0" fontId="0" fillId="13" borderId="21" xfId="0" applyFill="1" applyBorder="1" applyAlignment="1">
      <alignment horizontal="left" vertical="center" wrapText="1"/>
    </xf>
    <xf numFmtId="165" fontId="0" fillId="14" borderId="36" xfId="0" applyNumberFormat="1" applyFill="1" applyBorder="1" applyAlignment="1">
      <alignment horizontal="center" vertical="center"/>
    </xf>
    <xf numFmtId="2" fontId="0" fillId="0" borderId="29" xfId="0" applyNumberFormat="1" applyFill="1" applyBorder="1" applyAlignment="1" applyProtection="1">
      <alignment horizontal="center" vertical="center"/>
      <protection locked="0"/>
    </xf>
    <xf numFmtId="0" fontId="0" fillId="0" borderId="2" xfId="0" applyFill="1" applyBorder="1" applyAlignment="1">
      <alignment vertical="center" wrapText="1"/>
    </xf>
    <xf numFmtId="0" fontId="0" fillId="3" borderId="29" xfId="0" applyFill="1" applyBorder="1" applyAlignment="1">
      <alignment horizontal="center" vertical="center"/>
    </xf>
    <xf numFmtId="167" fontId="11" fillId="12" borderId="40" xfId="0" applyNumberFormat="1" applyFont="1" applyFill="1" applyBorder="1" applyAlignment="1">
      <alignment horizontal="left" vertical="center"/>
    </xf>
    <xf numFmtId="167" fontId="0" fillId="11" borderId="39" xfId="0" applyNumberFormat="1" applyFill="1" applyBorder="1" applyAlignment="1">
      <alignment horizontal="center" vertical="center"/>
    </xf>
    <xf numFmtId="9" fontId="11" fillId="12" borderId="1" xfId="0" applyNumberFormat="1" applyFont="1" applyFill="1" applyBorder="1" applyAlignment="1">
      <alignment horizontal="left" vertical="center"/>
    </xf>
    <xf numFmtId="9" fontId="11" fillId="12" borderId="40" xfId="0" applyNumberFormat="1" applyFont="1" applyFill="1" applyBorder="1" applyAlignment="1">
      <alignment horizontal="left" vertical="center"/>
    </xf>
    <xf numFmtId="0" fontId="11" fillId="12" borderId="32" xfId="0" applyFont="1" applyFill="1" applyBorder="1" applyAlignment="1">
      <alignment horizontal="center" vertical="center"/>
    </xf>
    <xf numFmtId="2" fontId="0" fillId="11" borderId="17" xfId="0" applyNumberFormat="1" applyFill="1" applyBorder="1" applyAlignment="1">
      <alignment horizontal="center" vertical="center"/>
    </xf>
    <xf numFmtId="2" fontId="11" fillId="12" borderId="14" xfId="0" applyNumberFormat="1" applyFont="1" applyFill="1" applyBorder="1" applyAlignment="1" applyProtection="1">
      <alignment horizontal="center" vertical="center"/>
      <protection locked="0"/>
    </xf>
    <xf numFmtId="1" fontId="11" fillId="12" borderId="39" xfId="0" applyNumberFormat="1" applyFont="1" applyFill="1" applyBorder="1" applyAlignment="1">
      <alignment horizontal="center" vertical="center"/>
    </xf>
    <xf numFmtId="1" fontId="11" fillId="12" borderId="41" xfId="0" applyNumberFormat="1" applyFont="1" applyFill="1" applyBorder="1" applyAlignment="1">
      <alignment horizontal="center" vertical="center"/>
    </xf>
    <xf numFmtId="2" fontId="11" fillId="12" borderId="22" xfId="0" applyNumberFormat="1" applyFont="1" applyFill="1" applyBorder="1" applyAlignment="1">
      <alignment horizontal="center" vertical="center"/>
    </xf>
    <xf numFmtId="0" fontId="0" fillId="12" borderId="42" xfId="0" applyFill="1" applyBorder="1" applyAlignment="1">
      <alignment horizontal="left" vertical="center" wrapText="1"/>
    </xf>
    <xf numFmtId="0" fontId="0" fillId="12" borderId="43" xfId="0" applyFill="1" applyBorder="1" applyAlignment="1">
      <alignment horizontal="left" vertical="center" wrapText="1"/>
    </xf>
    <xf numFmtId="1" fontId="0" fillId="12" borderId="41" xfId="0" applyNumberFormat="1" applyFill="1" applyBorder="1" applyAlignment="1">
      <alignment horizontal="center" vertical="center"/>
    </xf>
    <xf numFmtId="0" fontId="0" fillId="0" borderId="0" xfId="0" applyFill="1" applyAlignment="1" applyProtection="1">
      <alignment vertical="top" wrapText="1"/>
      <protection locked="0"/>
    </xf>
    <xf numFmtId="0" fontId="13" fillId="0" borderId="0" xfId="0" applyFont="1" applyFill="1" applyAlignment="1">
      <alignment vertical="center"/>
    </xf>
    <xf numFmtId="0" fontId="14" fillId="15" borderId="0" xfId="0" applyFont="1" applyFill="1" applyAlignment="1">
      <alignment vertical="center"/>
    </xf>
    <xf numFmtId="0" fontId="0" fillId="15" borderId="0" xfId="0" applyFill="1" applyAlignment="1">
      <alignment vertical="center"/>
    </xf>
    <xf numFmtId="0" fontId="0" fillId="15" borderId="0" xfId="0" applyFill="1" applyAlignment="1">
      <alignment horizontal="center" vertical="center"/>
    </xf>
    <xf numFmtId="0" fontId="16" fillId="15" borderId="0" xfId="0" applyFont="1" applyFill="1" applyAlignment="1">
      <alignment vertical="center"/>
    </xf>
    <xf numFmtId="0" fontId="13" fillId="15" borderId="0" xfId="0" applyFont="1" applyFill="1" applyAlignment="1">
      <alignment vertical="center"/>
    </xf>
    <xf numFmtId="0" fontId="17" fillId="15" borderId="0" xfId="0" applyFont="1" applyFill="1" applyAlignment="1">
      <alignment vertical="center"/>
    </xf>
    <xf numFmtId="0" fontId="13" fillId="15" borderId="0" xfId="0" applyFont="1" applyFill="1" applyAlignment="1">
      <alignment horizontal="right" vertical="center"/>
    </xf>
    <xf numFmtId="0" fontId="13" fillId="5" borderId="0" xfId="0" applyFont="1" applyFill="1" applyAlignment="1">
      <alignment vertical="center"/>
    </xf>
    <xf numFmtId="0" fontId="0" fillId="15" borderId="0" xfId="0" applyFill="1" applyAlignment="1">
      <alignment horizontal="right" vertical="center"/>
    </xf>
    <xf numFmtId="0" fontId="13" fillId="5" borderId="0" xfId="0" applyFont="1" applyFill="1" applyAlignment="1">
      <alignment horizontal="center" vertical="center"/>
    </xf>
    <xf numFmtId="0" fontId="18" fillId="15" borderId="0" xfId="0" applyFont="1" applyFill="1" applyAlignment="1">
      <alignment vertical="center"/>
    </xf>
    <xf numFmtId="0" fontId="19" fillId="15" borderId="0" xfId="0" applyFont="1" applyFill="1" applyAlignment="1">
      <alignment vertical="center"/>
    </xf>
    <xf numFmtId="0" fontId="20" fillId="15" borderId="0" xfId="0" applyFont="1" applyFill="1" applyAlignment="1">
      <alignment vertical="center"/>
    </xf>
    <xf numFmtId="14" fontId="20" fillId="15" borderId="0" xfId="0" applyNumberFormat="1" applyFont="1" applyFill="1" applyAlignment="1">
      <alignment vertical="center"/>
    </xf>
    <xf numFmtId="14" fontId="0" fillId="15" borderId="0" xfId="0" applyNumberFormat="1" applyFill="1" applyAlignment="1">
      <alignment vertical="center"/>
    </xf>
    <xf numFmtId="0" fontId="21" fillId="15" borderId="0" xfId="0" applyFont="1" applyFill="1" applyAlignment="1">
      <alignment vertical="center" wrapText="1"/>
    </xf>
    <xf numFmtId="0" fontId="22" fillId="15" borderId="0" xfId="0" applyFont="1" applyFill="1" applyAlignment="1">
      <alignment vertical="center" wrapText="1"/>
    </xf>
    <xf numFmtId="0" fontId="13" fillId="15" borderId="0" xfId="0" applyFont="1" applyFill="1" applyAlignment="1">
      <alignment horizontal="center" vertical="center"/>
    </xf>
    <xf numFmtId="0" fontId="23" fillId="15" borderId="0" xfId="0" applyFont="1" applyFill="1" applyAlignment="1">
      <alignment vertical="center" wrapText="1"/>
    </xf>
    <xf numFmtId="0" fontId="24" fillId="15" borderId="0" xfId="0" applyFont="1" applyFill="1" applyAlignment="1">
      <alignment vertical="center" wrapText="1"/>
    </xf>
    <xf numFmtId="0" fontId="23" fillId="15" borderId="0" xfId="0" applyFont="1" applyFill="1" applyAlignment="1">
      <alignment horizontal="center" vertical="center" wrapText="1"/>
    </xf>
    <xf numFmtId="0" fontId="25" fillId="15" borderId="0" xfId="0" applyFont="1" applyFill="1" applyAlignment="1">
      <alignment vertical="center"/>
    </xf>
    <xf numFmtId="0" fontId="0" fillId="18" borderId="0" xfId="0" applyFill="1" applyAlignment="1">
      <alignment horizontal="left"/>
    </xf>
    <xf numFmtId="0" fontId="13" fillId="15" borderId="0" xfId="0" quotePrefix="1" applyFont="1" applyFill="1" applyAlignment="1">
      <alignment horizontal="center" vertical="center"/>
    </xf>
    <xf numFmtId="0" fontId="33" fillId="0" borderId="0" xfId="0" applyFont="1" applyFill="1" applyAlignment="1">
      <alignment vertical="center"/>
    </xf>
    <xf numFmtId="0" fontId="0" fillId="0" borderId="0" xfId="0"/>
    <xf numFmtId="0" fontId="35" fillId="0" borderId="54" xfId="0" applyFont="1" applyBorder="1" applyAlignment="1">
      <alignment horizontal="center" vertical="center"/>
    </xf>
    <xf numFmtId="0" fontId="0" fillId="0" borderId="54" xfId="0" applyBorder="1" applyAlignment="1">
      <alignment horizontal="center" vertical="center"/>
    </xf>
    <xf numFmtId="0" fontId="0" fillId="0" borderId="54" xfId="0" applyBorder="1" applyAlignment="1">
      <alignment horizontal="left" vertical="center" wrapText="1"/>
    </xf>
    <xf numFmtId="2" fontId="0" fillId="0" borderId="54" xfId="0" applyNumberFormat="1" applyBorder="1" applyAlignment="1">
      <alignment horizontal="center" vertical="center"/>
    </xf>
    <xf numFmtId="1" fontId="0" fillId="0" borderId="54" xfId="0" applyNumberFormat="1" applyBorder="1" applyAlignment="1">
      <alignment horizontal="left" vertical="center" wrapText="1"/>
    </xf>
    <xf numFmtId="0" fontId="36" fillId="0" borderId="54" xfId="0" applyFont="1" applyBorder="1" applyAlignment="1">
      <alignment horizontal="left" vertical="center" wrapText="1"/>
    </xf>
    <xf numFmtId="0" fontId="0" fillId="0" borderId="54" xfId="0" applyBorder="1" applyAlignment="1">
      <alignment horizontal="left" vertical="center"/>
    </xf>
    <xf numFmtId="0" fontId="36" fillId="0" borderId="54" xfId="0" applyFont="1" applyBorder="1" applyAlignment="1">
      <alignment horizontal="left" vertical="center"/>
    </xf>
    <xf numFmtId="1" fontId="0" fillId="0" borderId="54" xfId="0" applyNumberFormat="1" applyBorder="1" applyAlignment="1">
      <alignment horizontal="left" vertical="center"/>
    </xf>
    <xf numFmtId="164" fontId="13" fillId="5" borderId="0" xfId="0" applyNumberFormat="1" applyFont="1" applyFill="1" applyAlignment="1">
      <alignment horizontal="left" vertical="center"/>
    </xf>
    <xf numFmtId="0" fontId="13" fillId="5" borderId="0" xfId="0" applyFont="1" applyFill="1" applyAlignment="1">
      <alignment horizontal="left" vertical="center"/>
    </xf>
    <xf numFmtId="0" fontId="25" fillId="15" borderId="0" xfId="0" applyFont="1" applyFill="1" applyAlignment="1">
      <alignment horizontal="center" vertical="center"/>
    </xf>
    <xf numFmtId="0" fontId="13" fillId="15" borderId="0" xfId="0" applyFont="1" applyFill="1" applyAlignment="1">
      <alignment horizontal="center" vertical="center"/>
    </xf>
    <xf numFmtId="0" fontId="15" fillId="6" borderId="0" xfId="0" applyFont="1" applyFill="1" applyAlignment="1">
      <alignment horizontal="center" vertical="center"/>
    </xf>
    <xf numFmtId="0" fontId="15" fillId="16" borderId="0" xfId="0" applyFont="1" applyFill="1" applyAlignment="1">
      <alignment horizontal="center" vertical="center"/>
    </xf>
    <xf numFmtId="0" fontId="15" fillId="17" borderId="0" xfId="0" applyFont="1" applyFill="1" applyAlignment="1">
      <alignment horizontal="center" vertical="center"/>
    </xf>
    <xf numFmtId="0" fontId="13" fillId="5" borderId="0" xfId="0" applyFont="1" applyFill="1" applyAlignment="1">
      <alignment horizontal="left" vertical="center" wrapText="1"/>
    </xf>
    <xf numFmtId="0" fontId="0" fillId="0" borderId="1" xfId="0" applyFill="1" applyBorder="1" applyAlignment="1">
      <alignment horizontal="left" vertical="center" wrapText="1"/>
    </xf>
    <xf numFmtId="0" fontId="0" fillId="5" borderId="31" xfId="0" applyFill="1" applyBorder="1" applyAlignment="1">
      <alignment horizontal="left" vertical="center" wrapText="1"/>
    </xf>
    <xf numFmtId="0" fontId="0" fillId="5" borderId="33" xfId="0" applyFill="1" applyBorder="1" applyAlignment="1">
      <alignment horizontal="left" vertical="center" wrapText="1"/>
    </xf>
    <xf numFmtId="1" fontId="0" fillId="0" borderId="32" xfId="0" applyNumberFormat="1" applyFill="1" applyBorder="1" applyAlignment="1" applyProtection="1">
      <alignment horizontal="center" vertical="center"/>
      <protection locked="0"/>
    </xf>
    <xf numFmtId="1" fontId="0" fillId="0" borderId="29" xfId="0" applyNumberFormat="1" applyFill="1" applyBorder="1" applyAlignment="1" applyProtection="1">
      <alignment horizontal="center" vertical="center"/>
      <protection locked="0"/>
    </xf>
    <xf numFmtId="1" fontId="0" fillId="5" borderId="32" xfId="0" applyNumberFormat="1" applyFill="1" applyBorder="1" applyAlignment="1" applyProtection="1">
      <alignment horizontal="center" vertical="center"/>
      <protection locked="0"/>
    </xf>
    <xf numFmtId="1" fontId="0" fillId="5" borderId="29" xfId="0" applyNumberFormat="1" applyFill="1" applyBorder="1" applyAlignment="1" applyProtection="1">
      <alignment horizontal="center" vertical="center"/>
      <protection locked="0"/>
    </xf>
    <xf numFmtId="0" fontId="0" fillId="0" borderId="11" xfId="0" applyFill="1" applyBorder="1" applyAlignment="1">
      <alignment horizontal="center" vertical="top" wrapText="1"/>
    </xf>
    <xf numFmtId="0" fontId="0" fillId="0" borderId="16" xfId="0" applyFill="1" applyBorder="1" applyAlignment="1">
      <alignment horizontal="center" vertical="top" wrapText="1"/>
    </xf>
    <xf numFmtId="0" fontId="0" fillId="0" borderId="19" xfId="0" applyFill="1" applyBorder="1" applyAlignment="1">
      <alignment horizontal="center" vertical="top" wrapText="1"/>
    </xf>
    <xf numFmtId="0" fontId="4" fillId="0" borderId="11" xfId="0" applyFont="1" applyFill="1" applyBorder="1" applyAlignment="1">
      <alignment horizontal="center" vertical="top" wrapText="1"/>
    </xf>
    <xf numFmtId="0" fontId="4" fillId="0" borderId="16" xfId="0" applyFont="1" applyFill="1" applyBorder="1" applyAlignment="1">
      <alignment horizontal="center" vertical="top" wrapText="1"/>
    </xf>
    <xf numFmtId="0" fontId="4" fillId="0" borderId="19" xfId="0" applyFont="1" applyFill="1" applyBorder="1" applyAlignment="1">
      <alignment horizontal="center" vertical="top" wrapText="1"/>
    </xf>
    <xf numFmtId="0" fontId="0" fillId="0" borderId="42" xfId="0" applyFill="1" applyBorder="1" applyAlignment="1">
      <alignment horizontal="center" vertical="center" textRotation="90"/>
    </xf>
    <xf numFmtId="0" fontId="0" fillId="0" borderId="50" xfId="0" applyFill="1" applyBorder="1" applyAlignment="1">
      <alignment horizontal="center" vertical="center" textRotation="90"/>
    </xf>
    <xf numFmtId="0" fontId="0" fillId="0" borderId="27" xfId="0" applyFill="1" applyBorder="1" applyAlignment="1">
      <alignment horizontal="center" vertical="center" textRotation="90"/>
    </xf>
    <xf numFmtId="0" fontId="0" fillId="0" borderId="42" xfId="0" applyFill="1" applyBorder="1" applyAlignment="1">
      <alignment horizontal="center" vertical="center" textRotation="90" wrapText="1"/>
    </xf>
    <xf numFmtId="0" fontId="0" fillId="0" borderId="50" xfId="0" applyFill="1" applyBorder="1" applyAlignment="1">
      <alignment horizontal="center" vertical="center" textRotation="90" wrapText="1"/>
    </xf>
    <xf numFmtId="0" fontId="0" fillId="0" borderId="27" xfId="0" applyFill="1" applyBorder="1" applyAlignment="1">
      <alignment horizontal="center" vertical="center" textRotation="90" wrapText="1"/>
    </xf>
    <xf numFmtId="0" fontId="2" fillId="0" borderId="31" xfId="0" applyFont="1" applyFill="1" applyBorder="1" applyAlignment="1">
      <alignment horizontal="center" vertical="center" textRotation="90" wrapText="1"/>
    </xf>
    <xf numFmtId="0" fontId="2" fillId="0" borderId="16" xfId="0" applyFont="1" applyFill="1" applyBorder="1" applyAlignment="1">
      <alignment horizontal="center" vertical="center" textRotation="90" wrapText="1"/>
    </xf>
    <xf numFmtId="0" fontId="2" fillId="0" borderId="33" xfId="0" applyFont="1" applyFill="1" applyBorder="1" applyAlignment="1">
      <alignment horizontal="center" vertical="center" textRotation="90" wrapText="1"/>
    </xf>
    <xf numFmtId="0" fontId="0" fillId="0" borderId="34" xfId="0" applyFill="1" applyBorder="1" applyAlignment="1">
      <alignment horizontal="center" vertical="top" wrapText="1"/>
    </xf>
    <xf numFmtId="0" fontId="0" fillId="0" borderId="50" xfId="0" applyFill="1" applyBorder="1" applyAlignment="1">
      <alignment horizontal="center" vertical="top" wrapText="1"/>
    </xf>
    <xf numFmtId="0" fontId="0" fillId="0" borderId="44" xfId="0" applyFill="1" applyBorder="1" applyAlignment="1">
      <alignment horizontal="center" vertical="top" wrapText="1"/>
    </xf>
    <xf numFmtId="0" fontId="0" fillId="12" borderId="11" xfId="0" applyFill="1" applyBorder="1" applyAlignment="1">
      <alignment horizontal="center" vertical="top" wrapText="1"/>
    </xf>
    <xf numFmtId="0" fontId="0" fillId="12" borderId="16" xfId="0" applyFill="1" applyBorder="1" applyAlignment="1">
      <alignment horizontal="center" vertical="top" wrapText="1"/>
    </xf>
    <xf numFmtId="0" fontId="0" fillId="12" borderId="19" xfId="0" applyFill="1" applyBorder="1" applyAlignment="1">
      <alignment horizontal="center" vertical="top" wrapText="1"/>
    </xf>
    <xf numFmtId="0" fontId="0" fillId="0" borderId="11" xfId="0" applyFill="1" applyBorder="1" applyAlignment="1">
      <alignment horizontal="center" vertical="center"/>
    </xf>
    <xf numFmtId="0" fontId="0" fillId="0" borderId="16" xfId="0" applyFill="1" applyBorder="1" applyAlignment="1">
      <alignment horizontal="center" vertical="center"/>
    </xf>
    <xf numFmtId="0" fontId="0" fillId="0" borderId="19" xfId="0" applyFill="1" applyBorder="1" applyAlignment="1">
      <alignment horizontal="center" vertical="center"/>
    </xf>
    <xf numFmtId="0" fontId="0" fillId="0" borderId="11" xfId="0" applyFill="1" applyBorder="1" applyAlignment="1">
      <alignment horizontal="center" vertical="top"/>
    </xf>
    <xf numFmtId="0" fontId="0" fillId="0" borderId="16" xfId="0" applyFill="1" applyBorder="1" applyAlignment="1">
      <alignment horizontal="center" vertical="top"/>
    </xf>
    <xf numFmtId="0" fontId="0" fillId="0" borderId="19" xfId="0" applyFill="1" applyBorder="1" applyAlignment="1">
      <alignment horizontal="center" vertical="top"/>
    </xf>
    <xf numFmtId="0" fontId="0" fillId="0" borderId="10" xfId="0" applyFill="1" applyBorder="1" applyAlignment="1">
      <alignment horizontal="center" vertical="top"/>
    </xf>
    <xf numFmtId="0" fontId="0" fillId="0" borderId="15" xfId="0" applyFill="1" applyBorder="1" applyAlignment="1">
      <alignment horizontal="center" vertical="top"/>
    </xf>
    <xf numFmtId="0" fontId="0" fillId="0" borderId="18" xfId="0" applyFill="1" applyBorder="1" applyAlignment="1">
      <alignment horizontal="center" vertical="top"/>
    </xf>
    <xf numFmtId="0" fontId="0" fillId="12" borderId="10" xfId="0" applyFill="1" applyBorder="1" applyAlignment="1">
      <alignment horizontal="center" vertical="top"/>
    </xf>
    <xf numFmtId="0" fontId="0" fillId="12" borderId="15" xfId="0" applyFill="1" applyBorder="1" applyAlignment="1">
      <alignment horizontal="center" vertical="top"/>
    </xf>
    <xf numFmtId="0" fontId="0" fillId="12" borderId="18" xfId="0" applyFill="1" applyBorder="1" applyAlignment="1">
      <alignment horizontal="center" vertical="top"/>
    </xf>
    <xf numFmtId="0" fontId="0" fillId="0" borderId="12" xfId="0" applyFill="1" applyBorder="1" applyAlignment="1">
      <alignment horizontal="left" vertical="center" wrapText="1"/>
    </xf>
    <xf numFmtId="0" fontId="0" fillId="0" borderId="13" xfId="0" applyFill="1" applyBorder="1" applyAlignment="1">
      <alignment horizontal="left" vertical="center" wrapText="1"/>
    </xf>
    <xf numFmtId="0" fontId="0" fillId="0" borderId="20" xfId="0" applyFill="1" applyBorder="1" applyAlignment="1">
      <alignment horizontal="left" vertical="center"/>
    </xf>
    <xf numFmtId="0" fontId="0" fillId="0" borderId="21" xfId="0" applyFill="1" applyBorder="1" applyAlignment="1">
      <alignment horizontal="left" vertical="center"/>
    </xf>
    <xf numFmtId="0" fontId="0" fillId="0" borderId="2" xfId="0" applyFill="1" applyBorder="1" applyAlignment="1">
      <alignment horizontal="left" vertical="center" wrapText="1"/>
    </xf>
    <xf numFmtId="0" fontId="0" fillId="0" borderId="40" xfId="0" applyFill="1" applyBorder="1" applyAlignment="1">
      <alignment horizontal="left" vertical="center" wrapText="1"/>
    </xf>
    <xf numFmtId="0" fontId="0" fillId="0" borderId="20" xfId="0" applyFill="1" applyBorder="1" applyAlignment="1">
      <alignment horizontal="left" vertical="center" wrapText="1"/>
    </xf>
    <xf numFmtId="0" fontId="0" fillId="0" borderId="21" xfId="0" applyFill="1" applyBorder="1" applyAlignment="1">
      <alignment horizontal="left" vertical="center" wrapText="1"/>
    </xf>
    <xf numFmtId="0" fontId="11" fillId="12" borderId="2" xfId="0" applyFont="1" applyFill="1" applyBorder="1" applyAlignment="1">
      <alignment horizontal="left" vertical="center" wrapText="1"/>
    </xf>
    <xf numFmtId="0" fontId="11" fillId="12" borderId="40" xfId="0" applyFont="1" applyFill="1" applyBorder="1" applyAlignment="1">
      <alignment horizontal="left" vertical="center" wrapText="1"/>
    </xf>
    <xf numFmtId="0" fontId="11" fillId="12" borderId="20" xfId="0" applyFont="1" applyFill="1" applyBorder="1" applyAlignment="1">
      <alignment horizontal="left" vertical="center" wrapText="1"/>
    </xf>
    <xf numFmtId="0" fontId="11" fillId="12" borderId="21" xfId="0" applyFont="1" applyFill="1" applyBorder="1" applyAlignment="1">
      <alignment horizontal="left" vertical="center" wrapText="1"/>
    </xf>
    <xf numFmtId="0" fontId="0" fillId="12" borderId="38" xfId="0" applyFill="1" applyBorder="1" applyAlignment="1">
      <alignment horizontal="left" vertical="center" wrapText="1"/>
    </xf>
    <xf numFmtId="0" fontId="0" fillId="12" borderId="2" xfId="0" applyFill="1" applyBorder="1" applyAlignment="1">
      <alignment horizontal="left" vertical="center" wrapText="1"/>
    </xf>
    <xf numFmtId="0" fontId="0" fillId="12" borderId="40" xfId="0" applyFill="1" applyBorder="1" applyAlignment="1">
      <alignment horizontal="left" vertical="center" wrapText="1"/>
    </xf>
    <xf numFmtId="0" fontId="0" fillId="12" borderId="20" xfId="0" applyFill="1" applyBorder="1" applyAlignment="1">
      <alignment horizontal="left" vertical="center" wrapText="1"/>
    </xf>
    <xf numFmtId="0" fontId="0" fillId="12" borderId="21" xfId="0" applyFill="1" applyBorder="1" applyAlignment="1">
      <alignment horizontal="left" vertical="center" wrapText="1"/>
    </xf>
    <xf numFmtId="0" fontId="0" fillId="0" borderId="38" xfId="0" applyFill="1" applyBorder="1" applyAlignment="1">
      <alignment horizontal="left" vertical="center" wrapText="1"/>
    </xf>
    <xf numFmtId="0" fontId="11" fillId="12" borderId="38" xfId="0" applyFont="1" applyFill="1" applyBorder="1" applyAlignment="1">
      <alignment horizontal="left" vertical="center" wrapText="1"/>
    </xf>
    <xf numFmtId="0" fontId="0" fillId="13" borderId="52" xfId="0" applyFill="1" applyBorder="1" applyAlignment="1">
      <alignment horizontal="left" vertical="center" wrapText="1"/>
    </xf>
    <xf numFmtId="0" fontId="0" fillId="13" borderId="40" xfId="0" applyFill="1" applyBorder="1" applyAlignment="1">
      <alignment horizontal="left" vertical="center" wrapText="1"/>
    </xf>
    <xf numFmtId="0" fontId="0" fillId="0" borderId="33" xfId="0" applyFill="1" applyBorder="1" applyAlignment="1">
      <alignment horizontal="left" vertical="center" wrapText="1"/>
    </xf>
    <xf numFmtId="0" fontId="0" fillId="0" borderId="35" xfId="0" applyFill="1" applyBorder="1" applyAlignment="1">
      <alignment horizontal="left" vertical="center" wrapText="1"/>
    </xf>
    <xf numFmtId="0" fontId="4" fillId="13" borderId="51" xfId="0" applyFont="1" applyFill="1" applyBorder="1" applyAlignment="1">
      <alignment horizontal="left" vertical="center" wrapText="1"/>
    </xf>
    <xf numFmtId="0" fontId="4" fillId="13" borderId="38" xfId="0" applyFont="1" applyFill="1" applyBorder="1" applyAlignment="1">
      <alignment horizontal="left" vertical="center" wrapText="1"/>
    </xf>
    <xf numFmtId="0" fontId="0" fillId="0" borderId="2" xfId="0" applyFill="1" applyBorder="1" applyAlignment="1">
      <alignment horizontal="left" vertical="top" wrapText="1"/>
    </xf>
    <xf numFmtId="0" fontId="0" fillId="0" borderId="40" xfId="0" applyFill="1" applyBorder="1" applyAlignment="1">
      <alignment horizontal="left" vertical="top" wrapText="1"/>
    </xf>
    <xf numFmtId="0" fontId="0" fillId="0" borderId="30" xfId="0" applyFill="1" applyBorder="1" applyAlignment="1">
      <alignment horizontal="left" vertical="center"/>
    </xf>
    <xf numFmtId="0" fontId="0" fillId="0" borderId="25" xfId="0" applyFill="1" applyBorder="1" applyAlignment="1">
      <alignment horizontal="left" vertical="center" wrapText="1"/>
    </xf>
    <xf numFmtId="0" fontId="0" fillId="0" borderId="2" xfId="0" applyFill="1" applyBorder="1" applyAlignment="1">
      <alignment horizontal="right" vertical="center" wrapText="1"/>
    </xf>
    <xf numFmtId="0" fontId="0" fillId="0" borderId="40" xfId="0" applyFill="1" applyBorder="1" applyAlignment="1">
      <alignment horizontal="right" vertical="center" wrapText="1"/>
    </xf>
    <xf numFmtId="0" fontId="0" fillId="0" borderId="27" xfId="0" applyFill="1" applyBorder="1" applyAlignment="1">
      <alignment horizontal="left" vertical="center" wrapText="1"/>
    </xf>
    <xf numFmtId="0" fontId="0" fillId="0" borderId="28" xfId="0" applyFill="1" applyBorder="1" applyAlignment="1">
      <alignment horizontal="left" vertical="center" wrapText="1"/>
    </xf>
    <xf numFmtId="0" fontId="0" fillId="12" borderId="28" xfId="0" applyFill="1" applyBorder="1" applyAlignment="1">
      <alignment horizontal="left" vertical="center" wrapText="1"/>
    </xf>
    <xf numFmtId="0" fontId="0" fillId="5" borderId="2" xfId="0" applyFill="1" applyBorder="1" applyAlignment="1">
      <alignment horizontal="left" vertical="center" wrapText="1"/>
    </xf>
    <xf numFmtId="0" fontId="0" fillId="5" borderId="28" xfId="0" applyFill="1" applyBorder="1" applyAlignment="1">
      <alignment horizontal="left" vertical="center" wrapText="1"/>
    </xf>
    <xf numFmtId="0" fontId="0" fillId="0" borderId="6" xfId="0" applyFill="1" applyBorder="1" applyAlignment="1">
      <alignment horizontal="left" vertical="center" wrapText="1"/>
    </xf>
    <xf numFmtId="0" fontId="0" fillId="0" borderId="7" xfId="0" applyFill="1" applyBorder="1" applyAlignment="1">
      <alignment horizontal="left" vertical="center" wrapText="1"/>
    </xf>
    <xf numFmtId="0" fontId="11" fillId="12" borderId="1" xfId="0" applyFont="1" applyFill="1" applyBorder="1" applyAlignment="1">
      <alignment horizontal="left" vertical="center" wrapText="1"/>
    </xf>
    <xf numFmtId="0" fontId="4" fillId="0" borderId="2" xfId="0" applyFont="1" applyFill="1" applyBorder="1" applyAlignment="1">
      <alignment horizontal="left" vertical="center" wrapText="1"/>
    </xf>
    <xf numFmtId="0" fontId="4" fillId="0" borderId="40" xfId="0" applyFont="1" applyFill="1" applyBorder="1" applyAlignment="1">
      <alignment horizontal="left" vertical="center" wrapText="1"/>
    </xf>
    <xf numFmtId="0" fontId="0" fillId="0" borderId="49" xfId="0" applyFill="1" applyBorder="1" applyAlignment="1">
      <alignment horizontal="left" vertical="center" wrapText="1"/>
    </xf>
    <xf numFmtId="0" fontId="0" fillId="0" borderId="36" xfId="0" applyFill="1" applyBorder="1" applyAlignment="1">
      <alignment horizontal="left" vertical="center" wrapText="1"/>
    </xf>
    <xf numFmtId="0" fontId="0" fillId="0" borderId="42" xfId="0" applyFill="1" applyBorder="1" applyAlignment="1">
      <alignment horizontal="left" vertical="center" wrapText="1"/>
    </xf>
    <xf numFmtId="0" fontId="0" fillId="0" borderId="43" xfId="0" applyFill="1" applyBorder="1" applyAlignment="1">
      <alignment horizontal="left" vertical="center" wrapText="1"/>
    </xf>
    <xf numFmtId="0" fontId="4" fillId="0" borderId="12" xfId="0" applyFont="1" applyFill="1" applyBorder="1" applyAlignment="1">
      <alignment horizontal="left" vertical="center" wrapText="1"/>
    </xf>
    <xf numFmtId="0" fontId="4" fillId="0" borderId="13" xfId="0" applyFont="1" applyFill="1" applyBorder="1" applyAlignment="1">
      <alignment horizontal="left" vertical="center" wrapText="1"/>
    </xf>
    <xf numFmtId="0" fontId="4" fillId="0" borderId="3" xfId="0" applyFont="1" applyFill="1" applyBorder="1" applyAlignment="1">
      <alignment horizontal="left" vertical="center" wrapText="1"/>
    </xf>
    <xf numFmtId="0" fontId="0" fillId="0" borderId="2" xfId="0" applyFill="1" applyBorder="1" applyAlignment="1">
      <alignment horizontal="left"/>
    </xf>
    <xf numFmtId="0" fontId="0" fillId="0" borderId="40" xfId="0" applyFill="1" applyBorder="1" applyAlignment="1">
      <alignment horizontal="left"/>
    </xf>
    <xf numFmtId="0" fontId="0" fillId="0" borderId="44" xfId="0" applyFill="1" applyBorder="1" applyAlignment="1">
      <alignment horizontal="left" vertical="center" wrapText="1"/>
    </xf>
    <xf numFmtId="0" fontId="0" fillId="0" borderId="30" xfId="0" applyFill="1" applyBorder="1" applyAlignment="1">
      <alignment horizontal="left" vertical="center" wrapText="1"/>
    </xf>
    <xf numFmtId="0" fontId="0" fillId="0" borderId="34" xfId="0" applyFill="1" applyBorder="1" applyAlignment="1">
      <alignment horizontal="left" vertical="center" wrapText="1"/>
    </xf>
    <xf numFmtId="0" fontId="0" fillId="0" borderId="35" xfId="0" applyFill="1" applyBorder="1" applyAlignment="1">
      <alignment horizontal="left" vertical="center"/>
    </xf>
    <xf numFmtId="0" fontId="0" fillId="0" borderId="19" xfId="0" applyFill="1" applyBorder="1" applyAlignment="1">
      <alignment horizontal="left" vertical="center"/>
    </xf>
    <xf numFmtId="0" fontId="0" fillId="0" borderId="1" xfId="0" applyFill="1" applyBorder="1" applyAlignment="1">
      <alignment horizontal="left"/>
    </xf>
    <xf numFmtId="0" fontId="0" fillId="0" borderId="31" xfId="0" applyFill="1" applyBorder="1" applyAlignment="1">
      <alignment horizontal="left" vertical="center" wrapText="1"/>
    </xf>
    <xf numFmtId="0" fontId="9" fillId="6" borderId="0" xfId="0" applyFont="1" applyFill="1" applyAlignment="1">
      <alignment horizontal="center" vertical="center"/>
    </xf>
    <xf numFmtId="0" fontId="8" fillId="8" borderId="6" xfId="0" applyFont="1" applyFill="1" applyBorder="1" applyAlignment="1">
      <alignment horizontal="center" vertical="center" wrapText="1"/>
    </xf>
    <xf numFmtId="0" fontId="8" fillId="8" borderId="7" xfId="0" applyFont="1" applyFill="1" applyBorder="1" applyAlignment="1">
      <alignment horizontal="center" vertical="center" wrapText="1"/>
    </xf>
    <xf numFmtId="0" fontId="5" fillId="0" borderId="0" xfId="0" applyFont="1" applyFill="1" applyAlignment="1">
      <alignment horizontal="center"/>
    </xf>
    <xf numFmtId="0" fontId="0" fillId="0" borderId="0" xfId="0" applyFill="1" applyAlignment="1">
      <alignment horizontal="center" vertical="center"/>
    </xf>
    <xf numFmtId="0" fontId="6" fillId="2" borderId="2" xfId="0" applyFont="1" applyFill="1" applyBorder="1" applyAlignment="1">
      <alignment horizontal="center" vertical="center" wrapText="1"/>
    </xf>
    <xf numFmtId="0" fontId="6" fillId="2" borderId="3" xfId="0" applyFont="1" applyFill="1" applyBorder="1" applyAlignment="1">
      <alignment horizontal="center" vertical="center" wrapText="1"/>
    </xf>
    <xf numFmtId="0" fontId="6" fillId="2" borderId="1" xfId="0" applyFont="1" applyFill="1" applyBorder="1" applyAlignment="1">
      <alignment horizontal="center" vertical="center" wrapText="1"/>
    </xf>
    <xf numFmtId="0" fontId="0" fillId="0" borderId="0" xfId="0" applyFill="1" applyAlignment="1">
      <alignment horizontal="left" vertical="center"/>
    </xf>
    <xf numFmtId="2" fontId="8" fillId="4" borderId="0" xfId="0" applyNumberFormat="1" applyFont="1" applyFill="1" applyAlignment="1">
      <alignment horizontal="center" vertical="center"/>
    </xf>
    <xf numFmtId="0" fontId="4" fillId="0" borderId="0" xfId="0" applyFont="1" applyFill="1" applyAlignment="1">
      <alignment horizontal="center" vertical="center"/>
    </xf>
    <xf numFmtId="0" fontId="34" fillId="0" borderId="0" xfId="0" applyFont="1" applyAlignment="1">
      <alignment horizontal="center" vertical="center"/>
    </xf>
    <xf numFmtId="1" fontId="33" fillId="0" borderId="54" xfId="0" applyNumberFormat="1" applyFont="1" applyBorder="1" applyAlignment="1">
      <alignment horizontal="left" vertical="center"/>
    </xf>
  </cellXfs>
  <cellStyles count="1">
    <cellStyle name="Normal" xfId="0" builtinId="0"/>
  </cellStyles>
  <dxfs count="92">
    <dxf>
      <font>
        <b/>
        <i val="0"/>
        <sz val="10"/>
        <color rgb="FF00B050"/>
        <name val="Calibri"/>
        <scheme val="none"/>
      </font>
    </dxf>
    <dxf>
      <font>
        <b/>
        <i val="0"/>
        <sz val="10"/>
        <color rgb="FFFF0000"/>
        <name val="Calibri"/>
        <scheme val="none"/>
      </font>
    </dxf>
    <dxf>
      <font>
        <b/>
        <i val="0"/>
        <sz val="10"/>
        <color rgb="FF00B050"/>
        <name val="Calibri"/>
        <scheme val="none"/>
      </font>
    </dxf>
    <dxf>
      <font>
        <b/>
        <i val="0"/>
        <sz val="10"/>
        <color rgb="FFFF0000"/>
        <name val="Calibri"/>
        <scheme val="none"/>
      </font>
    </dxf>
    <dxf>
      <font>
        <sz val="10"/>
        <color rgb="FFFFFFFF"/>
        <name val="Calibri"/>
        <scheme val="none"/>
      </font>
      <fill>
        <patternFill patternType="solid">
          <fgColor rgb="FF000000"/>
          <bgColor rgb="FF00B050"/>
        </patternFill>
      </fill>
    </dxf>
    <dxf>
      <font>
        <b/>
        <i val="0"/>
        <sz val="10"/>
        <color rgb="FFFFFFFF"/>
        <name val="Calibri"/>
        <scheme val="none"/>
      </font>
      <fill>
        <patternFill patternType="solid">
          <fgColor rgb="FF000000"/>
          <bgColor rgb="FFFF0000"/>
        </patternFill>
      </fill>
    </dxf>
    <dxf>
      <fill>
        <patternFill patternType="solid">
          <fgColor rgb="FF000000"/>
          <bgColor rgb="FFD8D8D8"/>
        </patternFill>
      </fill>
    </dxf>
    <dxf>
      <fill>
        <patternFill patternType="solid">
          <fgColor rgb="FF000000"/>
          <bgColor rgb="FFD8D8D8"/>
        </patternFill>
      </fill>
    </dxf>
    <dxf>
      <fill>
        <patternFill patternType="solid">
          <fgColor rgb="FF000000"/>
          <bgColor rgb="FFD8D8D8"/>
        </patternFill>
      </fill>
    </dxf>
    <dxf>
      <fill>
        <patternFill patternType="solid">
          <fgColor rgb="FF000000"/>
          <bgColor rgb="FFD8D8D8"/>
        </patternFill>
      </fill>
    </dxf>
    <dxf>
      <fill>
        <patternFill patternType="solid">
          <fgColor rgb="FF000000"/>
          <bgColor rgb="FFD8D8D8"/>
        </patternFill>
      </fill>
    </dxf>
    <dxf>
      <fill>
        <patternFill patternType="solid">
          <fgColor rgb="FF000000"/>
          <bgColor rgb="FFD8D8D8"/>
        </patternFill>
      </fill>
    </dxf>
    <dxf>
      <fill>
        <patternFill patternType="solid">
          <fgColor rgb="FF000000"/>
          <bgColor rgb="FFD8D8D8"/>
        </patternFill>
      </fill>
    </dxf>
    <dxf>
      <fill>
        <patternFill patternType="solid">
          <fgColor rgb="FF000000"/>
          <bgColor rgb="FFD8D8D8"/>
        </patternFill>
      </fill>
    </dxf>
    <dxf>
      <fill>
        <patternFill patternType="solid">
          <fgColor rgb="FF000000"/>
          <bgColor rgb="FFD8D8D8"/>
        </patternFill>
      </fill>
    </dxf>
    <dxf>
      <fill>
        <patternFill patternType="solid">
          <fgColor rgb="FF000000"/>
          <bgColor rgb="FFD8D8D8"/>
        </patternFill>
      </fill>
    </dxf>
    <dxf>
      <fill>
        <patternFill patternType="solid">
          <fgColor rgb="FF000000"/>
          <bgColor rgb="FF000000"/>
        </patternFill>
      </fill>
    </dxf>
    <dxf>
      <fill>
        <patternFill patternType="solid">
          <fgColor rgb="FF000000"/>
          <bgColor rgb="FFD8D8D8"/>
        </patternFill>
      </fill>
    </dxf>
    <dxf>
      <fill>
        <patternFill patternType="solid">
          <fgColor rgb="FF000000"/>
          <bgColor rgb="FFD8D8D8"/>
        </patternFill>
      </fill>
    </dxf>
    <dxf>
      <font>
        <b/>
        <i val="0"/>
        <sz val="10"/>
        <color rgb="FF00B050"/>
        <name val="Calibri"/>
        <scheme val="none"/>
      </font>
    </dxf>
    <dxf>
      <font>
        <b/>
        <i val="0"/>
        <sz val="10"/>
        <color rgb="FFFF0000"/>
        <name val="Calibri"/>
        <scheme val="none"/>
      </font>
    </dxf>
    <dxf>
      <fill>
        <patternFill patternType="solid">
          <fgColor rgb="FF000000"/>
          <bgColor rgb="FFD8D8D8"/>
        </patternFill>
      </fill>
    </dxf>
    <dxf>
      <fill>
        <patternFill patternType="solid">
          <fgColor rgb="FF000000"/>
          <bgColor rgb="FFD8D8D8"/>
        </patternFill>
      </fill>
    </dxf>
    <dxf>
      <fill>
        <patternFill patternType="solid">
          <fgColor rgb="FF000000"/>
          <bgColor rgb="FFD8D8D8"/>
        </patternFill>
      </fill>
    </dxf>
    <dxf>
      <fill>
        <patternFill patternType="solid">
          <fgColor rgb="FF000000"/>
          <bgColor rgb="FFD8D8D8"/>
        </patternFill>
      </fill>
    </dxf>
    <dxf>
      <fill>
        <patternFill patternType="solid">
          <fgColor rgb="FF000000"/>
          <bgColor rgb="FFD8D8D8"/>
        </patternFill>
      </fill>
    </dxf>
    <dxf>
      <font>
        <b/>
        <i val="0"/>
        <sz val="10"/>
        <color rgb="FF00B050"/>
        <name val="Calibri"/>
        <scheme val="none"/>
      </font>
    </dxf>
    <dxf>
      <font>
        <b/>
        <i val="0"/>
        <sz val="10"/>
        <color rgb="FFFF0000"/>
        <name val="Calibri"/>
        <scheme val="none"/>
      </font>
    </dxf>
    <dxf>
      <font>
        <b/>
        <i val="0"/>
        <sz val="10"/>
        <color rgb="FF00B050"/>
        <name val="Calibri"/>
        <scheme val="none"/>
      </font>
    </dxf>
    <dxf>
      <font>
        <b/>
        <i val="0"/>
        <sz val="10"/>
        <color rgb="FFFF0000"/>
        <name val="Calibri"/>
        <scheme val="none"/>
      </font>
    </dxf>
    <dxf>
      <font>
        <b/>
        <i val="0"/>
        <sz val="10"/>
        <color rgb="FF00B050"/>
        <name val="Calibri"/>
        <scheme val="none"/>
      </font>
    </dxf>
    <dxf>
      <font>
        <b/>
        <i val="0"/>
        <sz val="10"/>
        <color rgb="FFFF0000"/>
        <name val="Calibri"/>
        <scheme val="none"/>
      </font>
    </dxf>
    <dxf>
      <font>
        <b/>
        <i val="0"/>
        <sz val="10"/>
        <color rgb="FF00B050"/>
        <name val="Calibri"/>
        <scheme val="none"/>
      </font>
    </dxf>
    <dxf>
      <font>
        <b/>
        <i val="0"/>
        <sz val="10"/>
        <color rgb="FFFF0000"/>
        <name val="Calibri"/>
        <scheme val="none"/>
      </font>
    </dxf>
    <dxf>
      <font>
        <b/>
        <i val="0"/>
        <sz val="10"/>
        <color rgb="FF00B050"/>
        <name val="Calibri"/>
        <scheme val="none"/>
      </font>
    </dxf>
    <dxf>
      <font>
        <b/>
        <i val="0"/>
        <sz val="10"/>
        <color rgb="FFFF0000"/>
        <name val="Calibri"/>
        <scheme val="none"/>
      </font>
    </dxf>
    <dxf>
      <font>
        <b/>
        <i val="0"/>
        <sz val="10"/>
        <color rgb="FF00B050"/>
        <name val="Calibri"/>
        <scheme val="none"/>
      </font>
    </dxf>
    <dxf>
      <font>
        <b/>
        <i val="0"/>
        <sz val="10"/>
        <color rgb="FFFF0000"/>
        <name val="Calibri"/>
        <scheme val="none"/>
      </font>
    </dxf>
    <dxf>
      <font>
        <sz val="10"/>
        <color rgb="FFFFFFFF"/>
        <name val="Calibri"/>
        <scheme val="none"/>
      </font>
      <fill>
        <patternFill patternType="solid">
          <fgColor rgb="FF000000"/>
          <bgColor rgb="FF00B050"/>
        </patternFill>
      </fill>
    </dxf>
    <dxf>
      <font>
        <b/>
        <i val="0"/>
        <sz val="10"/>
        <color rgb="FFFFFFFF"/>
        <name val="Calibri"/>
        <scheme val="none"/>
      </font>
      <fill>
        <patternFill patternType="solid">
          <fgColor rgb="FF000000"/>
          <bgColor rgb="FFFF0000"/>
        </patternFill>
      </fill>
    </dxf>
    <dxf>
      <font>
        <sz val="10"/>
        <color rgb="FFFFFFFF"/>
        <name val="Calibri"/>
        <scheme val="none"/>
      </font>
      <fill>
        <patternFill patternType="solid">
          <fgColor rgb="FF000000"/>
          <bgColor rgb="FFFF0000"/>
        </patternFill>
      </fill>
    </dxf>
    <dxf>
      <font>
        <sz val="10"/>
        <color rgb="FFFFFFFF"/>
        <name val="Calibri"/>
        <scheme val="none"/>
      </font>
      <fill>
        <patternFill patternType="solid">
          <fgColor rgb="FF000000"/>
          <bgColor rgb="FFFF0000"/>
        </patternFill>
      </fill>
    </dxf>
    <dxf>
      <font>
        <sz val="10"/>
        <color rgb="FFFFFFFF"/>
        <name val="Calibri"/>
        <scheme val="none"/>
      </font>
      <fill>
        <patternFill patternType="solid">
          <fgColor rgb="FF000000"/>
          <bgColor rgb="FFFF0000"/>
        </patternFill>
      </fill>
    </dxf>
    <dxf>
      <font>
        <sz val="10"/>
        <color rgb="FFFFFFFF"/>
        <name val="Calibri"/>
        <scheme val="none"/>
      </font>
      <fill>
        <patternFill patternType="solid">
          <fgColor rgb="FF000000"/>
          <bgColor rgb="FFFF0000"/>
        </patternFill>
      </fill>
    </dxf>
    <dxf>
      <font>
        <sz val="10"/>
        <color rgb="FFFFFFFF"/>
        <name val="Calibri"/>
        <scheme val="none"/>
      </font>
      <fill>
        <patternFill patternType="solid">
          <fgColor rgb="FF000000"/>
          <bgColor rgb="FFFF0000"/>
        </patternFill>
      </fill>
    </dxf>
    <dxf>
      <font>
        <sz val="10"/>
        <color rgb="FFFFFFFF"/>
        <name val="Calibri"/>
        <scheme val="none"/>
      </font>
      <fill>
        <patternFill patternType="solid">
          <fgColor rgb="FF000000"/>
          <bgColor rgb="FFFF0000"/>
        </patternFill>
      </fill>
    </dxf>
    <dxf>
      <font>
        <sz val="10"/>
        <color rgb="FFFFFFFF"/>
        <name val="Calibri"/>
        <scheme val="none"/>
      </font>
      <fill>
        <patternFill patternType="solid">
          <fgColor rgb="FF000000"/>
          <bgColor rgb="FFFF0000"/>
        </patternFill>
      </fill>
    </dxf>
    <dxf>
      <font>
        <sz val="10"/>
        <color rgb="FFFFFFFF"/>
        <name val="Calibri"/>
        <scheme val="none"/>
      </font>
      <fill>
        <patternFill patternType="solid">
          <fgColor rgb="FF000000"/>
          <bgColor rgb="FFFF0000"/>
        </patternFill>
      </fill>
    </dxf>
    <dxf>
      <font>
        <sz val="10"/>
        <color rgb="FFFFFFFF"/>
        <name val="Calibri"/>
        <scheme val="none"/>
      </font>
      <fill>
        <patternFill patternType="solid">
          <fgColor rgb="FF000000"/>
          <bgColor rgb="FFFF0000"/>
        </patternFill>
      </fill>
    </dxf>
    <dxf>
      <font>
        <sz val="10"/>
        <color rgb="FFFFFFFF"/>
        <name val="Calibri"/>
        <scheme val="none"/>
      </font>
      <fill>
        <patternFill patternType="solid">
          <fgColor rgb="FF000000"/>
          <bgColor rgb="FFFF0000"/>
        </patternFill>
      </fill>
    </dxf>
    <dxf>
      <font>
        <sz val="10"/>
        <color rgb="FFFFFFFF"/>
        <name val="Calibri"/>
        <scheme val="none"/>
      </font>
      <fill>
        <patternFill patternType="solid">
          <fgColor rgb="FF000000"/>
          <bgColor rgb="FFFF0000"/>
        </patternFill>
      </fill>
    </dxf>
    <dxf>
      <font>
        <sz val="10"/>
        <color rgb="FFFFFFFF"/>
        <name val="Calibri"/>
        <scheme val="none"/>
      </font>
      <fill>
        <patternFill patternType="solid">
          <fgColor rgb="FF000000"/>
          <bgColor rgb="FFFF0000"/>
        </patternFill>
      </fill>
    </dxf>
    <dxf>
      <font>
        <sz val="10"/>
        <color rgb="FFFFFFFF"/>
        <name val="Calibri"/>
        <scheme val="none"/>
      </font>
      <fill>
        <patternFill patternType="solid">
          <fgColor rgb="FF000000"/>
          <bgColor rgb="FFFF0000"/>
        </patternFill>
      </fill>
    </dxf>
    <dxf>
      <font>
        <sz val="10"/>
        <color rgb="FFFFFFFF"/>
        <name val="Calibri"/>
        <scheme val="none"/>
      </font>
      <fill>
        <patternFill patternType="solid">
          <fgColor rgb="FF000000"/>
          <bgColor rgb="FFFF0000"/>
        </patternFill>
      </fill>
    </dxf>
    <dxf>
      <font>
        <sz val="10"/>
        <color rgb="FFFFFFFF"/>
        <name val="Calibri"/>
        <scheme val="none"/>
      </font>
      <fill>
        <patternFill patternType="solid">
          <fgColor rgb="FF000000"/>
          <bgColor rgb="FFFF0000"/>
        </patternFill>
      </fill>
    </dxf>
    <dxf>
      <font>
        <sz val="10"/>
        <color rgb="FFFFFFFF"/>
        <name val="Calibri"/>
        <scheme val="none"/>
      </font>
      <fill>
        <patternFill patternType="solid">
          <fgColor rgb="FF000000"/>
          <bgColor rgb="FFFF0000"/>
        </patternFill>
      </fill>
    </dxf>
    <dxf>
      <font>
        <sz val="10"/>
        <color rgb="FFFFFFFF"/>
        <name val="Calibri"/>
        <scheme val="none"/>
      </font>
      <fill>
        <patternFill patternType="solid">
          <fgColor rgb="FF000000"/>
          <bgColor rgb="FFFF0000"/>
        </patternFill>
      </fill>
    </dxf>
    <dxf>
      <font>
        <sz val="10"/>
        <color rgb="FFFFFFFF"/>
        <name val="Calibri"/>
        <scheme val="none"/>
      </font>
      <fill>
        <patternFill patternType="solid">
          <fgColor rgb="FF000000"/>
          <bgColor rgb="FFFF0000"/>
        </patternFill>
      </fill>
    </dxf>
    <dxf>
      <font>
        <sz val="10"/>
        <color rgb="FFFFFFFF"/>
        <name val="Calibri"/>
        <scheme val="none"/>
      </font>
      <fill>
        <patternFill patternType="solid">
          <fgColor rgb="FF000000"/>
          <bgColor rgb="FFFF0000"/>
        </patternFill>
      </fill>
    </dxf>
    <dxf>
      <font>
        <sz val="10"/>
        <color rgb="FFFFFFFF"/>
        <name val="Calibri"/>
        <scheme val="none"/>
      </font>
      <fill>
        <patternFill patternType="solid">
          <fgColor rgb="FF000000"/>
          <bgColor rgb="FFFF0000"/>
        </patternFill>
      </fill>
    </dxf>
    <dxf>
      <font>
        <sz val="10"/>
        <color rgb="FFFFFFFF"/>
        <name val="Calibri"/>
        <scheme val="none"/>
      </font>
      <fill>
        <patternFill patternType="solid">
          <fgColor rgb="FF000000"/>
          <bgColor rgb="FFFF0000"/>
        </patternFill>
      </fill>
    </dxf>
    <dxf>
      <font>
        <sz val="10"/>
        <color rgb="FFFFFFFF"/>
        <name val="Calibri"/>
        <scheme val="none"/>
      </font>
      <fill>
        <patternFill patternType="solid">
          <fgColor rgb="FF000000"/>
          <bgColor rgb="FFFF0000"/>
        </patternFill>
      </fill>
    </dxf>
    <dxf>
      <font>
        <sz val="10"/>
        <color rgb="FFFFFFFF"/>
        <name val="Calibri"/>
        <scheme val="none"/>
      </font>
      <fill>
        <patternFill patternType="solid">
          <fgColor rgb="FF000000"/>
          <bgColor rgb="FFFF0000"/>
        </patternFill>
      </fill>
    </dxf>
    <dxf>
      <font>
        <sz val="10"/>
        <color rgb="FFFFFFFF"/>
        <name val="Calibri"/>
        <scheme val="none"/>
      </font>
      <fill>
        <patternFill patternType="solid">
          <fgColor rgb="FF000000"/>
          <bgColor rgb="FFFF0000"/>
        </patternFill>
      </fill>
    </dxf>
    <dxf>
      <font>
        <sz val="10"/>
        <color rgb="FFFFFFFF"/>
        <name val="Calibri"/>
        <scheme val="none"/>
      </font>
      <fill>
        <patternFill patternType="solid">
          <fgColor rgb="FF000000"/>
          <bgColor rgb="FFFF0000"/>
        </patternFill>
      </fill>
    </dxf>
    <dxf>
      <font>
        <sz val="10"/>
        <color rgb="FFFFFFFF"/>
        <name val="Calibri"/>
        <scheme val="none"/>
      </font>
      <fill>
        <patternFill patternType="solid">
          <fgColor rgb="FF000000"/>
          <bgColor rgb="FFFF0000"/>
        </patternFill>
      </fill>
    </dxf>
    <dxf>
      <font>
        <sz val="10"/>
        <color rgb="FFFFFFFF"/>
        <name val="Calibri"/>
        <scheme val="none"/>
      </font>
      <fill>
        <patternFill patternType="solid">
          <fgColor rgb="FF000000"/>
          <bgColor rgb="FFFF0000"/>
        </patternFill>
      </fill>
    </dxf>
    <dxf>
      <font>
        <sz val="10"/>
        <color rgb="FFFFFFFF"/>
        <name val="Calibri"/>
        <scheme val="none"/>
      </font>
      <fill>
        <patternFill patternType="solid">
          <fgColor rgb="FF000000"/>
          <bgColor rgb="FFFF0000"/>
        </patternFill>
      </fill>
    </dxf>
    <dxf>
      <font>
        <sz val="10"/>
        <color rgb="FFFFFFFF"/>
        <name val="Calibri"/>
        <scheme val="none"/>
      </font>
      <fill>
        <patternFill patternType="solid">
          <fgColor rgb="FF000000"/>
          <bgColor rgb="FFFF0000"/>
        </patternFill>
      </fill>
    </dxf>
    <dxf>
      <font>
        <sz val="10"/>
        <color rgb="FFFFFFFF"/>
        <name val="Calibri"/>
        <scheme val="none"/>
      </font>
      <fill>
        <patternFill patternType="solid">
          <fgColor rgb="FF000000"/>
          <bgColor rgb="FFFF0000"/>
        </patternFill>
      </fill>
    </dxf>
    <dxf>
      <font>
        <sz val="10"/>
        <color rgb="FFFFFFFF"/>
        <name val="Calibri"/>
        <scheme val="none"/>
      </font>
      <fill>
        <patternFill patternType="solid">
          <fgColor rgb="FF000000"/>
          <bgColor rgb="FFFF0000"/>
        </patternFill>
      </fill>
    </dxf>
    <dxf>
      <font>
        <sz val="10"/>
        <color rgb="FFFFFFFF"/>
        <name val="Calibri"/>
        <scheme val="none"/>
      </font>
      <fill>
        <patternFill patternType="solid">
          <fgColor rgb="FF000000"/>
          <bgColor rgb="FFFF0000"/>
        </patternFill>
      </fill>
    </dxf>
    <dxf>
      <font>
        <sz val="10"/>
        <color rgb="FFFFFFFF"/>
        <name val="Calibri"/>
        <scheme val="none"/>
      </font>
      <fill>
        <patternFill patternType="solid">
          <fgColor rgb="FF000000"/>
          <bgColor rgb="FFFF0000"/>
        </patternFill>
      </fill>
    </dxf>
    <dxf>
      <font>
        <sz val="10"/>
        <color rgb="FFFFFFFF"/>
        <name val="Calibri"/>
        <scheme val="none"/>
      </font>
      <fill>
        <patternFill patternType="solid">
          <fgColor rgb="FF000000"/>
          <bgColor rgb="FFFF0000"/>
        </patternFill>
      </fill>
    </dxf>
    <dxf>
      <font>
        <sz val="10"/>
        <color rgb="FFFFFFFF"/>
        <name val="Calibri"/>
        <scheme val="none"/>
      </font>
      <fill>
        <patternFill patternType="solid">
          <fgColor rgb="FF000000"/>
          <bgColor rgb="FFFF0000"/>
        </patternFill>
      </fill>
    </dxf>
    <dxf>
      <font>
        <sz val="10"/>
        <color rgb="FFFFFFFF"/>
        <name val="Calibri"/>
        <scheme val="none"/>
      </font>
      <fill>
        <patternFill patternType="solid">
          <fgColor rgb="FF000000"/>
          <bgColor rgb="FFFF0000"/>
        </patternFill>
      </fill>
    </dxf>
    <dxf>
      <font>
        <sz val="10"/>
        <color rgb="FFFFFFFF"/>
        <name val="Calibri"/>
        <scheme val="none"/>
      </font>
      <fill>
        <patternFill patternType="solid">
          <fgColor rgb="FF000000"/>
          <bgColor rgb="FFFF0000"/>
        </patternFill>
      </fill>
    </dxf>
    <dxf>
      <font>
        <sz val="10"/>
        <color rgb="FFFFFFFF"/>
        <name val="Calibri"/>
        <scheme val="none"/>
      </font>
      <fill>
        <patternFill patternType="solid">
          <fgColor rgb="FF000000"/>
          <bgColor rgb="FFFF0000"/>
        </patternFill>
      </fill>
    </dxf>
    <dxf>
      <font>
        <sz val="10"/>
        <color rgb="FFFFFFFF"/>
        <name val="Calibri"/>
        <scheme val="none"/>
      </font>
      <fill>
        <patternFill patternType="solid">
          <fgColor rgb="FF000000"/>
          <bgColor rgb="FFFF0000"/>
        </patternFill>
      </fill>
    </dxf>
    <dxf>
      <font>
        <sz val="10"/>
        <color rgb="FFFFFFFF"/>
        <name val="Calibri"/>
        <scheme val="none"/>
      </font>
      <fill>
        <patternFill patternType="solid">
          <fgColor rgb="FF000000"/>
          <bgColor rgb="FFFF0000"/>
        </patternFill>
      </fill>
    </dxf>
    <dxf>
      <font>
        <sz val="10"/>
        <color rgb="FFFFFFFF"/>
        <name val="Calibri"/>
        <scheme val="none"/>
      </font>
      <fill>
        <patternFill patternType="solid">
          <fgColor rgb="FF000000"/>
          <bgColor rgb="FFFF0000"/>
        </patternFill>
      </fill>
    </dxf>
    <dxf>
      <fill>
        <patternFill patternType="solid">
          <fgColor rgb="FF000000"/>
          <bgColor rgb="FFD8D8D8"/>
        </patternFill>
      </fill>
    </dxf>
    <dxf>
      <font>
        <sz val="10"/>
        <color rgb="FFFFFFFF"/>
        <name val="Calibri"/>
        <scheme val="none"/>
      </font>
      <fill>
        <patternFill patternType="solid">
          <fgColor rgb="FF000000"/>
          <bgColor rgb="FFFF0000"/>
        </patternFill>
      </fill>
    </dxf>
    <dxf>
      <font>
        <sz val="10"/>
        <color rgb="FFFFFFFF"/>
        <name val="Calibri"/>
        <scheme val="none"/>
      </font>
      <fill>
        <patternFill patternType="solid">
          <fgColor rgb="FF000000"/>
          <bgColor rgb="FFFF0000"/>
        </patternFill>
      </fill>
    </dxf>
    <dxf>
      <font>
        <sz val="10"/>
        <color rgb="FFFFFFFF"/>
        <name val="Calibri"/>
        <scheme val="none"/>
      </font>
      <fill>
        <patternFill patternType="solid">
          <fgColor rgb="FF000000"/>
          <bgColor rgb="FFFF0000"/>
        </patternFill>
      </fill>
    </dxf>
    <dxf>
      <font>
        <sz val="10"/>
        <color rgb="FFFFFFFF"/>
        <name val="Calibri"/>
        <scheme val="none"/>
      </font>
      <fill>
        <patternFill patternType="solid">
          <fgColor rgb="FF000000"/>
          <bgColor rgb="FFFF0000"/>
        </patternFill>
      </fill>
    </dxf>
    <dxf>
      <font>
        <sz val="10"/>
        <color rgb="FFFFFFFF"/>
        <name val="Calibri"/>
        <scheme val="none"/>
      </font>
      <fill>
        <patternFill patternType="solid">
          <fgColor rgb="FF000000"/>
          <bgColor rgb="FFFF0000"/>
        </patternFill>
      </fill>
    </dxf>
    <dxf>
      <font>
        <sz val="10"/>
        <color rgb="FFFFFFFF"/>
        <name val="Calibri"/>
        <scheme val="none"/>
      </font>
      <fill>
        <patternFill patternType="solid">
          <fgColor rgb="FF000000"/>
          <bgColor rgb="FFFF0000"/>
        </patternFill>
      </fill>
    </dxf>
    <dxf>
      <font>
        <sz val="10"/>
        <color rgb="FFFFFFFF"/>
        <name val="Calibri"/>
        <scheme val="none"/>
      </font>
      <fill>
        <patternFill patternType="solid">
          <fgColor rgb="FF000000"/>
          <bgColor rgb="FFFF0000"/>
        </patternFill>
      </fill>
    </dxf>
    <dxf>
      <font>
        <sz val="10"/>
        <color rgb="FFFFFFFF"/>
        <name val="Calibri"/>
        <scheme val="none"/>
      </font>
      <fill>
        <patternFill patternType="solid">
          <fgColor rgb="FF000000"/>
          <bgColor rgb="FFFF0000"/>
        </patternFill>
      </fill>
    </dxf>
    <dxf>
      <font>
        <sz val="10"/>
        <color rgb="FFFFFFFF"/>
        <name val="Calibri"/>
        <scheme val="none"/>
      </font>
      <fill>
        <patternFill patternType="solid">
          <fgColor rgb="FF000000"/>
          <bgColor rgb="FFFF0000"/>
        </patternFill>
      </fill>
    </dxf>
    <dxf>
      <font>
        <sz val="10"/>
        <color rgb="FFFFFFFF"/>
        <name val="Calibri"/>
        <scheme val="none"/>
      </font>
      <fill>
        <patternFill patternType="solid">
          <fgColor rgb="FF000000"/>
          <bgColor rgb="FFFF0000"/>
        </patternFill>
      </fill>
    </dxf>
  </dxfs>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25"/>
  <sheetViews>
    <sheetView zoomScale="80" zoomScaleNormal="80" workbookViewId="0">
      <selection activeCell="H11" sqref="H11:R11"/>
    </sheetView>
  </sheetViews>
  <sheetFormatPr defaultColWidth="8.5703125" defaultRowHeight="15" customHeight="1"/>
  <cols>
    <col min="1" max="1" width="3.5703125" style="15" customWidth="1"/>
    <col min="2" max="8" width="8.5703125" style="15"/>
    <col min="9" max="9" width="3.7109375" style="15" customWidth="1"/>
    <col min="10" max="21" width="8.5703125" style="15"/>
    <col min="22" max="22" width="2.5703125" style="15" customWidth="1"/>
    <col min="23" max="23" width="8.5703125" style="15"/>
  </cols>
  <sheetData>
    <row r="1" spans="1:27" ht="15" customHeight="1">
      <c r="A1" s="194"/>
      <c r="B1" s="194"/>
      <c r="C1" s="194"/>
      <c r="D1" s="195"/>
      <c r="E1" s="195"/>
      <c r="F1" s="195"/>
      <c r="G1" s="195"/>
      <c r="H1" s="196"/>
      <c r="I1" s="196"/>
      <c r="J1" s="196"/>
      <c r="K1" s="196"/>
      <c r="L1" s="195"/>
      <c r="M1" s="195"/>
      <c r="N1" s="195"/>
      <c r="O1" s="195"/>
      <c r="P1" s="195"/>
      <c r="Q1" s="195"/>
      <c r="R1" s="195"/>
      <c r="S1" s="195"/>
      <c r="T1" s="195"/>
      <c r="U1" s="195"/>
      <c r="V1" s="195"/>
      <c r="AA1" s="216" t="s">
        <v>0</v>
      </c>
    </row>
    <row r="2" spans="1:27" ht="27" customHeight="1">
      <c r="A2" s="233" t="s">
        <v>1</v>
      </c>
      <c r="B2" s="233"/>
      <c r="C2" s="233"/>
      <c r="D2" s="233"/>
      <c r="E2" s="233"/>
      <c r="F2" s="233"/>
      <c r="G2" s="233"/>
      <c r="H2" s="233"/>
      <c r="I2" s="233"/>
      <c r="J2" s="233"/>
      <c r="K2" s="233"/>
      <c r="L2" s="233"/>
      <c r="M2" s="233"/>
      <c r="N2" s="233"/>
      <c r="O2" s="233"/>
      <c r="P2" s="233"/>
      <c r="Q2" s="233"/>
      <c r="R2" s="233"/>
      <c r="S2" s="233"/>
      <c r="T2" s="233"/>
      <c r="U2" s="233"/>
      <c r="V2" s="233"/>
    </row>
    <row r="3" spans="1:27" ht="27" customHeight="1">
      <c r="A3" s="234" t="s">
        <v>2</v>
      </c>
      <c r="B3" s="234"/>
      <c r="C3" s="234"/>
      <c r="D3" s="234"/>
      <c r="E3" s="234"/>
      <c r="F3" s="234"/>
      <c r="G3" s="234"/>
      <c r="H3" s="234"/>
      <c r="I3" s="234"/>
      <c r="J3" s="234"/>
      <c r="K3" s="234"/>
      <c r="L3" s="234"/>
      <c r="M3" s="234"/>
      <c r="N3" s="234"/>
      <c r="O3" s="234"/>
      <c r="P3" s="234"/>
      <c r="Q3" s="234"/>
      <c r="R3" s="234"/>
      <c r="S3" s="234"/>
      <c r="T3" s="234"/>
      <c r="U3" s="234"/>
      <c r="V3" s="234"/>
    </row>
    <row r="4" spans="1:27" ht="15" customHeight="1">
      <c r="A4" s="195"/>
      <c r="B4" s="195"/>
      <c r="C4" s="195"/>
      <c r="D4" s="195"/>
      <c r="E4" s="195"/>
      <c r="F4" s="195"/>
      <c r="G4" s="197"/>
      <c r="H4" s="197"/>
      <c r="I4" s="197"/>
      <c r="J4" s="197"/>
      <c r="K4" s="197"/>
      <c r="L4" s="197"/>
      <c r="M4" s="197"/>
      <c r="N4" s="197"/>
      <c r="O4" s="197"/>
      <c r="P4" s="197"/>
      <c r="Q4" s="195"/>
      <c r="R4" s="195"/>
      <c r="S4" s="195"/>
      <c r="T4" s="195"/>
      <c r="U4" s="195"/>
      <c r="V4" s="195"/>
    </row>
    <row r="5" spans="1:27" ht="26.65" customHeight="1">
      <c r="A5" s="235" t="s">
        <v>3</v>
      </c>
      <c r="B5" s="235"/>
      <c r="C5" s="235"/>
      <c r="D5" s="235"/>
      <c r="E5" s="235"/>
      <c r="F5" s="235"/>
      <c r="G5" s="235"/>
      <c r="H5" s="235"/>
      <c r="I5" s="235"/>
      <c r="J5" s="235"/>
      <c r="K5" s="235"/>
      <c r="L5" s="235"/>
      <c r="M5" s="235"/>
      <c r="N5" s="235"/>
      <c r="O5" s="235"/>
      <c r="P5" s="235"/>
      <c r="Q5" s="235"/>
      <c r="R5" s="235"/>
      <c r="S5" s="235"/>
      <c r="T5" s="235"/>
      <c r="U5" s="235"/>
      <c r="V5" s="235"/>
    </row>
    <row r="6" spans="1:27" ht="15" customHeight="1">
      <c r="A6" s="195"/>
      <c r="B6" s="195"/>
      <c r="C6" s="195"/>
      <c r="D6" s="195"/>
      <c r="E6" s="195"/>
      <c r="F6" s="195"/>
      <c r="G6" s="197"/>
      <c r="H6" s="197"/>
      <c r="I6" s="197"/>
      <c r="J6" s="197"/>
      <c r="K6" s="197"/>
      <c r="L6" s="197"/>
      <c r="M6" s="197"/>
      <c r="N6" s="197"/>
      <c r="O6" s="197"/>
      <c r="P6" s="197"/>
      <c r="Q6" s="195"/>
      <c r="R6" s="195"/>
      <c r="S6" s="195"/>
      <c r="T6" s="195"/>
      <c r="U6" s="195"/>
      <c r="V6" s="195"/>
    </row>
    <row r="7" spans="1:27" s="193" customFormat="1" ht="24" customHeight="1">
      <c r="A7" s="195"/>
      <c r="B7" s="198"/>
      <c r="C7" s="199" t="s">
        <v>4</v>
      </c>
      <c r="D7" s="200"/>
      <c r="E7" s="198"/>
      <c r="F7" s="200"/>
      <c r="G7" s="200" t="s">
        <v>5</v>
      </c>
      <c r="H7" s="236" t="s">
        <v>716</v>
      </c>
      <c r="I7" s="236"/>
      <c r="J7" s="236"/>
      <c r="K7" s="236"/>
      <c r="L7" s="236"/>
      <c r="M7" s="236"/>
      <c r="N7" s="236"/>
      <c r="O7" s="236"/>
      <c r="P7" s="236"/>
      <c r="Q7" s="236"/>
      <c r="R7" s="236"/>
      <c r="S7" s="236"/>
      <c r="T7" s="236"/>
      <c r="U7" s="236"/>
      <c r="V7" s="198"/>
    </row>
    <row r="8" spans="1:27" s="193" customFormat="1" ht="5.85" customHeight="1">
      <c r="A8" s="195"/>
      <c r="B8" s="198"/>
      <c r="C8" s="198"/>
      <c r="D8" s="200"/>
      <c r="E8" s="198"/>
      <c r="F8" s="200"/>
      <c r="G8" s="200"/>
      <c r="H8" s="200"/>
      <c r="I8" s="200"/>
      <c r="J8" s="200"/>
      <c r="K8" s="200"/>
      <c r="L8" s="200"/>
      <c r="M8" s="200"/>
      <c r="N8" s="200"/>
      <c r="O8" s="200"/>
      <c r="P8" s="200"/>
      <c r="Q8" s="200"/>
      <c r="R8" s="200"/>
      <c r="S8" s="200"/>
      <c r="T8" s="200"/>
      <c r="U8" s="200"/>
      <c r="V8" s="198"/>
    </row>
    <row r="9" spans="1:27" s="193" customFormat="1" ht="24" customHeight="1">
      <c r="A9" s="195"/>
      <c r="B9" s="198"/>
      <c r="C9" s="199" t="s">
        <v>6</v>
      </c>
      <c r="D9" s="200"/>
      <c r="E9" s="198"/>
      <c r="F9" s="200"/>
      <c r="G9" s="200" t="s">
        <v>5</v>
      </c>
      <c r="H9" s="230" t="s">
        <v>717</v>
      </c>
      <c r="I9" s="230"/>
      <c r="J9" s="230"/>
      <c r="K9" s="230"/>
      <c r="L9" s="230"/>
      <c r="M9" s="230"/>
      <c r="N9" s="230"/>
      <c r="O9" s="230"/>
      <c r="P9" s="230"/>
      <c r="Q9" s="230"/>
      <c r="R9" s="230"/>
      <c r="S9" s="198"/>
      <c r="T9" s="198"/>
      <c r="U9" s="198"/>
      <c r="V9" s="198"/>
    </row>
    <row r="10" spans="1:27" s="193" customFormat="1" ht="5.85" customHeight="1">
      <c r="A10" s="195"/>
      <c r="B10" s="198"/>
      <c r="C10" s="198"/>
      <c r="D10" s="200"/>
      <c r="E10" s="198"/>
      <c r="F10" s="200"/>
      <c r="G10" s="200"/>
      <c r="H10" s="200"/>
      <c r="I10" s="200"/>
      <c r="J10" s="200"/>
      <c r="K10" s="200"/>
      <c r="L10" s="200"/>
      <c r="M10" s="200"/>
      <c r="N10" s="200"/>
      <c r="O10" s="200"/>
      <c r="P10" s="200"/>
      <c r="Q10" s="200"/>
      <c r="R10" s="200"/>
      <c r="S10" s="200"/>
      <c r="T10" s="200"/>
      <c r="U10" s="200"/>
      <c r="V10" s="198"/>
    </row>
    <row r="11" spans="1:27" s="193" customFormat="1" ht="24" customHeight="1">
      <c r="A11" s="195"/>
      <c r="B11" s="198"/>
      <c r="C11" s="199" t="s">
        <v>7</v>
      </c>
      <c r="D11" s="200"/>
      <c r="E11" s="198"/>
      <c r="F11" s="200"/>
      <c r="G11" s="200" t="s">
        <v>5</v>
      </c>
      <c r="H11" s="230" t="s">
        <v>715</v>
      </c>
      <c r="I11" s="230"/>
      <c r="J11" s="230"/>
      <c r="K11" s="230"/>
      <c r="L11" s="230"/>
      <c r="M11" s="230"/>
      <c r="N11" s="230"/>
      <c r="O11" s="230"/>
      <c r="P11" s="230"/>
      <c r="Q11" s="230"/>
      <c r="R11" s="230"/>
      <c r="S11" s="198"/>
      <c r="T11" s="198"/>
      <c r="U11" s="198"/>
      <c r="V11" s="198"/>
    </row>
    <row r="12" spans="1:27" s="193" customFormat="1" ht="5.85" customHeight="1">
      <c r="A12" s="195"/>
      <c r="B12" s="198"/>
      <c r="C12" s="198"/>
      <c r="D12" s="200"/>
      <c r="E12" s="198"/>
      <c r="F12" s="200"/>
      <c r="G12" s="200"/>
      <c r="H12" s="200"/>
      <c r="I12" s="200"/>
      <c r="J12" s="200"/>
      <c r="K12" s="200"/>
      <c r="L12" s="200"/>
      <c r="M12" s="200"/>
      <c r="N12" s="200"/>
      <c r="O12" s="200"/>
      <c r="P12" s="200"/>
      <c r="Q12" s="200"/>
      <c r="R12" s="200"/>
      <c r="S12" s="200"/>
      <c r="T12" s="200"/>
      <c r="U12" s="200"/>
      <c r="V12" s="198"/>
    </row>
    <row r="13" spans="1:27" s="193" customFormat="1" ht="24" customHeight="1">
      <c r="A13" s="195"/>
      <c r="B13" s="198"/>
      <c r="C13" s="199" t="s">
        <v>8</v>
      </c>
      <c r="D13" s="200"/>
      <c r="E13" s="198"/>
      <c r="F13" s="200"/>
      <c r="G13" s="200" t="s">
        <v>5</v>
      </c>
      <c r="H13" s="201"/>
      <c r="I13" s="201"/>
      <c r="J13" s="201"/>
      <c r="K13" s="209"/>
      <c r="L13" s="209"/>
      <c r="M13" s="209"/>
      <c r="N13" s="209"/>
      <c r="O13" s="209"/>
      <c r="P13" s="209"/>
      <c r="Q13" s="209"/>
      <c r="R13" s="198"/>
      <c r="S13" s="198"/>
      <c r="T13" s="198"/>
      <c r="U13" s="198"/>
      <c r="V13" s="198"/>
    </row>
    <row r="14" spans="1:27" ht="5.85" customHeight="1">
      <c r="A14" s="195"/>
      <c r="B14" s="195"/>
      <c r="C14" s="195"/>
      <c r="D14" s="202"/>
      <c r="E14" s="195"/>
      <c r="F14" s="195"/>
      <c r="G14" s="195"/>
      <c r="H14" s="195"/>
      <c r="I14" s="195"/>
      <c r="J14" s="195"/>
      <c r="K14" s="195"/>
      <c r="L14" s="210"/>
      <c r="M14" s="210"/>
      <c r="N14" s="210"/>
      <c r="O14" s="210"/>
      <c r="P14" s="210"/>
      <c r="Q14" s="210"/>
      <c r="R14" s="195"/>
      <c r="S14" s="195"/>
      <c r="T14" s="195"/>
      <c r="U14" s="195"/>
      <c r="V14" s="195"/>
    </row>
    <row r="15" spans="1:27" s="193" customFormat="1" ht="24" customHeight="1">
      <c r="A15" s="195"/>
      <c r="B15" s="198"/>
      <c r="C15" s="199" t="s">
        <v>9</v>
      </c>
      <c r="D15" s="200"/>
      <c r="E15" s="198"/>
      <c r="F15" s="200"/>
      <c r="G15" s="200" t="s">
        <v>5</v>
      </c>
      <c r="H15" s="203"/>
      <c r="I15" s="217" t="s">
        <v>10</v>
      </c>
      <c r="J15" s="203"/>
      <c r="K15" s="209"/>
      <c r="L15" s="212" t="s">
        <v>11</v>
      </c>
      <c r="M15" s="213" t="s">
        <v>12</v>
      </c>
      <c r="N15" s="214">
        <v>3</v>
      </c>
      <c r="O15" s="209"/>
      <c r="P15" s="209"/>
      <c r="Q15" s="209"/>
      <c r="R15" s="198"/>
      <c r="S15" s="198"/>
      <c r="T15" s="198"/>
      <c r="U15" s="198"/>
      <c r="V15" s="198"/>
    </row>
    <row r="16" spans="1:27" ht="24" customHeight="1">
      <c r="A16" s="195"/>
      <c r="B16" s="195"/>
      <c r="C16" s="204" t="s">
        <v>13</v>
      </c>
      <c r="D16" s="195"/>
      <c r="E16" s="195"/>
      <c r="F16" s="195"/>
      <c r="G16" s="195"/>
      <c r="H16" s="195"/>
      <c r="I16" s="195"/>
      <c r="J16" s="195"/>
      <c r="K16" s="195"/>
      <c r="L16" s="210"/>
      <c r="M16" s="210"/>
      <c r="N16" s="210"/>
      <c r="O16" s="210"/>
      <c r="P16" s="210"/>
      <c r="Q16" s="210"/>
      <c r="R16" s="195"/>
      <c r="S16" s="195"/>
      <c r="T16" s="195"/>
      <c r="U16" s="195"/>
      <c r="V16" s="195"/>
    </row>
    <row r="17" spans="1:22" s="193" customFormat="1" ht="24" customHeight="1">
      <c r="A17" s="195"/>
      <c r="B17" s="195"/>
      <c r="C17" s="205"/>
      <c r="D17" s="202"/>
      <c r="E17" s="195"/>
      <c r="F17" s="195"/>
      <c r="G17" s="195"/>
      <c r="H17" s="195"/>
      <c r="I17" s="195"/>
      <c r="J17" s="195"/>
      <c r="K17" s="195"/>
      <c r="L17" s="231" t="s">
        <v>14</v>
      </c>
      <c r="M17" s="231"/>
      <c r="N17" s="231"/>
      <c r="O17" s="231"/>
      <c r="P17" s="231"/>
      <c r="Q17" s="231"/>
      <c r="R17" s="231"/>
      <c r="S17" s="231"/>
      <c r="T17" s="231"/>
      <c r="U17" s="231"/>
      <c r="V17" s="215"/>
    </row>
    <row r="18" spans="1:22" s="193" customFormat="1" ht="24" customHeight="1">
      <c r="A18" s="195"/>
      <c r="B18" s="195"/>
      <c r="C18" s="195"/>
      <c r="D18" s="202"/>
      <c r="E18" s="195"/>
      <c r="F18" s="195"/>
      <c r="G18" s="195"/>
      <c r="H18" s="195"/>
      <c r="I18" s="195"/>
      <c r="J18" s="195"/>
      <c r="K18" s="195"/>
      <c r="L18" s="232" t="s">
        <v>15</v>
      </c>
      <c r="M18" s="232"/>
      <c r="N18" s="232"/>
      <c r="O18" s="232"/>
      <c r="P18" s="232"/>
      <c r="Q18" s="232"/>
      <c r="R18" s="232"/>
      <c r="S18" s="232"/>
      <c r="T18" s="232"/>
      <c r="U18" s="232"/>
      <c r="V18" s="211"/>
    </row>
    <row r="19" spans="1:22" ht="24" customHeight="1">
      <c r="A19" s="195"/>
      <c r="B19" s="195"/>
      <c r="C19" s="195"/>
      <c r="D19" s="202"/>
      <c r="E19" s="195"/>
      <c r="F19" s="195"/>
      <c r="G19" s="195"/>
      <c r="H19" s="195"/>
      <c r="I19" s="195"/>
      <c r="J19" s="195"/>
      <c r="K19" s="195"/>
      <c r="L19" s="195"/>
      <c r="M19" s="195"/>
      <c r="N19" s="195"/>
      <c r="O19" s="195"/>
      <c r="P19" s="195"/>
      <c r="Q19" s="195"/>
      <c r="R19" s="195"/>
      <c r="S19" s="195"/>
      <c r="T19" s="195"/>
      <c r="U19" s="195"/>
      <c r="V19" s="195"/>
    </row>
    <row r="20" spans="1:22" s="193" customFormat="1" ht="24" customHeight="1">
      <c r="A20" s="195"/>
      <c r="B20" s="195"/>
      <c r="C20" s="195"/>
      <c r="D20" s="202"/>
      <c r="E20" s="195"/>
      <c r="F20" s="195"/>
      <c r="G20" s="195"/>
      <c r="H20" s="195"/>
      <c r="I20" s="195"/>
      <c r="J20" s="195"/>
      <c r="K20" s="195"/>
      <c r="L20" s="199" t="s">
        <v>16</v>
      </c>
      <c r="M20" s="200"/>
      <c r="N20" s="198"/>
      <c r="O20" s="200" t="s">
        <v>5</v>
      </c>
      <c r="P20" s="230"/>
      <c r="Q20" s="230"/>
      <c r="R20" s="230"/>
      <c r="S20" s="230"/>
      <c r="T20" s="230"/>
      <c r="U20" s="230"/>
      <c r="V20" s="198"/>
    </row>
    <row r="21" spans="1:22" s="193" customFormat="1" ht="4.5" customHeight="1">
      <c r="A21" s="195"/>
      <c r="B21" s="195"/>
      <c r="C21" s="195"/>
      <c r="D21" s="202"/>
      <c r="E21" s="195"/>
      <c r="F21" s="195"/>
      <c r="G21" s="195"/>
      <c r="H21" s="195"/>
      <c r="I21" s="195"/>
      <c r="J21" s="195"/>
      <c r="K21" s="195"/>
      <c r="L21" s="198"/>
      <c r="M21" s="200"/>
      <c r="N21" s="198"/>
      <c r="O21" s="200"/>
      <c r="P21" s="200"/>
      <c r="Q21" s="200"/>
      <c r="R21" s="200"/>
      <c r="S21" s="200"/>
      <c r="T21" s="200"/>
      <c r="U21" s="195"/>
      <c r="V21" s="198"/>
    </row>
    <row r="22" spans="1:22" s="193" customFormat="1" ht="24" customHeight="1">
      <c r="A22" s="195"/>
      <c r="B22" s="204"/>
      <c r="C22" s="195"/>
      <c r="D22" s="202"/>
      <c r="E22" s="195"/>
      <c r="F22" s="195"/>
      <c r="G22" s="195"/>
      <c r="H22" s="195"/>
      <c r="I22" s="195"/>
      <c r="J22" s="195"/>
      <c r="K22" s="195"/>
      <c r="L22" s="199" t="s">
        <v>17</v>
      </c>
      <c r="M22" s="200"/>
      <c r="N22" s="198"/>
      <c r="O22" s="200" t="s">
        <v>5</v>
      </c>
      <c r="P22" s="230"/>
      <c r="Q22" s="230"/>
      <c r="R22" s="230"/>
      <c r="S22" s="230"/>
      <c r="T22" s="195"/>
      <c r="U22" s="195"/>
      <c r="V22" s="198"/>
    </row>
    <row r="23" spans="1:22" ht="4.5" customHeight="1">
      <c r="A23" s="195"/>
      <c r="B23" s="195"/>
      <c r="C23" s="195"/>
      <c r="D23" s="202"/>
      <c r="E23" s="195"/>
      <c r="F23" s="195"/>
      <c r="G23" s="195"/>
      <c r="H23" s="195"/>
      <c r="I23" s="195"/>
      <c r="J23" s="195"/>
      <c r="K23" s="195"/>
      <c r="L23" s="198"/>
      <c r="M23" s="200"/>
      <c r="N23" s="198"/>
      <c r="O23" s="200"/>
      <c r="P23" s="200"/>
      <c r="Q23" s="200"/>
      <c r="R23" s="200"/>
      <c r="S23" s="200"/>
      <c r="T23" s="195"/>
      <c r="U23" s="195"/>
      <c r="V23" s="195"/>
    </row>
    <row r="24" spans="1:22" ht="24" customHeight="1">
      <c r="A24" s="195"/>
      <c r="B24" s="206" t="s">
        <v>18</v>
      </c>
      <c r="C24" s="207" t="s">
        <v>19</v>
      </c>
      <c r="D24" s="202"/>
      <c r="E24" s="195"/>
      <c r="F24" s="195"/>
      <c r="G24" s="195"/>
      <c r="H24" s="195"/>
      <c r="I24" s="195"/>
      <c r="J24" s="195"/>
      <c r="K24" s="195"/>
      <c r="L24" s="199" t="s">
        <v>20</v>
      </c>
      <c r="M24" s="200"/>
      <c r="N24" s="198"/>
      <c r="O24" s="200" t="s">
        <v>5</v>
      </c>
      <c r="P24" s="229"/>
      <c r="Q24" s="229"/>
      <c r="R24" s="229"/>
      <c r="S24" s="195"/>
      <c r="T24" s="195"/>
      <c r="U24" s="195"/>
      <c r="V24" s="195"/>
    </row>
    <row r="25" spans="1:22" ht="15" customHeight="1">
      <c r="A25" s="195"/>
      <c r="B25" s="208"/>
      <c r="C25" s="195"/>
      <c r="D25" s="195"/>
      <c r="E25" s="195"/>
      <c r="F25" s="195"/>
      <c r="G25" s="195"/>
      <c r="H25" s="195"/>
      <c r="I25" s="195"/>
      <c r="J25" s="195"/>
      <c r="K25" s="195"/>
      <c r="L25" s="195"/>
      <c r="M25" s="195"/>
      <c r="N25" s="195"/>
      <c r="O25" s="195"/>
      <c r="P25" s="195"/>
      <c r="Q25" s="195"/>
      <c r="R25" s="195"/>
      <c r="S25" s="195"/>
      <c r="T25" s="195"/>
      <c r="U25" s="195"/>
      <c r="V25" s="195"/>
    </row>
  </sheetData>
  <sheetProtection formatCells="0" formatColumns="0" formatRows="0" insertColumns="0" insertRows="0" insertHyperlinks="0" deleteColumns="0" deleteRows="0" sort="0" autoFilter="0" pivotTables="0"/>
  <mergeCells count="11">
    <mergeCell ref="A2:V2"/>
    <mergeCell ref="A3:V3"/>
    <mergeCell ref="A5:V5"/>
    <mergeCell ref="H7:U7"/>
    <mergeCell ref="H9:R9"/>
    <mergeCell ref="P24:R24"/>
    <mergeCell ref="H11:R11"/>
    <mergeCell ref="L17:U17"/>
    <mergeCell ref="L18:U18"/>
    <mergeCell ref="P20:U20"/>
    <mergeCell ref="P22:S22"/>
  </mergeCells>
  <dataValidations count="1">
    <dataValidation type="list" allowBlank="1" showInputMessage="1" showErrorMessage="1" sqref="H10 I10 J10 K10" xr:uid="{00000000-0002-0000-0000-000000000000}">
      <formula1>#REF!</formula1>
    </dataValidation>
  </dataValidations>
  <pageMargins left="0.7" right="0.7" top="0.75" bottom="0.75" header="0.3" footer="0.3"/>
  <pageSetup orientation="portrai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968"/>
  <sheetViews>
    <sheetView tabSelected="1" zoomScale="73" zoomScaleNormal="73" workbookViewId="0">
      <pane xSplit="1" ySplit="6" topLeftCell="B389" activePane="bottomRight" state="frozen"/>
      <selection pane="topRight"/>
      <selection pane="bottomLeft"/>
      <selection pane="bottomRight" activeCell="E397" sqref="E397"/>
    </sheetView>
  </sheetViews>
  <sheetFormatPr defaultColWidth="9.28515625" defaultRowHeight="15"/>
  <cols>
    <col min="1" max="1" width="6.42578125" style="31" customWidth="1"/>
    <col min="2" max="2" width="12.42578125" style="31" customWidth="1"/>
    <col min="3" max="3" width="5.28515625" style="15" customWidth="1"/>
    <col min="4" max="4" width="82.5703125" style="15" customWidth="1"/>
    <col min="5" max="5" width="15.5703125" style="15" customWidth="1"/>
    <col min="6" max="6" width="8.42578125" style="15" customWidth="1"/>
    <col min="7" max="7" width="4.5703125" style="15" customWidth="1"/>
    <col min="8" max="8" width="60.42578125" style="31" customWidth="1"/>
    <col min="9" max="9" width="9.28515625" style="15"/>
  </cols>
  <sheetData>
    <row r="1" spans="1:8" ht="15.95" customHeight="1">
      <c r="A1" s="334" t="s">
        <v>21</v>
      </c>
      <c r="B1" s="334"/>
      <c r="C1" s="334"/>
      <c r="D1" s="334"/>
      <c r="E1" s="334"/>
      <c r="F1" s="334"/>
      <c r="H1" s="15"/>
    </row>
    <row r="2" spans="1:8" ht="15.95" customHeight="1">
      <c r="A2" s="334" t="s">
        <v>3</v>
      </c>
      <c r="B2" s="334"/>
      <c r="C2" s="334"/>
      <c r="D2" s="334"/>
      <c r="E2" s="334"/>
      <c r="F2" s="334"/>
      <c r="H2" s="15"/>
    </row>
    <row r="3" spans="1:8" s="15" customFormat="1" ht="15.95" customHeight="1">
      <c r="A3" s="36"/>
      <c r="B3" s="36"/>
      <c r="C3" s="36"/>
      <c r="D3" s="36"/>
      <c r="E3" s="36"/>
      <c r="F3" s="36"/>
    </row>
    <row r="4" spans="1:8" ht="15.95" customHeight="1">
      <c r="A4" s="37" t="s">
        <v>22</v>
      </c>
      <c r="B4" s="37"/>
      <c r="C4" s="37"/>
      <c r="D4" s="37"/>
      <c r="E4" s="37"/>
      <c r="F4" s="37"/>
      <c r="H4" s="15"/>
    </row>
    <row r="5" spans="1:8" ht="15" customHeight="1">
      <c r="A5" s="8"/>
      <c r="B5" s="7"/>
      <c r="C5" s="7"/>
      <c r="D5" s="7"/>
      <c r="E5" s="7"/>
      <c r="F5" s="7"/>
      <c r="G5" s="7"/>
      <c r="H5" s="7"/>
    </row>
    <row r="6" spans="1:8" ht="33" customHeight="1">
      <c r="A6" s="38" t="s">
        <v>23</v>
      </c>
      <c r="B6" s="39" t="s">
        <v>24</v>
      </c>
      <c r="C6" s="335" t="s">
        <v>25</v>
      </c>
      <c r="D6" s="336"/>
      <c r="E6" s="40" t="s">
        <v>26</v>
      </c>
      <c r="H6" s="41" t="s">
        <v>27</v>
      </c>
    </row>
    <row r="7" spans="1:8" ht="48" customHeight="1">
      <c r="A7" s="271">
        <v>1</v>
      </c>
      <c r="B7" s="247" t="s">
        <v>28</v>
      </c>
      <c r="C7" s="277" t="s">
        <v>29</v>
      </c>
      <c r="D7" s="278"/>
      <c r="E7" s="42">
        <v>3</v>
      </c>
      <c r="F7" s="15" t="str">
        <f>IF(OR(ISBLANK(E7),E7&gt;4),"Salah isi","judge")</f>
        <v>judge</v>
      </c>
      <c r="H7" s="43"/>
    </row>
    <row r="8" spans="1:8" ht="145.9" customHeight="1">
      <c r="A8" s="272"/>
      <c r="B8" s="248"/>
      <c r="C8" s="44">
        <v>4</v>
      </c>
      <c r="D8" s="45" t="s">
        <v>30</v>
      </c>
      <c r="E8" s="46"/>
      <c r="H8" s="16"/>
    </row>
    <row r="9" spans="1:8" ht="116.65" customHeight="1">
      <c r="A9" s="272"/>
      <c r="B9" s="248"/>
      <c r="C9" s="44">
        <v>3</v>
      </c>
      <c r="D9" s="45" t="s">
        <v>31</v>
      </c>
      <c r="E9" s="46"/>
      <c r="H9" s="16"/>
    </row>
    <row r="10" spans="1:8" ht="43.9" customHeight="1">
      <c r="A10" s="272"/>
      <c r="B10" s="248"/>
      <c r="C10" s="44">
        <v>2</v>
      </c>
      <c r="D10" s="45" t="s">
        <v>32</v>
      </c>
      <c r="E10" s="46"/>
      <c r="H10" s="16"/>
    </row>
    <row r="11" spans="1:8" ht="43.9" customHeight="1">
      <c r="A11" s="272"/>
      <c r="B11" s="248"/>
      <c r="C11" s="44">
        <v>1</v>
      </c>
      <c r="D11" s="45" t="s">
        <v>33</v>
      </c>
      <c r="E11" s="46"/>
      <c r="H11" s="16"/>
    </row>
    <row r="12" spans="1:8" ht="43.9" customHeight="1">
      <c r="A12" s="272"/>
      <c r="B12" s="248"/>
      <c r="C12" s="44">
        <v>0</v>
      </c>
      <c r="D12" s="45" t="s">
        <v>34</v>
      </c>
      <c r="E12" s="47"/>
      <c r="H12" s="16"/>
    </row>
    <row r="13" spans="1:8" ht="15" customHeight="1">
      <c r="A13" s="273"/>
      <c r="B13" s="249"/>
      <c r="C13" s="279" t="s">
        <v>35</v>
      </c>
      <c r="D13" s="280"/>
      <c r="E13" s="48">
        <f>IF(F7="Salah isi",0,E7)</f>
        <v>3</v>
      </c>
      <c r="H13" s="16"/>
    </row>
    <row r="14" spans="1:8" ht="15" customHeight="1">
      <c r="A14" s="49"/>
      <c r="B14" s="49"/>
      <c r="C14" s="50"/>
      <c r="D14" s="50"/>
      <c r="E14" s="51"/>
      <c r="H14" s="16"/>
    </row>
    <row r="15" spans="1:8" ht="79.349999999999994" customHeight="1">
      <c r="A15" s="271">
        <v>2</v>
      </c>
      <c r="B15" s="247" t="s">
        <v>36</v>
      </c>
      <c r="C15" s="277" t="s">
        <v>37</v>
      </c>
      <c r="D15" s="278"/>
      <c r="E15" s="42">
        <v>3</v>
      </c>
      <c r="F15" s="15" t="str">
        <f>IF(OR(ISBLANK(E15),E15&gt;4),"Salah isi","judge")</f>
        <v>judge</v>
      </c>
      <c r="H15" s="52"/>
    </row>
    <row r="16" spans="1:8" ht="131.1" customHeight="1">
      <c r="A16" s="272"/>
      <c r="B16" s="248"/>
      <c r="C16" s="44">
        <v>4</v>
      </c>
      <c r="D16" s="53" t="s">
        <v>38</v>
      </c>
      <c r="E16" s="46"/>
      <c r="H16" s="16"/>
    </row>
    <row r="17" spans="1:8" ht="116.65" customHeight="1">
      <c r="A17" s="272"/>
      <c r="B17" s="248"/>
      <c r="C17" s="44">
        <v>3</v>
      </c>
      <c r="D17" s="45" t="s">
        <v>39</v>
      </c>
      <c r="E17" s="46"/>
      <c r="H17" s="16"/>
    </row>
    <row r="18" spans="1:8" ht="72.95" customHeight="1">
      <c r="A18" s="272"/>
      <c r="B18" s="248"/>
      <c r="C18" s="44">
        <v>2</v>
      </c>
      <c r="D18" s="45" t="s">
        <v>40</v>
      </c>
      <c r="E18" s="46"/>
      <c r="H18" s="16"/>
    </row>
    <row r="19" spans="1:8" ht="72.95" customHeight="1">
      <c r="A19" s="272"/>
      <c r="B19" s="248"/>
      <c r="C19" s="44">
        <v>1</v>
      </c>
      <c r="D19" s="45" t="s">
        <v>41</v>
      </c>
      <c r="E19" s="46"/>
      <c r="H19" s="16"/>
    </row>
    <row r="20" spans="1:8" ht="43.9" customHeight="1">
      <c r="A20" s="272"/>
      <c r="B20" s="248"/>
      <c r="C20" s="44">
        <v>0</v>
      </c>
      <c r="D20" s="45" t="s">
        <v>42</v>
      </c>
      <c r="E20" s="47"/>
      <c r="H20" s="16"/>
    </row>
    <row r="21" spans="1:8" ht="15" customHeight="1">
      <c r="A21" s="273"/>
      <c r="B21" s="249"/>
      <c r="C21" s="279" t="s">
        <v>35</v>
      </c>
      <c r="D21" s="280"/>
      <c r="E21" s="48">
        <f>IF(F15="Salah isi",0,E15)</f>
        <v>3</v>
      </c>
      <c r="H21" s="16"/>
    </row>
    <row r="22" spans="1:8" ht="15" customHeight="1">
      <c r="A22" s="49"/>
      <c r="B22" s="49"/>
      <c r="C22" s="50"/>
      <c r="D22" s="50"/>
      <c r="E22" s="51"/>
      <c r="H22" s="16"/>
    </row>
    <row r="23" spans="1:8" ht="50.25" customHeight="1">
      <c r="A23" s="271">
        <v>3</v>
      </c>
      <c r="B23" s="244" t="s">
        <v>43</v>
      </c>
      <c r="C23" s="277" t="s">
        <v>44</v>
      </c>
      <c r="D23" s="278"/>
      <c r="E23" s="42">
        <v>3</v>
      </c>
      <c r="F23" s="15" t="str">
        <f>IF(OR(ISBLANK(E23),E23&gt;4),"Salah isi","judge")</f>
        <v>judge</v>
      </c>
      <c r="H23" s="54"/>
    </row>
    <row r="24" spans="1:8" ht="116.65" customHeight="1">
      <c r="A24" s="272"/>
      <c r="B24" s="245"/>
      <c r="C24" s="44">
        <v>4</v>
      </c>
      <c r="D24" s="53" t="s">
        <v>45</v>
      </c>
      <c r="E24" s="46"/>
      <c r="H24" s="16"/>
    </row>
    <row r="25" spans="1:8" ht="87.4" customHeight="1">
      <c r="A25" s="272"/>
      <c r="B25" s="245"/>
      <c r="C25" s="44">
        <v>3</v>
      </c>
      <c r="D25" s="45" t="s">
        <v>46</v>
      </c>
      <c r="E25" s="46"/>
      <c r="H25" s="16"/>
    </row>
    <row r="26" spans="1:8" ht="87.4" customHeight="1">
      <c r="A26" s="272"/>
      <c r="B26" s="245"/>
      <c r="C26" s="44">
        <v>2</v>
      </c>
      <c r="D26" s="45" t="s">
        <v>47</v>
      </c>
      <c r="E26" s="46"/>
      <c r="H26" s="16"/>
    </row>
    <row r="27" spans="1:8" ht="87.4" customHeight="1">
      <c r="A27" s="272"/>
      <c r="B27" s="245"/>
      <c r="C27" s="44">
        <v>1</v>
      </c>
      <c r="D27" s="45" t="s">
        <v>48</v>
      </c>
      <c r="E27" s="46"/>
      <c r="H27" s="16"/>
    </row>
    <row r="28" spans="1:8" ht="29.1" customHeight="1">
      <c r="A28" s="272"/>
      <c r="B28" s="245"/>
      <c r="C28" s="44">
        <v>0</v>
      </c>
      <c r="D28" s="45" t="s">
        <v>49</v>
      </c>
      <c r="E28" s="47"/>
      <c r="H28" s="16"/>
    </row>
    <row r="29" spans="1:8" ht="15" customHeight="1">
      <c r="A29" s="273"/>
      <c r="B29" s="246"/>
      <c r="C29" s="279" t="s">
        <v>35</v>
      </c>
      <c r="D29" s="280"/>
      <c r="E29" s="48">
        <f>IF(F23="Salah isi",0,E23)</f>
        <v>3</v>
      </c>
      <c r="H29" s="16"/>
    </row>
    <row r="30" spans="1:8" ht="15" customHeight="1">
      <c r="A30" s="49"/>
      <c r="B30" s="49"/>
      <c r="C30" s="50"/>
      <c r="D30" s="50"/>
      <c r="E30" s="51"/>
      <c r="H30" s="16"/>
    </row>
    <row r="31" spans="1:8" ht="50.25" customHeight="1">
      <c r="A31" s="271">
        <v>4</v>
      </c>
      <c r="B31" s="244"/>
      <c r="C31" s="277" t="s">
        <v>50</v>
      </c>
      <c r="D31" s="278"/>
      <c r="E31" s="42">
        <v>4</v>
      </c>
      <c r="F31" s="15" t="str">
        <f>IF(OR(ISBLANK(E31),E31&gt;4),"Salah isi","judge")</f>
        <v>judge</v>
      </c>
      <c r="H31" s="54"/>
    </row>
    <row r="32" spans="1:8" ht="72.95" customHeight="1">
      <c r="A32" s="272"/>
      <c r="B32" s="245"/>
      <c r="C32" s="44">
        <v>4</v>
      </c>
      <c r="D32" s="53" t="s">
        <v>51</v>
      </c>
      <c r="E32" s="46"/>
      <c r="H32" s="16"/>
    </row>
    <row r="33" spans="1:8" ht="72.95" customHeight="1">
      <c r="A33" s="272"/>
      <c r="B33" s="245"/>
      <c r="C33" s="44">
        <v>3</v>
      </c>
      <c r="D33" s="45" t="s">
        <v>52</v>
      </c>
      <c r="E33" s="46"/>
      <c r="H33" s="16"/>
    </row>
    <row r="34" spans="1:8" ht="58.15" customHeight="1">
      <c r="A34" s="272"/>
      <c r="B34" s="245"/>
      <c r="C34" s="44">
        <v>2</v>
      </c>
      <c r="D34" s="45" t="s">
        <v>53</v>
      </c>
      <c r="E34" s="46"/>
      <c r="H34" s="16"/>
    </row>
    <row r="35" spans="1:8" ht="43.9" customHeight="1">
      <c r="A35" s="272"/>
      <c r="B35" s="245"/>
      <c r="C35" s="44">
        <v>1</v>
      </c>
      <c r="D35" s="45" t="s">
        <v>54</v>
      </c>
      <c r="E35" s="46"/>
      <c r="H35" s="16"/>
    </row>
    <row r="36" spans="1:8" ht="29.1" customHeight="1">
      <c r="A36" s="272"/>
      <c r="B36" s="245"/>
      <c r="C36" s="44">
        <v>0</v>
      </c>
      <c r="D36" s="45" t="s">
        <v>55</v>
      </c>
      <c r="E36" s="47"/>
      <c r="H36" s="16"/>
    </row>
    <row r="37" spans="1:8" ht="15" customHeight="1">
      <c r="A37" s="273"/>
      <c r="B37" s="246"/>
      <c r="C37" s="279" t="s">
        <v>35</v>
      </c>
      <c r="D37" s="280"/>
      <c r="E37" s="48">
        <f>IF(F31="Salah isi",0,E31)</f>
        <v>4</v>
      </c>
      <c r="H37" s="16"/>
    </row>
    <row r="38" spans="1:8" ht="15" customHeight="1">
      <c r="A38" s="49"/>
      <c r="B38" s="49"/>
      <c r="C38" s="50"/>
      <c r="D38" s="50"/>
      <c r="E38" s="51"/>
      <c r="H38" s="16"/>
    </row>
    <row r="39" spans="1:8" ht="50.25" customHeight="1">
      <c r="A39" s="271">
        <v>5</v>
      </c>
      <c r="B39" s="244"/>
      <c r="C39" s="277" t="s">
        <v>56</v>
      </c>
      <c r="D39" s="278"/>
      <c r="E39" s="42">
        <v>3</v>
      </c>
      <c r="F39" s="15" t="str">
        <f>IF(OR(ISBLANK(E39),E39&gt;4),"Salah isi","judge")</f>
        <v>judge</v>
      </c>
      <c r="H39" s="54"/>
    </row>
    <row r="40" spans="1:8" ht="58.15" customHeight="1">
      <c r="A40" s="272"/>
      <c r="B40" s="245"/>
      <c r="C40" s="44">
        <v>4</v>
      </c>
      <c r="D40" s="53" t="s">
        <v>57</v>
      </c>
      <c r="E40" s="46"/>
      <c r="H40" s="16"/>
    </row>
    <row r="41" spans="1:8" ht="58.15" customHeight="1">
      <c r="A41" s="272"/>
      <c r="B41" s="245"/>
      <c r="C41" s="44">
        <v>3</v>
      </c>
      <c r="D41" s="45" t="s">
        <v>58</v>
      </c>
      <c r="E41" s="46"/>
      <c r="H41" s="16"/>
    </row>
    <row r="42" spans="1:8" ht="43.9" customHeight="1">
      <c r="A42" s="272"/>
      <c r="B42" s="245"/>
      <c r="C42" s="44">
        <v>2</v>
      </c>
      <c r="D42" s="45" t="s">
        <v>59</v>
      </c>
      <c r="E42" s="46"/>
      <c r="H42" s="16"/>
    </row>
    <row r="43" spans="1:8" ht="29.1" customHeight="1">
      <c r="A43" s="272"/>
      <c r="B43" s="245"/>
      <c r="C43" s="44">
        <v>1</v>
      </c>
      <c r="D43" s="45" t="s">
        <v>60</v>
      </c>
      <c r="E43" s="46"/>
      <c r="H43" s="16"/>
    </row>
    <row r="44" spans="1:8">
      <c r="A44" s="272"/>
      <c r="B44" s="245"/>
      <c r="C44" s="44">
        <v>0</v>
      </c>
      <c r="D44" s="45" t="s">
        <v>61</v>
      </c>
      <c r="E44" s="47"/>
      <c r="H44" s="16"/>
    </row>
    <row r="45" spans="1:8" ht="15" customHeight="1">
      <c r="A45" s="273"/>
      <c r="B45" s="246"/>
      <c r="C45" s="279" t="s">
        <v>35</v>
      </c>
      <c r="D45" s="280"/>
      <c r="E45" s="48">
        <f>IF(F39="Salah isi",0,E39)</f>
        <v>3</v>
      </c>
      <c r="H45" s="16"/>
    </row>
    <row r="46" spans="1:8" ht="15" customHeight="1">
      <c r="A46" s="49"/>
      <c r="B46" s="49"/>
      <c r="C46" s="50"/>
      <c r="D46" s="50"/>
      <c r="E46" s="51"/>
      <c r="H46" s="16"/>
    </row>
    <row r="47" spans="1:8" ht="50.25" customHeight="1">
      <c r="A47" s="271">
        <v>6</v>
      </c>
      <c r="B47" s="244" t="s">
        <v>62</v>
      </c>
      <c r="C47" s="277" t="s">
        <v>63</v>
      </c>
      <c r="D47" s="305"/>
      <c r="E47" s="42">
        <v>4</v>
      </c>
      <c r="F47" s="15" t="str">
        <f>IF(OR(ISBLANK(E47),E47&gt;4),"Salah isi","judge")</f>
        <v>judge</v>
      </c>
      <c r="H47" s="54"/>
    </row>
    <row r="48" spans="1:8" ht="58.15" customHeight="1">
      <c r="A48" s="272"/>
      <c r="B48" s="245"/>
      <c r="C48" s="55">
        <v>4</v>
      </c>
      <c r="D48" s="56" t="s">
        <v>64</v>
      </c>
      <c r="E48" s="57"/>
      <c r="H48" s="16"/>
    </row>
    <row r="49" spans="1:8" ht="43.9" customHeight="1">
      <c r="A49" s="272"/>
      <c r="B49" s="245"/>
      <c r="C49" s="55">
        <v>3</v>
      </c>
      <c r="D49" s="56" t="s">
        <v>65</v>
      </c>
      <c r="E49" s="57"/>
      <c r="H49" s="16"/>
    </row>
    <row r="50" spans="1:8" ht="43.9" customHeight="1">
      <c r="A50" s="272"/>
      <c r="B50" s="245"/>
      <c r="C50" s="55">
        <v>2</v>
      </c>
      <c r="D50" s="56" t="s">
        <v>66</v>
      </c>
      <c r="E50" s="57"/>
      <c r="H50" s="16"/>
    </row>
    <row r="51" spans="1:8" ht="29.1" customHeight="1">
      <c r="A51" s="272"/>
      <c r="B51" s="245"/>
      <c r="C51" s="55">
        <v>1</v>
      </c>
      <c r="D51" s="56" t="s">
        <v>67</v>
      </c>
      <c r="E51" s="57"/>
      <c r="H51" s="16"/>
    </row>
    <row r="52" spans="1:8">
      <c r="A52" s="272"/>
      <c r="B52" s="245"/>
      <c r="C52" s="55">
        <v>0</v>
      </c>
      <c r="D52" s="56" t="s">
        <v>68</v>
      </c>
      <c r="E52" s="58"/>
      <c r="H52" s="16"/>
    </row>
    <row r="53" spans="1:8" ht="50.25" customHeight="1">
      <c r="A53" s="272"/>
      <c r="B53" s="245"/>
      <c r="C53" s="308" t="s">
        <v>69</v>
      </c>
      <c r="D53" s="309"/>
      <c r="E53" s="60">
        <v>4</v>
      </c>
      <c r="F53" s="15" t="str">
        <f>IF(OR(ISBLANK(E53),E53&lt;1,E53&gt;4),"Salah isi","judge")</f>
        <v>judge</v>
      </c>
      <c r="H53" s="16"/>
    </row>
    <row r="54" spans="1:8" ht="43.9" customHeight="1">
      <c r="A54" s="272"/>
      <c r="B54" s="245"/>
      <c r="C54" s="55">
        <v>4</v>
      </c>
      <c r="D54" s="56" t="s">
        <v>70</v>
      </c>
      <c r="E54" s="57"/>
      <c r="H54" s="16"/>
    </row>
    <row r="55" spans="1:8" ht="43.9" customHeight="1">
      <c r="A55" s="272"/>
      <c r="B55" s="245"/>
      <c r="C55" s="55">
        <v>3</v>
      </c>
      <c r="D55" s="56" t="s">
        <v>71</v>
      </c>
      <c r="E55" s="57"/>
      <c r="H55" s="16"/>
    </row>
    <row r="56" spans="1:8" ht="43.9" customHeight="1">
      <c r="A56" s="272"/>
      <c r="B56" s="245"/>
      <c r="C56" s="55">
        <v>2</v>
      </c>
      <c r="D56" s="56" t="s">
        <v>72</v>
      </c>
      <c r="E56" s="57"/>
      <c r="H56" s="16"/>
    </row>
    <row r="57" spans="1:8" ht="43.9" customHeight="1">
      <c r="A57" s="272"/>
      <c r="B57" s="245"/>
      <c r="C57" s="55">
        <v>1</v>
      </c>
      <c r="D57" s="56" t="s">
        <v>73</v>
      </c>
      <c r="E57" s="57"/>
      <c r="H57" s="16"/>
    </row>
    <row r="58" spans="1:8">
      <c r="A58" s="272"/>
      <c r="B58" s="245"/>
      <c r="C58" s="55">
        <v>0</v>
      </c>
      <c r="D58" s="56" t="s">
        <v>74</v>
      </c>
      <c r="E58" s="58"/>
      <c r="H58" s="16"/>
    </row>
    <row r="59" spans="1:8" ht="15" customHeight="1">
      <c r="A59" s="273"/>
      <c r="B59" s="246"/>
      <c r="C59" s="279" t="s">
        <v>75</v>
      </c>
      <c r="D59" s="304"/>
      <c r="E59" s="48">
        <f>IF(OR(F47="Salah isi",F53="Salah isi"),0,(E47+2*E53)/3)</f>
        <v>4</v>
      </c>
      <c r="H59" s="16"/>
    </row>
    <row r="60" spans="1:8" ht="15" customHeight="1">
      <c r="A60" s="49"/>
      <c r="B60" s="49"/>
      <c r="C60" s="50"/>
      <c r="D60" s="50"/>
      <c r="E60" s="51"/>
      <c r="H60" s="16"/>
    </row>
    <row r="61" spans="1:8" ht="35.1" customHeight="1">
      <c r="A61" s="271">
        <v>7</v>
      </c>
      <c r="B61" s="244" t="s">
        <v>76</v>
      </c>
      <c r="C61" s="277" t="s">
        <v>77</v>
      </c>
      <c r="D61" s="305"/>
      <c r="E61" s="42">
        <v>4</v>
      </c>
      <c r="F61" s="15" t="str">
        <f>IF(OR(ISBLANK(E61),E61&lt;2,E61&gt;4),"Salah isi","judge")</f>
        <v>judge</v>
      </c>
      <c r="H61" s="54"/>
    </row>
    <row r="62" spans="1:8" ht="29.1" customHeight="1">
      <c r="A62" s="272"/>
      <c r="B62" s="245"/>
      <c r="C62" s="55">
        <v>4</v>
      </c>
      <c r="D62" s="61" t="s">
        <v>78</v>
      </c>
      <c r="E62" s="57"/>
      <c r="H62" s="16"/>
    </row>
    <row r="63" spans="1:8" ht="43.9" customHeight="1">
      <c r="A63" s="272"/>
      <c r="B63" s="245"/>
      <c r="C63" s="55">
        <v>3</v>
      </c>
      <c r="D63" s="61" t="s">
        <v>79</v>
      </c>
      <c r="E63" s="57"/>
      <c r="H63" s="16"/>
    </row>
    <row r="64" spans="1:8" ht="43.9" customHeight="1">
      <c r="A64" s="272"/>
      <c r="B64" s="245"/>
      <c r="C64" s="55">
        <v>2</v>
      </c>
      <c r="D64" s="61" t="s">
        <v>80</v>
      </c>
      <c r="E64" s="57"/>
      <c r="H64" s="16"/>
    </row>
    <row r="65" spans="1:8">
      <c r="A65" s="272"/>
      <c r="B65" s="245"/>
      <c r="C65" s="55">
        <v>1</v>
      </c>
      <c r="D65" s="333" t="s">
        <v>81</v>
      </c>
      <c r="E65" s="240"/>
      <c r="H65" s="16"/>
    </row>
    <row r="66" spans="1:8">
      <c r="A66" s="272"/>
      <c r="B66" s="245"/>
      <c r="C66" s="55">
        <v>0</v>
      </c>
      <c r="D66" s="298"/>
      <c r="E66" s="241"/>
      <c r="H66" s="16"/>
    </row>
    <row r="67" spans="1:8" ht="59.65" customHeight="1">
      <c r="A67" s="272"/>
      <c r="B67" s="245"/>
      <c r="C67" s="308" t="s">
        <v>82</v>
      </c>
      <c r="D67" s="309"/>
      <c r="E67" s="60">
        <v>2</v>
      </c>
      <c r="F67" s="15" t="str">
        <f>IF(OR(ISBLANK(E67),E67&lt;1,E67&gt;4),"Salah isi","judge")</f>
        <v>judge</v>
      </c>
      <c r="H67" s="16"/>
    </row>
    <row r="68" spans="1:8" ht="60">
      <c r="A68" s="272"/>
      <c r="B68" s="245"/>
      <c r="C68" s="55">
        <v>4</v>
      </c>
      <c r="D68" s="61" t="s">
        <v>83</v>
      </c>
      <c r="E68" s="57"/>
      <c r="H68" s="16"/>
    </row>
    <row r="69" spans="1:8" ht="45">
      <c r="A69" s="272"/>
      <c r="B69" s="245"/>
      <c r="C69" s="55">
        <v>3</v>
      </c>
      <c r="D69" s="61" t="s">
        <v>84</v>
      </c>
      <c r="E69" s="57"/>
      <c r="H69" s="16"/>
    </row>
    <row r="70" spans="1:8" ht="29.1" customHeight="1">
      <c r="A70" s="272"/>
      <c r="B70" s="245"/>
      <c r="C70" s="55">
        <v>2</v>
      </c>
      <c r="D70" s="61" t="s">
        <v>85</v>
      </c>
      <c r="E70" s="57"/>
      <c r="H70" s="16"/>
    </row>
    <row r="71" spans="1:8" ht="29.1" customHeight="1">
      <c r="A71" s="272"/>
      <c r="B71" s="245"/>
      <c r="C71" s="55">
        <v>1</v>
      </c>
      <c r="D71" s="61" t="s">
        <v>86</v>
      </c>
      <c r="E71" s="57"/>
      <c r="H71" s="16"/>
    </row>
    <row r="72" spans="1:8">
      <c r="A72" s="272"/>
      <c r="B72" s="245"/>
      <c r="C72" s="55">
        <v>0</v>
      </c>
      <c r="D72" s="61" t="s">
        <v>74</v>
      </c>
      <c r="E72" s="58"/>
      <c r="H72" s="16"/>
    </row>
    <row r="73" spans="1:8" ht="15" customHeight="1">
      <c r="A73" s="273"/>
      <c r="B73" s="246"/>
      <c r="C73" s="279" t="s">
        <v>75</v>
      </c>
      <c r="D73" s="304"/>
      <c r="E73" s="48">
        <f>IF(OR(F61="Salah isi",F67="Salah isi"),0,(E61+2*E67)/3)</f>
        <v>2.6666666666666665</v>
      </c>
      <c r="H73" s="16"/>
    </row>
    <row r="74" spans="1:8" ht="15" customHeight="1">
      <c r="A74" s="49"/>
      <c r="B74" s="49"/>
      <c r="C74" s="50"/>
      <c r="D74" s="50"/>
      <c r="E74" s="51"/>
      <c r="H74" s="16"/>
    </row>
    <row r="75" spans="1:8" ht="120" customHeight="1">
      <c r="A75" s="271">
        <v>8</v>
      </c>
      <c r="B75" s="244" t="s">
        <v>87</v>
      </c>
      <c r="C75" s="329" t="s">
        <v>88</v>
      </c>
      <c r="D75" s="305"/>
      <c r="E75" s="42">
        <v>3</v>
      </c>
      <c r="F75" s="15" t="str">
        <f>IF(OR(ISBLANK(E75),E75&lt;1,E75&gt;4),"Salah isi","judge")</f>
        <v>judge</v>
      </c>
      <c r="H75" s="54"/>
    </row>
    <row r="76" spans="1:8" ht="29.1" customHeight="1">
      <c r="A76" s="272"/>
      <c r="B76" s="245"/>
      <c r="C76" s="55">
        <v>4</v>
      </c>
      <c r="D76" s="56" t="s">
        <v>89</v>
      </c>
      <c r="E76" s="57"/>
      <c r="H76" s="16"/>
    </row>
    <row r="77" spans="1:8" ht="29.1" customHeight="1">
      <c r="A77" s="272"/>
      <c r="B77" s="245"/>
      <c r="C77" s="55">
        <v>3</v>
      </c>
      <c r="D77" s="56" t="s">
        <v>90</v>
      </c>
      <c r="E77" s="57"/>
      <c r="H77" s="16"/>
    </row>
    <row r="78" spans="1:8" ht="29.1" customHeight="1">
      <c r="A78" s="272"/>
      <c r="B78" s="245"/>
      <c r="C78" s="55">
        <v>2</v>
      </c>
      <c r="D78" s="56" t="s">
        <v>91</v>
      </c>
      <c r="E78" s="57"/>
      <c r="H78" s="16"/>
    </row>
    <row r="79" spans="1:8">
      <c r="A79" s="272"/>
      <c r="B79" s="245"/>
      <c r="C79" s="55">
        <v>1</v>
      </c>
      <c r="D79" s="56" t="s">
        <v>92</v>
      </c>
      <c r="E79" s="57"/>
      <c r="H79" s="16"/>
    </row>
    <row r="80" spans="1:8">
      <c r="A80" s="272"/>
      <c r="B80" s="245"/>
      <c r="C80" s="55">
        <v>0</v>
      </c>
      <c r="D80" s="56" t="s">
        <v>74</v>
      </c>
      <c r="E80" s="58"/>
      <c r="H80" s="16"/>
    </row>
    <row r="81" spans="1:8" ht="15" customHeight="1">
      <c r="A81" s="273"/>
      <c r="B81" s="246"/>
      <c r="C81" s="330" t="s">
        <v>35</v>
      </c>
      <c r="D81" s="331"/>
      <c r="E81" s="62">
        <f>IF(F75="Salah isi",0,E75)</f>
        <v>3</v>
      </c>
      <c r="H81" s="16"/>
    </row>
    <row r="82" spans="1:8" ht="15" customHeight="1">
      <c r="A82" s="49"/>
      <c r="B82" s="49"/>
      <c r="C82" s="63"/>
      <c r="D82" s="63"/>
      <c r="E82" s="51"/>
      <c r="H82" s="16"/>
    </row>
    <row r="83" spans="1:8" ht="51" customHeight="1">
      <c r="A83" s="271">
        <v>9</v>
      </c>
      <c r="B83" s="268"/>
      <c r="C83" s="294" t="s">
        <v>93</v>
      </c>
      <c r="D83" s="294"/>
      <c r="E83" s="64"/>
      <c r="H83" s="54"/>
    </row>
    <row r="84" spans="1:8" ht="15.75" customHeight="1">
      <c r="A84" s="272"/>
      <c r="B84" s="269"/>
      <c r="C84" s="332" t="s">
        <v>94</v>
      </c>
      <c r="D84" s="332"/>
      <c r="E84" s="65">
        <v>16</v>
      </c>
      <c r="F84" s="15" t="s">
        <v>95</v>
      </c>
      <c r="G84" s="66"/>
      <c r="H84" s="16"/>
    </row>
    <row r="85" spans="1:8" ht="15.75" customHeight="1">
      <c r="A85" s="272"/>
      <c r="B85" s="269"/>
      <c r="C85" s="332" t="s">
        <v>96</v>
      </c>
      <c r="D85" s="332"/>
      <c r="E85" s="65">
        <v>3</v>
      </c>
      <c r="F85" s="15" t="s">
        <v>95</v>
      </c>
      <c r="G85" s="66"/>
      <c r="H85" s="16"/>
    </row>
    <row r="86" spans="1:8" ht="15.75" customHeight="1">
      <c r="A86" s="272"/>
      <c r="B86" s="269"/>
      <c r="C86" s="332" t="s">
        <v>97</v>
      </c>
      <c r="D86" s="332"/>
      <c r="E86" s="65">
        <v>7</v>
      </c>
      <c r="F86" s="15" t="s">
        <v>95</v>
      </c>
      <c r="G86" s="66"/>
      <c r="H86" s="16"/>
    </row>
    <row r="87" spans="1:8" ht="47.65" customHeight="1">
      <c r="A87" s="272"/>
      <c r="B87" s="269"/>
      <c r="C87" s="281" t="s">
        <v>98</v>
      </c>
      <c r="D87" s="282"/>
      <c r="E87" s="65">
        <v>11</v>
      </c>
      <c r="F87" s="15" t="s">
        <v>95</v>
      </c>
      <c r="G87" s="66"/>
      <c r="H87" s="16"/>
    </row>
    <row r="88" spans="1:8">
      <c r="A88" s="272"/>
      <c r="B88" s="269"/>
      <c r="C88" s="237" t="s">
        <v>99</v>
      </c>
      <c r="D88" s="237"/>
      <c r="E88" s="67">
        <f>IF(E87&gt;0,(D89*E84+D90*E85+D91*E86)/E87,0)</f>
        <v>5.5454545454545459</v>
      </c>
      <c r="G88" s="68"/>
      <c r="H88" s="16"/>
    </row>
    <row r="89" spans="1:8" ht="14.65" hidden="1" customHeight="1">
      <c r="A89" s="272"/>
      <c r="B89" s="269"/>
      <c r="C89" s="69" t="s">
        <v>100</v>
      </c>
      <c r="D89" s="69">
        <v>3</v>
      </c>
      <c r="E89" s="70"/>
      <c r="G89" s="68"/>
      <c r="H89" s="16"/>
    </row>
    <row r="90" spans="1:8" ht="14.65" hidden="1" customHeight="1">
      <c r="A90" s="272"/>
      <c r="B90" s="269"/>
      <c r="C90" s="69" t="s">
        <v>101</v>
      </c>
      <c r="D90" s="69">
        <v>2</v>
      </c>
      <c r="E90" s="70"/>
      <c r="G90" s="68"/>
      <c r="H90" s="16"/>
    </row>
    <row r="91" spans="1:8" ht="14.65" hidden="1" customHeight="1">
      <c r="A91" s="272"/>
      <c r="B91" s="269"/>
      <c r="C91" s="69" t="s">
        <v>102</v>
      </c>
      <c r="D91" s="69">
        <v>1</v>
      </c>
      <c r="E91" s="70"/>
      <c r="G91" s="68"/>
      <c r="H91" s="16"/>
    </row>
    <row r="92" spans="1:8" ht="29.1" hidden="1" customHeight="1">
      <c r="A92" s="272"/>
      <c r="B92" s="269"/>
      <c r="C92" s="69" t="s">
        <v>103</v>
      </c>
      <c r="D92" s="69">
        <v>4</v>
      </c>
      <c r="E92" s="70"/>
      <c r="G92" s="68"/>
      <c r="H92" s="16"/>
    </row>
    <row r="93" spans="1:8" ht="15" customHeight="1">
      <c r="A93" s="272"/>
      <c r="B93" s="269"/>
      <c r="C93" s="283" t="s">
        <v>104</v>
      </c>
      <c r="D93" s="284"/>
      <c r="E93" s="48">
        <f>IF(E88&gt;=D92,4,E88)</f>
        <v>4</v>
      </c>
      <c r="G93" s="71"/>
      <c r="H93" s="16"/>
    </row>
    <row r="94" spans="1:8" ht="45.6" customHeight="1">
      <c r="A94" s="272"/>
      <c r="B94" s="269"/>
      <c r="C94" s="294" t="s">
        <v>105</v>
      </c>
      <c r="D94" s="294"/>
      <c r="E94" s="72"/>
      <c r="G94" s="71"/>
      <c r="H94" s="16"/>
    </row>
    <row r="95" spans="1:8" ht="15.75" customHeight="1">
      <c r="A95" s="272"/>
      <c r="B95" s="269"/>
      <c r="C95" s="325" t="s">
        <v>106</v>
      </c>
      <c r="D95" s="326"/>
      <c r="E95" s="73">
        <v>5</v>
      </c>
      <c r="F95" s="15" t="s">
        <v>95</v>
      </c>
      <c r="G95" s="66"/>
      <c r="H95" s="16"/>
    </row>
    <row r="96" spans="1:8" ht="15.75" customHeight="1">
      <c r="A96" s="272"/>
      <c r="B96" s="269"/>
      <c r="C96" s="325" t="s">
        <v>107</v>
      </c>
      <c r="D96" s="326"/>
      <c r="E96" s="65">
        <v>8</v>
      </c>
      <c r="F96" s="15" t="s">
        <v>95</v>
      </c>
      <c r="G96" s="66"/>
      <c r="H96" s="16"/>
    </row>
    <row r="97" spans="1:8" ht="15.75" customHeight="1">
      <c r="A97" s="272"/>
      <c r="B97" s="269"/>
      <c r="C97" s="325" t="s">
        <v>108</v>
      </c>
      <c r="D97" s="326"/>
      <c r="E97" s="65">
        <v>8</v>
      </c>
      <c r="F97" s="15" t="s">
        <v>95</v>
      </c>
      <c r="G97" s="66"/>
      <c r="H97" s="16"/>
    </row>
    <row r="98" spans="1:8" ht="14.65" hidden="1" customHeight="1">
      <c r="A98" s="272"/>
      <c r="B98" s="269"/>
      <c r="C98" s="69" t="s">
        <v>100</v>
      </c>
      <c r="D98" s="74">
        <v>2</v>
      </c>
      <c r="E98" s="70"/>
      <c r="G98" s="68"/>
      <c r="H98" s="16"/>
    </row>
    <row r="99" spans="1:8" ht="14.65" hidden="1" customHeight="1">
      <c r="A99" s="272"/>
      <c r="B99" s="269"/>
      <c r="C99" s="69" t="s">
        <v>101</v>
      </c>
      <c r="D99" s="74">
        <v>6</v>
      </c>
      <c r="E99" s="70"/>
      <c r="G99" s="68"/>
      <c r="H99" s="16"/>
    </row>
    <row r="100" spans="1:8" ht="14.65" hidden="1" customHeight="1">
      <c r="A100" s="272"/>
      <c r="B100" s="269"/>
      <c r="C100" s="69" t="s">
        <v>102</v>
      </c>
      <c r="D100" s="74">
        <v>9</v>
      </c>
      <c r="E100" s="70"/>
      <c r="G100" s="68"/>
      <c r="H100" s="16"/>
    </row>
    <row r="101" spans="1:8" ht="14.65" hidden="1" customHeight="1">
      <c r="A101" s="272"/>
      <c r="B101" s="269"/>
      <c r="C101" s="75"/>
      <c r="D101" s="76" t="s">
        <v>109</v>
      </c>
      <c r="E101" s="77" t="str">
        <f>IF(E95&gt;=D98,"YES","NO")</f>
        <v>YES</v>
      </c>
      <c r="G101" s="78"/>
      <c r="H101" s="16"/>
    </row>
    <row r="102" spans="1:8" ht="14.65" hidden="1" customHeight="1">
      <c r="A102" s="272"/>
      <c r="B102" s="269"/>
      <c r="C102" s="75"/>
      <c r="D102" s="76" t="s">
        <v>110</v>
      </c>
      <c r="E102" s="77" t="str">
        <f>IF(AND(E95&lt;D98,E96&gt;=D99),"YES","NO")</f>
        <v>NO</v>
      </c>
      <c r="G102" s="78"/>
      <c r="H102" s="16"/>
    </row>
    <row r="103" spans="1:8" ht="14.65" hidden="1" customHeight="1">
      <c r="A103" s="272"/>
      <c r="B103" s="269"/>
      <c r="C103" s="75"/>
      <c r="D103" s="76" t="s">
        <v>111</v>
      </c>
      <c r="E103" s="77" t="str">
        <f>IF(OR(AND(E95&gt;0,E95&lt;D98,E96=0),AND(E96&gt;0,E96&lt;D99,E95=0),AND(E95&gt;0,E95&lt;D98,E96&gt;0,E96&lt;D99)),"YES","NO")</f>
        <v>NO</v>
      </c>
      <c r="G103" s="68"/>
      <c r="H103" s="16"/>
    </row>
    <row r="104" spans="1:8" ht="14.65" hidden="1" customHeight="1">
      <c r="A104" s="272"/>
      <c r="B104" s="269"/>
      <c r="C104" s="75"/>
      <c r="D104" s="76" t="s">
        <v>112</v>
      </c>
      <c r="E104" s="77" t="str">
        <f>IF(AND(E95=0,E96=0,E97&gt;=D100),"YES","NO")</f>
        <v>NO</v>
      </c>
      <c r="G104" s="68"/>
      <c r="H104" s="16"/>
    </row>
    <row r="105" spans="1:8" ht="14.65" hidden="1" customHeight="1">
      <c r="A105" s="272"/>
      <c r="B105" s="269"/>
      <c r="C105" s="75"/>
      <c r="D105" s="76" t="s">
        <v>113</v>
      </c>
      <c r="E105" s="77" t="str">
        <f>IF(AND(E95=0,E96=0,E97&lt;D100),"YES","NO")</f>
        <v>NO</v>
      </c>
      <c r="G105" s="68"/>
      <c r="H105" s="16"/>
    </row>
    <row r="106" spans="1:8" ht="14.65" hidden="1" customHeight="1">
      <c r="A106" s="272"/>
      <c r="B106" s="269"/>
      <c r="C106" s="290"/>
      <c r="D106" s="291"/>
      <c r="E106" s="79"/>
      <c r="G106" s="68"/>
      <c r="H106" s="16"/>
    </row>
    <row r="107" spans="1:8" ht="15" customHeight="1">
      <c r="A107" s="272"/>
      <c r="B107" s="269"/>
      <c r="C107" s="327" t="s">
        <v>114</v>
      </c>
      <c r="D107" s="328"/>
      <c r="E107" s="80">
        <f>IF(E101="YES",4,IF(E102="YES",3+E95/D98,IF(E103="YES",2+2*E95/D98+E96/D99-(E95*E96)/(D98*D99),IF(E104="YES",2,2*E97/D100))))</f>
        <v>4</v>
      </c>
      <c r="G107" s="71"/>
      <c r="H107" s="16"/>
    </row>
    <row r="108" spans="1:8" ht="15" customHeight="1">
      <c r="A108" s="273"/>
      <c r="B108" s="270"/>
      <c r="C108" s="283" t="s">
        <v>115</v>
      </c>
      <c r="D108" s="284"/>
      <c r="E108" s="48">
        <f>(2*E93+E107)/3</f>
        <v>4</v>
      </c>
      <c r="G108" s="71"/>
      <c r="H108" s="16"/>
    </row>
    <row r="109" spans="1:8" ht="15" customHeight="1">
      <c r="C109" s="8"/>
      <c r="D109" s="8"/>
      <c r="H109" s="81"/>
    </row>
    <row r="110" spans="1:8" ht="48" customHeight="1">
      <c r="A110" s="271">
        <v>10</v>
      </c>
      <c r="B110" s="244" t="s">
        <v>116</v>
      </c>
      <c r="C110" s="277" t="s">
        <v>117</v>
      </c>
      <c r="D110" s="305"/>
      <c r="E110" s="42">
        <v>2</v>
      </c>
      <c r="F110" s="15" t="str">
        <f>IF(OR(ISBLANK(E110),E110&lt;2,E110&gt;4),"Salah isi","judge")</f>
        <v>judge</v>
      </c>
      <c r="H110" s="54"/>
    </row>
    <row r="111" spans="1:8" ht="87.4" customHeight="1">
      <c r="A111" s="272"/>
      <c r="B111" s="245"/>
      <c r="C111" s="55">
        <v>4</v>
      </c>
      <c r="D111" s="56" t="s">
        <v>118</v>
      </c>
      <c r="E111" s="57"/>
      <c r="H111" s="16"/>
    </row>
    <row r="112" spans="1:8" ht="87.4" customHeight="1">
      <c r="A112" s="272"/>
      <c r="B112" s="245"/>
      <c r="C112" s="55">
        <v>3</v>
      </c>
      <c r="D112" s="56" t="s">
        <v>119</v>
      </c>
      <c r="E112" s="57"/>
      <c r="H112" s="16"/>
    </row>
    <row r="113" spans="1:8">
      <c r="A113" s="272"/>
      <c r="B113" s="245"/>
      <c r="C113" s="55">
        <v>2</v>
      </c>
      <c r="D113" s="56" t="s">
        <v>120</v>
      </c>
      <c r="E113" s="57"/>
      <c r="H113" s="16"/>
    </row>
    <row r="114" spans="1:8">
      <c r="A114" s="272"/>
      <c r="B114" s="245"/>
      <c r="C114" s="55">
        <v>1</v>
      </c>
      <c r="D114" s="237" t="s">
        <v>81</v>
      </c>
      <c r="E114" s="57"/>
      <c r="H114" s="16"/>
    </row>
    <row r="115" spans="1:8" ht="14.85" customHeight="1">
      <c r="A115" s="272"/>
      <c r="B115" s="245"/>
      <c r="C115" s="55">
        <v>0</v>
      </c>
      <c r="D115" s="237"/>
      <c r="E115" s="58"/>
      <c r="H115" s="16"/>
    </row>
    <row r="116" spans="1:8" ht="15" customHeight="1">
      <c r="A116" s="273"/>
      <c r="B116" s="246"/>
      <c r="C116" s="279" t="s">
        <v>35</v>
      </c>
      <c r="D116" s="280"/>
      <c r="E116" s="48">
        <f>IF(F110="Salah isi",0,E110)</f>
        <v>2</v>
      </c>
      <c r="H116" s="16"/>
    </row>
    <row r="117" spans="1:8" ht="15" customHeight="1">
      <c r="A117" s="49"/>
      <c r="B117" s="49"/>
      <c r="C117" s="50"/>
      <c r="D117" s="50"/>
      <c r="E117" s="51"/>
      <c r="H117" s="16"/>
    </row>
    <row r="118" spans="1:8" ht="129" customHeight="1">
      <c r="A118" s="271">
        <v>11</v>
      </c>
      <c r="B118" s="244" t="s">
        <v>121</v>
      </c>
      <c r="C118" s="277" t="s">
        <v>122</v>
      </c>
      <c r="D118" s="305"/>
      <c r="E118" s="42">
        <v>3</v>
      </c>
      <c r="F118" s="15" t="str">
        <f>IF(OR(ISBLANK(E118),E118&gt;4),"Salah isi","judge")</f>
        <v>judge</v>
      </c>
      <c r="H118" s="54"/>
    </row>
    <row r="119" spans="1:8" ht="43.9" customHeight="1">
      <c r="A119" s="272"/>
      <c r="B119" s="245"/>
      <c r="C119" s="55">
        <v>4</v>
      </c>
      <c r="D119" s="56" t="s">
        <v>123</v>
      </c>
      <c r="E119" s="57"/>
      <c r="H119" s="16"/>
    </row>
    <row r="120" spans="1:8" ht="29.1" customHeight="1">
      <c r="A120" s="272"/>
      <c r="B120" s="245"/>
      <c r="C120" s="55">
        <v>3</v>
      </c>
      <c r="D120" s="56" t="s">
        <v>124</v>
      </c>
      <c r="E120" s="57"/>
      <c r="H120" s="16"/>
    </row>
    <row r="121" spans="1:8">
      <c r="A121" s="272"/>
      <c r="B121" s="245"/>
      <c r="C121" s="55">
        <v>2</v>
      </c>
      <c r="D121" s="56" t="s">
        <v>125</v>
      </c>
      <c r="E121" s="57"/>
      <c r="H121" s="16"/>
    </row>
    <row r="122" spans="1:8" ht="28.5" customHeight="1">
      <c r="A122" s="272"/>
      <c r="B122" s="245"/>
      <c r="C122" s="55">
        <v>1</v>
      </c>
      <c r="D122" s="56" t="s">
        <v>126</v>
      </c>
      <c r="E122" s="57"/>
      <c r="H122" s="16"/>
    </row>
    <row r="123" spans="1:8" ht="14.85" customHeight="1">
      <c r="A123" s="272"/>
      <c r="B123" s="245"/>
      <c r="C123" s="55">
        <v>0</v>
      </c>
      <c r="D123" s="56" t="s">
        <v>127</v>
      </c>
      <c r="E123" s="58"/>
      <c r="H123" s="16"/>
    </row>
    <row r="124" spans="1:8" ht="15" customHeight="1">
      <c r="A124" s="273"/>
      <c r="B124" s="246"/>
      <c r="C124" s="279" t="s">
        <v>35</v>
      </c>
      <c r="D124" s="280"/>
      <c r="E124" s="48">
        <f>IF(F118="Salah isi",0,E118)</f>
        <v>3</v>
      </c>
      <c r="H124" s="16"/>
    </row>
    <row r="125" spans="1:8" ht="15" customHeight="1">
      <c r="A125" s="49"/>
      <c r="B125" s="49"/>
      <c r="C125" s="50"/>
      <c r="D125" s="50"/>
      <c r="E125" s="51"/>
      <c r="H125" s="16"/>
    </row>
    <row r="126" spans="1:8" ht="126.6" customHeight="1">
      <c r="A126" s="271">
        <v>12</v>
      </c>
      <c r="B126" s="244" t="s">
        <v>128</v>
      </c>
      <c r="C126" s="277" t="s">
        <v>129</v>
      </c>
      <c r="D126" s="305"/>
      <c r="E126" s="42">
        <v>4</v>
      </c>
      <c r="F126" s="15" t="str">
        <f>IF(OR(ISBLANK(E126),E126&gt;4),"Salah isi","judge")</f>
        <v>judge</v>
      </c>
      <c r="H126" s="54"/>
    </row>
    <row r="127" spans="1:8">
      <c r="A127" s="272"/>
      <c r="B127" s="245"/>
      <c r="C127" s="55">
        <v>4</v>
      </c>
      <c r="D127" s="56" t="s">
        <v>130</v>
      </c>
      <c r="E127" s="57"/>
      <c r="H127" s="16"/>
    </row>
    <row r="128" spans="1:8" ht="29.1" customHeight="1">
      <c r="A128" s="272"/>
      <c r="B128" s="245"/>
      <c r="C128" s="55">
        <v>3</v>
      </c>
      <c r="D128" s="56" t="s">
        <v>131</v>
      </c>
      <c r="E128" s="57"/>
      <c r="H128" s="16"/>
    </row>
    <row r="129" spans="1:8" ht="29.1" customHeight="1">
      <c r="A129" s="272"/>
      <c r="B129" s="245"/>
      <c r="C129" s="55">
        <v>2</v>
      </c>
      <c r="D129" s="56" t="s">
        <v>132</v>
      </c>
      <c r="E129" s="57"/>
      <c r="H129" s="16"/>
    </row>
    <row r="130" spans="1:8" ht="43.9" customHeight="1">
      <c r="A130" s="272"/>
      <c r="B130" s="245"/>
      <c r="C130" s="55">
        <v>1</v>
      </c>
      <c r="D130" s="56" t="s">
        <v>133</v>
      </c>
      <c r="E130" s="57"/>
      <c r="H130" s="16"/>
    </row>
    <row r="131" spans="1:8" ht="29.1" customHeight="1">
      <c r="A131" s="272"/>
      <c r="B131" s="245"/>
      <c r="C131" s="55">
        <v>0</v>
      </c>
      <c r="D131" s="56" t="s">
        <v>134</v>
      </c>
      <c r="E131" s="58"/>
      <c r="H131" s="16"/>
    </row>
    <row r="132" spans="1:8" ht="15" customHeight="1">
      <c r="A132" s="273"/>
      <c r="B132" s="246"/>
      <c r="C132" s="279" t="s">
        <v>35</v>
      </c>
      <c r="D132" s="304"/>
      <c r="E132" s="48">
        <f>IF(F126="Salah isi",0,E126)</f>
        <v>4</v>
      </c>
      <c r="H132" s="16"/>
    </row>
    <row r="133" spans="1:8" ht="15" customHeight="1">
      <c r="A133" s="49"/>
      <c r="B133" s="49"/>
      <c r="C133" s="50"/>
      <c r="D133" s="50"/>
      <c r="E133" s="51"/>
      <c r="H133" s="16"/>
    </row>
    <row r="134" spans="1:8" ht="236.25" customHeight="1">
      <c r="A134" s="271">
        <v>13</v>
      </c>
      <c r="B134" s="244" t="s">
        <v>135</v>
      </c>
      <c r="C134" s="277" t="s">
        <v>136</v>
      </c>
      <c r="D134" s="305"/>
      <c r="E134" s="42">
        <v>3</v>
      </c>
      <c r="F134" s="15" t="str">
        <f>IF(OR(ISBLANK(E134),E134&gt;4),"Salah isi","judge")</f>
        <v>judge</v>
      </c>
      <c r="H134" s="54"/>
    </row>
    <row r="135" spans="1:8" ht="43.9" customHeight="1">
      <c r="A135" s="272"/>
      <c r="B135" s="245"/>
      <c r="C135" s="55">
        <v>4</v>
      </c>
      <c r="D135" s="56" t="s">
        <v>137</v>
      </c>
      <c r="E135" s="57"/>
      <c r="H135" s="16"/>
    </row>
    <row r="136" spans="1:8" ht="43.9" customHeight="1">
      <c r="A136" s="272"/>
      <c r="B136" s="245"/>
      <c r="C136" s="55">
        <v>3</v>
      </c>
      <c r="D136" s="56" t="s">
        <v>138</v>
      </c>
      <c r="E136" s="57"/>
      <c r="H136" s="16"/>
    </row>
    <row r="137" spans="1:8" ht="43.9" customHeight="1">
      <c r="A137" s="272"/>
      <c r="B137" s="245"/>
      <c r="C137" s="55">
        <v>2</v>
      </c>
      <c r="D137" s="56" t="s">
        <v>139</v>
      </c>
      <c r="E137" s="57"/>
      <c r="H137" s="16"/>
    </row>
    <row r="138" spans="1:8" ht="43.9" customHeight="1">
      <c r="A138" s="272"/>
      <c r="B138" s="245"/>
      <c r="C138" s="55">
        <v>1</v>
      </c>
      <c r="D138" s="56" t="s">
        <v>140</v>
      </c>
      <c r="E138" s="57"/>
      <c r="H138" s="16"/>
    </row>
    <row r="139" spans="1:8">
      <c r="A139" s="272"/>
      <c r="B139" s="245"/>
      <c r="C139" s="55">
        <v>0</v>
      </c>
      <c r="D139" s="56" t="s">
        <v>141</v>
      </c>
      <c r="E139" s="58"/>
      <c r="H139" s="16"/>
    </row>
    <row r="140" spans="1:8" ht="15" customHeight="1">
      <c r="A140" s="273"/>
      <c r="B140" s="246"/>
      <c r="C140" s="279" t="s">
        <v>35</v>
      </c>
      <c r="D140" s="280"/>
      <c r="E140" s="48">
        <f>IF(F134="Salah isi",0,E134)</f>
        <v>3</v>
      </c>
      <c r="H140" s="16"/>
    </row>
    <row r="141" spans="1:8" ht="15" customHeight="1">
      <c r="A141" s="49"/>
      <c r="B141" s="49"/>
      <c r="C141" s="50"/>
      <c r="D141" s="50"/>
      <c r="E141" s="51"/>
      <c r="H141" s="16"/>
    </row>
    <row r="142" spans="1:8" ht="32.65" customHeight="1">
      <c r="A142" s="271">
        <v>14</v>
      </c>
      <c r="B142" s="244" t="s">
        <v>142</v>
      </c>
      <c r="C142" s="294" t="s">
        <v>143</v>
      </c>
      <c r="D142" s="294"/>
      <c r="E142" s="82"/>
      <c r="H142" s="54"/>
    </row>
    <row r="143" spans="1:8" ht="43.9" customHeight="1">
      <c r="A143" s="272"/>
      <c r="B143" s="245"/>
      <c r="C143" s="83"/>
      <c r="D143" s="84" t="s">
        <v>144</v>
      </c>
      <c r="E143" s="85" t="s">
        <v>145</v>
      </c>
      <c r="H143" s="16"/>
    </row>
    <row r="144" spans="1:8" ht="32.65" hidden="1" customHeight="1">
      <c r="A144" s="272"/>
      <c r="B144" s="245"/>
      <c r="C144" s="86"/>
      <c r="D144" s="87" t="s">
        <v>146</v>
      </c>
      <c r="E144" s="88" t="s">
        <v>145</v>
      </c>
      <c r="H144" s="16"/>
    </row>
    <row r="145" spans="1:8" ht="14.65" hidden="1" customHeight="1">
      <c r="A145" s="272"/>
      <c r="B145" s="245"/>
      <c r="C145" s="86"/>
      <c r="D145" s="87" t="s">
        <v>147</v>
      </c>
      <c r="E145" s="88" t="s">
        <v>148</v>
      </c>
      <c r="H145" s="16"/>
    </row>
    <row r="146" spans="1:8" ht="14.65" hidden="1" customHeight="1">
      <c r="A146" s="272"/>
      <c r="B146" s="245"/>
      <c r="C146" s="86"/>
      <c r="D146" s="87"/>
      <c r="E146" s="88"/>
      <c r="H146" s="16"/>
    </row>
    <row r="147" spans="1:8" ht="14.65" hidden="1" customHeight="1">
      <c r="A147" s="272"/>
      <c r="B147" s="245"/>
      <c r="C147" s="86"/>
      <c r="D147" s="89"/>
      <c r="E147" s="90"/>
      <c r="H147" s="16"/>
    </row>
    <row r="148" spans="1:8" ht="32.65" customHeight="1">
      <c r="A148" s="272"/>
      <c r="B148" s="245"/>
      <c r="C148" s="316" t="s">
        <v>149</v>
      </c>
      <c r="D148" s="324"/>
      <c r="E148" s="91"/>
      <c r="H148" s="16"/>
    </row>
    <row r="149" spans="1:8">
      <c r="A149" s="272"/>
      <c r="B149" s="269"/>
      <c r="C149" s="281" t="s">
        <v>150</v>
      </c>
      <c r="D149" s="282"/>
      <c r="E149" s="65">
        <v>2205</v>
      </c>
      <c r="F149" s="15" t="s">
        <v>95</v>
      </c>
      <c r="G149" s="66"/>
      <c r="H149" s="16"/>
    </row>
    <row r="150" spans="1:8">
      <c r="A150" s="272"/>
      <c r="B150" s="269"/>
      <c r="C150" s="281" t="s">
        <v>151</v>
      </c>
      <c r="D150" s="282"/>
      <c r="E150" s="65">
        <v>373</v>
      </c>
      <c r="F150" s="15" t="s">
        <v>95</v>
      </c>
      <c r="G150" s="66"/>
      <c r="H150" s="16"/>
    </row>
    <row r="151" spans="1:8">
      <c r="A151" s="272"/>
      <c r="B151" s="269"/>
      <c r="C151" s="281" t="s">
        <v>152</v>
      </c>
      <c r="D151" s="282"/>
      <c r="E151" s="67">
        <f>IF(E150&gt;0,E149/E150,0)</f>
        <v>5.911528150134048</v>
      </c>
      <c r="G151" s="92"/>
      <c r="H151" s="16"/>
    </row>
    <row r="152" spans="1:8" ht="14.65" hidden="1" customHeight="1">
      <c r="A152" s="272"/>
      <c r="B152" s="269"/>
      <c r="C152" s="93" t="s">
        <v>153</v>
      </c>
      <c r="D152" s="94">
        <v>5</v>
      </c>
      <c r="E152" s="95"/>
      <c r="G152" s="92"/>
      <c r="H152" s="16"/>
    </row>
    <row r="153" spans="1:8" ht="15" customHeight="1">
      <c r="A153" s="272"/>
      <c r="B153" s="269"/>
      <c r="C153" s="320" t="s">
        <v>35</v>
      </c>
      <c r="D153" s="321"/>
      <c r="E153" s="96">
        <f>IF(E151&gt;=D152,4,4/D152*E151)</f>
        <v>4</v>
      </c>
      <c r="G153" s="92"/>
      <c r="H153" s="16"/>
    </row>
    <row r="154" spans="1:8" ht="36" customHeight="1">
      <c r="A154" s="272"/>
      <c r="B154" s="269"/>
      <c r="C154" s="322" t="s">
        <v>154</v>
      </c>
      <c r="D154" s="323"/>
      <c r="E154" s="42"/>
      <c r="F154" s="15" t="str">
        <f>IF(E143="Tinggi","Tidak diisi",IF(OR(ISBLANK(E154),AND(E154&gt;2,E154&lt;4),AND(E154&gt;0,E154&lt;2),E154&gt;4),"Salah isi","judge"))</f>
        <v>Tidak diisi</v>
      </c>
      <c r="G154" s="92"/>
      <c r="H154" s="16"/>
    </row>
    <row r="155" spans="1:8">
      <c r="A155" s="272"/>
      <c r="B155" s="269"/>
      <c r="C155" s="55">
        <v>4</v>
      </c>
      <c r="D155" s="56" t="s">
        <v>155</v>
      </c>
      <c r="E155" s="97"/>
      <c r="G155" s="92"/>
      <c r="H155" s="16"/>
    </row>
    <row r="156" spans="1:8">
      <c r="A156" s="272"/>
      <c r="B156" s="269"/>
      <c r="C156" s="55">
        <v>3</v>
      </c>
      <c r="D156" s="56" t="s">
        <v>156</v>
      </c>
      <c r="E156" s="97"/>
      <c r="G156" s="92"/>
      <c r="H156" s="16"/>
    </row>
    <row r="157" spans="1:8">
      <c r="A157" s="272"/>
      <c r="B157" s="269"/>
      <c r="C157" s="55">
        <v>2</v>
      </c>
      <c r="D157" s="56" t="s">
        <v>157</v>
      </c>
      <c r="E157" s="97"/>
      <c r="G157" s="92"/>
      <c r="H157" s="16"/>
    </row>
    <row r="158" spans="1:8">
      <c r="A158" s="272"/>
      <c r="B158" s="269"/>
      <c r="C158" s="55">
        <v>1</v>
      </c>
      <c r="D158" s="56" t="s">
        <v>158</v>
      </c>
      <c r="E158" s="97"/>
      <c r="G158" s="92"/>
      <c r="H158" s="16"/>
    </row>
    <row r="159" spans="1:8" ht="15" customHeight="1">
      <c r="A159" s="272"/>
      <c r="B159" s="269"/>
      <c r="C159" s="98">
        <v>0</v>
      </c>
      <c r="D159" s="99" t="s">
        <v>159</v>
      </c>
      <c r="E159" s="100"/>
      <c r="G159" s="92"/>
      <c r="H159" s="16"/>
    </row>
    <row r="160" spans="1:8" ht="15" customHeight="1">
      <c r="A160" s="273"/>
      <c r="B160" s="270"/>
      <c r="C160" s="313" t="s">
        <v>35</v>
      </c>
      <c r="D160" s="314"/>
      <c r="E160" s="101">
        <f>IF(E143="Tinggi",E153,IF(AND(E143="Rendah",F154="Salah Isi"),0,E154))</f>
        <v>4</v>
      </c>
      <c r="G160" s="92"/>
      <c r="H160" s="16"/>
    </row>
    <row r="161" spans="1:8" ht="15" customHeight="1">
      <c r="C161" s="8"/>
      <c r="D161" s="8"/>
      <c r="H161" s="81"/>
    </row>
    <row r="162" spans="1:8" ht="35.65" customHeight="1">
      <c r="A162" s="271">
        <v>15</v>
      </c>
      <c r="B162" s="244" t="s">
        <v>160</v>
      </c>
      <c r="C162" s="294" t="s">
        <v>161</v>
      </c>
      <c r="D162" s="294"/>
      <c r="E162" s="42">
        <v>3</v>
      </c>
      <c r="F162" s="15" t="str">
        <f>IF(OR(ISBLANK(E162),E162&gt;4),"Salah isi","judge")</f>
        <v>judge</v>
      </c>
      <c r="H162" s="54"/>
    </row>
    <row r="163" spans="1:8" ht="45" customHeight="1">
      <c r="A163" s="272"/>
      <c r="B163" s="245"/>
      <c r="C163" s="55">
        <v>4</v>
      </c>
      <c r="D163" s="56" t="s">
        <v>162</v>
      </c>
      <c r="E163" s="97"/>
      <c r="H163" s="16"/>
    </row>
    <row r="164" spans="1:8" ht="45" customHeight="1">
      <c r="A164" s="272"/>
      <c r="B164" s="245"/>
      <c r="C164" s="55">
        <v>3</v>
      </c>
      <c r="D164" s="56" t="s">
        <v>163</v>
      </c>
      <c r="E164" s="97"/>
      <c r="H164" s="16"/>
    </row>
    <row r="165" spans="1:8" ht="29.1" customHeight="1">
      <c r="A165" s="272"/>
      <c r="B165" s="245"/>
      <c r="C165" s="55">
        <v>2</v>
      </c>
      <c r="D165" s="56" t="s">
        <v>164</v>
      </c>
      <c r="E165" s="97"/>
      <c r="H165" s="16"/>
    </row>
    <row r="166" spans="1:8" ht="29.1" customHeight="1">
      <c r="A166" s="272"/>
      <c r="B166" s="245"/>
      <c r="C166" s="55">
        <v>1</v>
      </c>
      <c r="D166" s="56" t="s">
        <v>165</v>
      </c>
      <c r="E166" s="97"/>
      <c r="H166" s="16"/>
    </row>
    <row r="167" spans="1:8" ht="29.1" customHeight="1">
      <c r="A167" s="272"/>
      <c r="B167" s="245"/>
      <c r="C167" s="98">
        <v>0</v>
      </c>
      <c r="D167" s="99" t="s">
        <v>166</v>
      </c>
      <c r="E167" s="102"/>
      <c r="H167" s="16"/>
    </row>
    <row r="168" spans="1:8" ht="32.65" customHeight="1">
      <c r="A168" s="272"/>
      <c r="B168" s="245"/>
      <c r="C168" s="237" t="s">
        <v>167</v>
      </c>
      <c r="D168" s="237"/>
      <c r="E168" s="58"/>
      <c r="H168" s="16"/>
    </row>
    <row r="169" spans="1:8" ht="33.6" customHeight="1">
      <c r="A169" s="272"/>
      <c r="B169" s="245"/>
      <c r="C169" s="281" t="s">
        <v>168</v>
      </c>
      <c r="D169" s="282"/>
      <c r="E169" s="65">
        <v>0</v>
      </c>
      <c r="F169" s="15" t="s">
        <v>95</v>
      </c>
      <c r="G169" s="66"/>
      <c r="H169" s="16"/>
    </row>
    <row r="170" spans="1:8" ht="33.6" customHeight="1">
      <c r="A170" s="272"/>
      <c r="B170" s="245"/>
      <c r="C170" s="281" t="s">
        <v>169</v>
      </c>
      <c r="D170" s="282"/>
      <c r="E170" s="65">
        <v>0</v>
      </c>
      <c r="F170" s="15" t="s">
        <v>95</v>
      </c>
      <c r="G170" s="66"/>
      <c r="H170" s="16"/>
    </row>
    <row r="171" spans="1:8" ht="33.6" customHeight="1">
      <c r="A171" s="272"/>
      <c r="B171" s="245"/>
      <c r="C171" s="281" t="s">
        <v>170</v>
      </c>
      <c r="D171" s="282"/>
      <c r="E171" s="65">
        <v>0</v>
      </c>
      <c r="F171" s="15" t="s">
        <v>95</v>
      </c>
      <c r="G171" s="66"/>
      <c r="H171" s="16"/>
    </row>
    <row r="172" spans="1:8" ht="14.65" customHeight="1">
      <c r="A172" s="272"/>
      <c r="B172" s="245"/>
      <c r="C172" s="281" t="s">
        <v>171</v>
      </c>
      <c r="D172" s="282"/>
      <c r="E172" s="103">
        <f>IF(E169&gt;0,(E170+E171)/E169,0)</f>
        <v>0</v>
      </c>
      <c r="G172" s="92"/>
      <c r="H172" s="16"/>
    </row>
    <row r="173" spans="1:8" ht="14.65" hidden="1" customHeight="1">
      <c r="A173" s="272"/>
      <c r="B173" s="245"/>
      <c r="C173" s="93" t="s">
        <v>153</v>
      </c>
      <c r="D173" s="104">
        <v>0.01</v>
      </c>
      <c r="E173" s="95"/>
      <c r="G173" s="92"/>
      <c r="H173" s="16"/>
    </row>
    <row r="174" spans="1:8" ht="15" customHeight="1">
      <c r="A174" s="272"/>
      <c r="B174" s="245"/>
      <c r="C174" s="320" t="s">
        <v>114</v>
      </c>
      <c r="D174" s="321"/>
      <c r="E174" s="96">
        <f>IF(E172&gt;=D173,4,2+2/D173*E172)</f>
        <v>2</v>
      </c>
      <c r="G174" s="92"/>
      <c r="H174" s="16"/>
    </row>
    <row r="175" spans="1:8" ht="15" customHeight="1">
      <c r="A175" s="273"/>
      <c r="B175" s="270"/>
      <c r="C175" s="283" t="s">
        <v>115</v>
      </c>
      <c r="D175" s="284"/>
      <c r="E175" s="48">
        <f>IF(F162="Salah isi",0,(2*E162+E174)/3)</f>
        <v>2.6666666666666665</v>
      </c>
      <c r="G175" s="92"/>
      <c r="H175" s="16"/>
    </row>
    <row r="176" spans="1:8" ht="15" customHeight="1">
      <c r="C176" s="8"/>
      <c r="D176" s="8"/>
      <c r="H176" s="81"/>
    </row>
    <row r="177" spans="1:8" ht="80.099999999999994" customHeight="1">
      <c r="A177" s="271">
        <v>16</v>
      </c>
      <c r="B177" s="244" t="s">
        <v>172</v>
      </c>
      <c r="C177" s="277" t="s">
        <v>173</v>
      </c>
      <c r="D177" s="305"/>
      <c r="E177" s="42">
        <v>4</v>
      </c>
      <c r="F177" s="15" t="str">
        <f>IF(OR(ISBLANK(E177),E177&gt;4),"Salah isi","judge")</f>
        <v>judge</v>
      </c>
      <c r="H177" s="54"/>
    </row>
    <row r="178" spans="1:8" ht="43.9" customHeight="1">
      <c r="A178" s="272"/>
      <c r="B178" s="245"/>
      <c r="C178" s="55">
        <v>4</v>
      </c>
      <c r="D178" s="56" t="s">
        <v>174</v>
      </c>
      <c r="E178" s="57"/>
      <c r="H178" s="16"/>
    </row>
    <row r="179" spans="1:8" ht="43.9" customHeight="1">
      <c r="A179" s="272"/>
      <c r="B179" s="245"/>
      <c r="C179" s="55">
        <v>3</v>
      </c>
      <c r="D179" s="56" t="s">
        <v>175</v>
      </c>
      <c r="E179" s="57"/>
      <c r="H179" s="16"/>
    </row>
    <row r="180" spans="1:8" ht="29.1" customHeight="1">
      <c r="A180" s="272"/>
      <c r="B180" s="245"/>
      <c r="C180" s="55">
        <v>2</v>
      </c>
      <c r="D180" s="56" t="s">
        <v>176</v>
      </c>
      <c r="E180" s="57"/>
      <c r="H180" s="16"/>
    </row>
    <row r="181" spans="1:8" ht="29.1" customHeight="1">
      <c r="A181" s="272"/>
      <c r="B181" s="245"/>
      <c r="C181" s="55">
        <v>1</v>
      </c>
      <c r="D181" s="105" t="s">
        <v>177</v>
      </c>
      <c r="E181" s="57"/>
      <c r="H181" s="16"/>
    </row>
    <row r="182" spans="1:8">
      <c r="A182" s="272"/>
      <c r="B182" s="245"/>
      <c r="C182" s="98">
        <v>0</v>
      </c>
      <c r="D182" s="99" t="s">
        <v>178</v>
      </c>
      <c r="E182" s="102"/>
      <c r="H182" s="16"/>
    </row>
    <row r="183" spans="1:8" ht="42" customHeight="1">
      <c r="A183" s="272"/>
      <c r="B183" s="245"/>
      <c r="C183" s="281" t="s">
        <v>179</v>
      </c>
      <c r="D183" s="282"/>
      <c r="E183" s="106">
        <v>4</v>
      </c>
      <c r="F183" s="15" t="str">
        <f>IF(OR(ISBLANK(E183),E183&gt;4),"Salah isi","judge")</f>
        <v>judge</v>
      </c>
      <c r="H183" s="16"/>
    </row>
    <row r="184" spans="1:8" ht="43.9" customHeight="1">
      <c r="A184" s="272"/>
      <c r="B184" s="245"/>
      <c r="C184" s="55">
        <v>4</v>
      </c>
      <c r="D184" s="56" t="s">
        <v>180</v>
      </c>
      <c r="E184" s="57"/>
      <c r="H184" s="16"/>
    </row>
    <row r="185" spans="1:8" ht="29.1" customHeight="1">
      <c r="A185" s="272"/>
      <c r="B185" s="245"/>
      <c r="C185" s="55">
        <v>3</v>
      </c>
      <c r="D185" s="56" t="s">
        <v>181</v>
      </c>
      <c r="E185" s="57"/>
      <c r="H185" s="16"/>
    </row>
    <row r="186" spans="1:8" ht="29.1" customHeight="1">
      <c r="A186" s="272"/>
      <c r="B186" s="245"/>
      <c r="C186" s="55">
        <v>2</v>
      </c>
      <c r="D186" s="56" t="s">
        <v>182</v>
      </c>
      <c r="E186" s="57"/>
      <c r="H186" s="16"/>
    </row>
    <row r="187" spans="1:8" ht="29.1" customHeight="1">
      <c r="A187" s="272"/>
      <c r="B187" s="245"/>
      <c r="C187" s="55">
        <v>1</v>
      </c>
      <c r="D187" s="105" t="s">
        <v>183</v>
      </c>
      <c r="E187" s="57"/>
      <c r="H187" s="16"/>
    </row>
    <row r="188" spans="1:8">
      <c r="A188" s="272"/>
      <c r="B188" s="245"/>
      <c r="C188" s="55">
        <v>0</v>
      </c>
      <c r="D188" s="56" t="s">
        <v>178</v>
      </c>
      <c r="E188" s="58"/>
      <c r="H188" s="16"/>
    </row>
    <row r="189" spans="1:8" ht="15" customHeight="1">
      <c r="A189" s="273"/>
      <c r="B189" s="246"/>
      <c r="C189" s="279" t="s">
        <v>75</v>
      </c>
      <c r="D189" s="280"/>
      <c r="E189" s="48">
        <f>IF(OR(F177="Salah isi",F183="Salah isi"),0,(E177+2*E183)/3)</f>
        <v>4</v>
      </c>
      <c r="H189" s="16"/>
    </row>
    <row r="190" spans="1:8" ht="15" customHeight="1">
      <c r="A190" s="49"/>
      <c r="B190" s="49"/>
      <c r="C190" s="50"/>
      <c r="D190" s="50"/>
      <c r="E190" s="51"/>
      <c r="H190" s="16"/>
    </row>
    <row r="191" spans="1:8" ht="44.65" customHeight="1">
      <c r="A191" s="271">
        <v>17</v>
      </c>
      <c r="B191" s="244" t="s">
        <v>184</v>
      </c>
      <c r="C191" s="294" t="s">
        <v>185</v>
      </c>
      <c r="D191" s="294"/>
      <c r="E191" s="64"/>
      <c r="H191" s="54"/>
    </row>
    <row r="192" spans="1:8" ht="50.1" customHeight="1">
      <c r="A192" s="272"/>
      <c r="B192" s="245"/>
      <c r="C192" s="281" t="s">
        <v>98</v>
      </c>
      <c r="D192" s="282"/>
      <c r="E192" s="65">
        <v>11</v>
      </c>
      <c r="F192" s="15" t="s">
        <v>95</v>
      </c>
      <c r="G192" s="66"/>
      <c r="H192" s="16"/>
    </row>
    <row r="193" spans="1:8" ht="14.65" hidden="1" customHeight="1">
      <c r="A193" s="272"/>
      <c r="B193" s="245"/>
      <c r="C193" s="75" t="s">
        <v>186</v>
      </c>
      <c r="D193" s="76">
        <v>3</v>
      </c>
      <c r="E193" s="107"/>
      <c r="G193" s="66"/>
      <c r="H193" s="16"/>
    </row>
    <row r="194" spans="1:8" ht="14.65" hidden="1" customHeight="1">
      <c r="A194" s="272"/>
      <c r="B194" s="245"/>
      <c r="C194" s="75" t="s">
        <v>187</v>
      </c>
      <c r="D194" s="76">
        <v>12</v>
      </c>
      <c r="E194" s="107"/>
      <c r="G194" s="66"/>
      <c r="H194" s="16"/>
    </row>
    <row r="195" spans="1:8" ht="15" customHeight="1">
      <c r="A195" s="273"/>
      <c r="B195" s="246"/>
      <c r="C195" s="283" t="s">
        <v>35</v>
      </c>
      <c r="D195" s="284"/>
      <c r="E195" s="48">
        <f>IF(E192&gt;=D194,4,IF(E192&gt;=D193,2/(D194-D193)*(E192-D193)+2,0))</f>
        <v>3.7777777777777777</v>
      </c>
      <c r="H195" s="16"/>
    </row>
    <row r="196" spans="1:8" ht="15" customHeight="1">
      <c r="C196" s="8"/>
      <c r="D196" s="8"/>
      <c r="H196" s="81"/>
    </row>
    <row r="197" spans="1:8" ht="41.65" customHeight="1">
      <c r="A197" s="271">
        <v>18</v>
      </c>
      <c r="B197" s="244"/>
      <c r="C197" s="294" t="s">
        <v>188</v>
      </c>
      <c r="D197" s="294"/>
      <c r="E197" s="64"/>
      <c r="H197" s="54"/>
    </row>
    <row r="198" spans="1:8" ht="35.1" customHeight="1">
      <c r="A198" s="272"/>
      <c r="B198" s="245"/>
      <c r="C198" s="281" t="s">
        <v>189</v>
      </c>
      <c r="D198" s="282"/>
      <c r="E198" s="65">
        <v>0</v>
      </c>
      <c r="F198" s="15" t="s">
        <v>95</v>
      </c>
      <c r="G198" s="66"/>
      <c r="H198" s="16"/>
    </row>
    <row r="199" spans="1:8" ht="53.1" customHeight="1">
      <c r="A199" s="272"/>
      <c r="B199" s="245"/>
      <c r="C199" s="281" t="s">
        <v>98</v>
      </c>
      <c r="D199" s="282"/>
      <c r="E199" s="65">
        <v>11</v>
      </c>
      <c r="F199" s="15" t="s">
        <v>95</v>
      </c>
      <c r="G199" s="66"/>
      <c r="H199" s="16"/>
    </row>
    <row r="200" spans="1:8" ht="14.65" customHeight="1">
      <c r="A200" s="272"/>
      <c r="B200" s="245"/>
      <c r="C200" s="281" t="s">
        <v>190</v>
      </c>
      <c r="D200" s="282"/>
      <c r="E200" s="103">
        <f>IF(E199&gt;0,E198/E199,0)</f>
        <v>0</v>
      </c>
      <c r="G200" s="92"/>
      <c r="H200" s="16"/>
    </row>
    <row r="201" spans="1:8" ht="14.65" hidden="1" customHeight="1">
      <c r="A201" s="272"/>
      <c r="B201" s="245"/>
      <c r="C201" s="75" t="s">
        <v>153</v>
      </c>
      <c r="D201" s="108">
        <v>0.5</v>
      </c>
      <c r="E201" s="109"/>
      <c r="G201" s="92"/>
      <c r="H201" s="16"/>
    </row>
    <row r="202" spans="1:8" ht="15" customHeight="1">
      <c r="A202" s="273"/>
      <c r="B202" s="246"/>
      <c r="C202" s="283" t="s">
        <v>35</v>
      </c>
      <c r="D202" s="284"/>
      <c r="E202" s="48">
        <f>IF(E200&gt;=D201,4,2+2/D201*E200)</f>
        <v>2</v>
      </c>
      <c r="H202" s="16"/>
    </row>
    <row r="203" spans="1:8" ht="15" customHeight="1">
      <c r="C203" s="8"/>
      <c r="D203" s="8"/>
      <c r="H203" s="81"/>
    </row>
    <row r="204" spans="1:8" ht="43.35" hidden="1" customHeight="1">
      <c r="A204" s="274"/>
      <c r="B204" s="262"/>
      <c r="C204" s="289"/>
      <c r="D204" s="289"/>
      <c r="E204" s="110"/>
      <c r="H204" s="54"/>
    </row>
    <row r="205" spans="1:8" ht="14.65" hidden="1" customHeight="1">
      <c r="A205" s="275"/>
      <c r="B205" s="263"/>
      <c r="C205" s="290"/>
      <c r="D205" s="291"/>
      <c r="E205" s="111"/>
      <c r="G205" s="66"/>
      <c r="H205" s="16"/>
    </row>
    <row r="206" spans="1:8" ht="49.35" hidden="1" customHeight="1">
      <c r="A206" s="275"/>
      <c r="B206" s="263"/>
      <c r="C206" s="290"/>
      <c r="D206" s="291"/>
      <c r="E206" s="111"/>
      <c r="G206" s="66"/>
      <c r="H206" s="16"/>
    </row>
    <row r="207" spans="1:8" ht="15.75" hidden="1" customHeight="1">
      <c r="A207" s="275"/>
      <c r="B207" s="263"/>
      <c r="C207" s="290"/>
      <c r="D207" s="291"/>
      <c r="E207" s="112"/>
      <c r="G207" s="92"/>
      <c r="H207" s="16"/>
    </row>
    <row r="208" spans="1:8" ht="15.75" hidden="1" customHeight="1">
      <c r="A208" s="275"/>
      <c r="B208" s="263"/>
      <c r="C208" s="75"/>
      <c r="D208" s="108"/>
      <c r="E208" s="109"/>
      <c r="G208" s="92"/>
      <c r="H208" s="16"/>
    </row>
    <row r="209" spans="1:8" ht="15" hidden="1" customHeight="1">
      <c r="A209" s="276"/>
      <c r="B209" s="264"/>
      <c r="C209" s="292"/>
      <c r="D209" s="293"/>
      <c r="E209" s="113"/>
      <c r="H209" s="16"/>
    </row>
    <row r="210" spans="1:8" ht="15" hidden="1" customHeight="1">
      <c r="C210" s="8"/>
      <c r="D210" s="8"/>
      <c r="H210" s="81"/>
    </row>
    <row r="211" spans="1:8" ht="33.75" customHeight="1">
      <c r="A211" s="271">
        <v>19</v>
      </c>
      <c r="B211" s="244"/>
      <c r="C211" s="294" t="s">
        <v>191</v>
      </c>
      <c r="D211" s="294"/>
      <c r="E211" s="64"/>
      <c r="H211" s="54"/>
    </row>
    <row r="212" spans="1:8">
      <c r="A212" s="272"/>
      <c r="B212" s="245"/>
      <c r="C212" s="281" t="s">
        <v>192</v>
      </c>
      <c r="D212" s="282"/>
      <c r="E212" s="65">
        <v>0</v>
      </c>
      <c r="F212" s="15" t="s">
        <v>95</v>
      </c>
      <c r="G212" s="66"/>
      <c r="H212" s="16"/>
    </row>
    <row r="213" spans="1:8">
      <c r="A213" s="272"/>
      <c r="B213" s="245"/>
      <c r="C213" s="281" t="s">
        <v>193</v>
      </c>
      <c r="D213" s="282"/>
      <c r="E213" s="65">
        <v>0</v>
      </c>
      <c r="F213" s="15" t="s">
        <v>95</v>
      </c>
      <c r="G213" s="66"/>
      <c r="H213" s="16"/>
    </row>
    <row r="214" spans="1:8">
      <c r="A214" s="272"/>
      <c r="B214" s="245"/>
      <c r="C214" s="281" t="s">
        <v>194</v>
      </c>
      <c r="D214" s="282"/>
      <c r="E214" s="65">
        <v>0</v>
      </c>
      <c r="F214" s="15" t="s">
        <v>95</v>
      </c>
      <c r="G214" s="66"/>
      <c r="H214" s="16"/>
    </row>
    <row r="215" spans="1:8" ht="50.65" customHeight="1">
      <c r="A215" s="272"/>
      <c r="B215" s="245"/>
      <c r="C215" s="281" t="s">
        <v>98</v>
      </c>
      <c r="D215" s="282"/>
      <c r="E215" s="65">
        <v>11</v>
      </c>
      <c r="F215" s="15" t="s">
        <v>95</v>
      </c>
      <c r="G215" s="66"/>
      <c r="H215" s="16"/>
    </row>
    <row r="216" spans="1:8" ht="14.65" customHeight="1">
      <c r="A216" s="272"/>
      <c r="B216" s="245"/>
      <c r="C216" s="281" t="s">
        <v>195</v>
      </c>
      <c r="D216" s="282"/>
      <c r="E216" s="103">
        <f>IF(E215&gt;0,(E212+E213+E214)/E215,0)</f>
        <v>0</v>
      </c>
      <c r="G216" s="92"/>
      <c r="H216" s="16"/>
    </row>
    <row r="217" spans="1:8" ht="14.65" hidden="1" customHeight="1">
      <c r="A217" s="272"/>
      <c r="B217" s="245"/>
      <c r="C217" s="75" t="s">
        <v>153</v>
      </c>
      <c r="D217" s="108">
        <v>0.7</v>
      </c>
      <c r="E217" s="109"/>
      <c r="G217" s="92"/>
      <c r="H217" s="16"/>
    </row>
    <row r="218" spans="1:8" ht="15" customHeight="1">
      <c r="A218" s="273"/>
      <c r="B218" s="246"/>
      <c r="C218" s="283" t="s">
        <v>35</v>
      </c>
      <c r="D218" s="284"/>
      <c r="E218" s="48">
        <f>IF(E216&gt;=D217,4,2+2/D217*E216)</f>
        <v>2</v>
      </c>
      <c r="H218" s="16"/>
    </row>
    <row r="219" spans="1:8" ht="15" customHeight="1">
      <c r="C219" s="8"/>
      <c r="D219" s="8"/>
      <c r="H219" s="81"/>
    </row>
    <row r="220" spans="1:8" ht="43.35" customHeight="1">
      <c r="A220" s="271">
        <v>20</v>
      </c>
      <c r="B220" s="244"/>
      <c r="C220" s="294" t="s">
        <v>196</v>
      </c>
      <c r="D220" s="294"/>
      <c r="E220" s="64"/>
      <c r="H220" s="54"/>
    </row>
    <row r="221" spans="1:8" ht="29.1" customHeight="1">
      <c r="A221" s="272"/>
      <c r="B221" s="245"/>
      <c r="C221" s="59"/>
      <c r="D221" s="84" t="s">
        <v>197</v>
      </c>
      <c r="E221" s="85" t="s">
        <v>198</v>
      </c>
      <c r="H221" s="16"/>
    </row>
    <row r="222" spans="1:8" ht="14.65" hidden="1" customHeight="1">
      <c r="A222" s="272"/>
      <c r="B222" s="245"/>
      <c r="C222" s="114"/>
      <c r="D222" s="87" t="s">
        <v>199</v>
      </c>
      <c r="E222" s="88" t="s">
        <v>198</v>
      </c>
      <c r="H222" s="16"/>
    </row>
    <row r="223" spans="1:8" ht="14.65" hidden="1" customHeight="1">
      <c r="A223" s="272"/>
      <c r="B223" s="245"/>
      <c r="C223" s="114"/>
      <c r="D223" s="87" t="s">
        <v>200</v>
      </c>
      <c r="E223" s="88" t="s">
        <v>201</v>
      </c>
      <c r="H223" s="16"/>
    </row>
    <row r="224" spans="1:8" ht="14.65" hidden="1" customHeight="1">
      <c r="A224" s="272"/>
      <c r="B224" s="245"/>
      <c r="C224" s="114"/>
      <c r="D224" s="87"/>
      <c r="E224" s="88"/>
      <c r="H224" s="16"/>
    </row>
    <row r="225" spans="1:8" ht="14.65" hidden="1" customHeight="1">
      <c r="A225" s="272"/>
      <c r="B225" s="245"/>
      <c r="C225" s="114"/>
      <c r="D225" s="87"/>
      <c r="E225" s="88"/>
      <c r="H225" s="16"/>
    </row>
    <row r="226" spans="1:8" ht="14.65" customHeight="1">
      <c r="A226" s="272"/>
      <c r="B226" s="245"/>
      <c r="C226" s="281" t="s">
        <v>202</v>
      </c>
      <c r="D226" s="282"/>
      <c r="E226" s="65">
        <v>316</v>
      </c>
      <c r="F226" s="15" t="s">
        <v>95</v>
      </c>
      <c r="G226" s="66"/>
      <c r="H226" s="16"/>
    </row>
    <row r="227" spans="1:8" ht="50.1" customHeight="1">
      <c r="A227" s="272"/>
      <c r="B227" s="245"/>
      <c r="C227" s="281" t="s">
        <v>98</v>
      </c>
      <c r="D227" s="282"/>
      <c r="E227" s="65">
        <v>11</v>
      </c>
      <c r="F227" s="15" t="s">
        <v>95</v>
      </c>
      <c r="G227" s="115"/>
      <c r="H227" s="16"/>
    </row>
    <row r="228" spans="1:8" ht="15.75" customHeight="1">
      <c r="A228" s="272"/>
      <c r="B228" s="245"/>
      <c r="C228" s="281" t="s">
        <v>203</v>
      </c>
      <c r="D228" s="282"/>
      <c r="E228" s="67">
        <f>IF(E227&gt;0,E226/E227,0)</f>
        <v>28.727272727272727</v>
      </c>
      <c r="G228" s="116"/>
      <c r="H228" s="16"/>
    </row>
    <row r="229" spans="1:8" ht="15.75" hidden="1" customHeight="1">
      <c r="A229" s="272"/>
      <c r="B229" s="245"/>
      <c r="C229" s="315" t="s">
        <v>204</v>
      </c>
      <c r="D229" s="315"/>
      <c r="E229" s="70">
        <f>IF(E228&gt;D232,0,IF(E228&gt;D231,-4/(D232-D231)*(E228-D231)+4,IF(E228&gt;=D230,4,4/D230*E228)))</f>
        <v>2.5090909090909093</v>
      </c>
      <c r="G229" s="116"/>
      <c r="H229" s="16"/>
    </row>
    <row r="230" spans="1:8" ht="15.75" hidden="1" customHeight="1">
      <c r="A230" s="272"/>
      <c r="B230" s="245"/>
      <c r="C230" s="69" t="s">
        <v>186</v>
      </c>
      <c r="D230" s="69">
        <v>15</v>
      </c>
      <c r="E230" s="70"/>
      <c r="G230" s="116"/>
      <c r="H230" s="16"/>
    </row>
    <row r="231" spans="1:8" ht="15.75" hidden="1" customHeight="1">
      <c r="A231" s="272"/>
      <c r="B231" s="245"/>
      <c r="C231" s="69" t="s">
        <v>187</v>
      </c>
      <c r="D231" s="69">
        <v>25</v>
      </c>
      <c r="E231" s="70"/>
      <c r="G231" s="116"/>
      <c r="H231" s="16"/>
    </row>
    <row r="232" spans="1:8" ht="15.75" hidden="1" customHeight="1">
      <c r="A232" s="272"/>
      <c r="B232" s="245"/>
      <c r="C232" s="69" t="s">
        <v>205</v>
      </c>
      <c r="D232" s="69">
        <v>35</v>
      </c>
      <c r="E232" s="70"/>
      <c r="G232" s="116"/>
      <c r="H232" s="16"/>
    </row>
    <row r="233" spans="1:8" ht="15.75" hidden="1" customHeight="1">
      <c r="A233" s="272"/>
      <c r="B233" s="245"/>
      <c r="C233" s="315" t="s">
        <v>206</v>
      </c>
      <c r="D233" s="315"/>
      <c r="E233" s="70">
        <f>IF(E228&gt;D236,0,IF(E228&gt;D235,-4/(D236-D235)*(E228-D235)+4,IF(E228&gt;=D234,4,4/D234*E228)))</f>
        <v>4</v>
      </c>
      <c r="G233" s="116"/>
      <c r="H233" s="16"/>
    </row>
    <row r="234" spans="1:8" ht="15.75" hidden="1" customHeight="1">
      <c r="A234" s="272"/>
      <c r="B234" s="245"/>
      <c r="C234" s="75" t="s">
        <v>186</v>
      </c>
      <c r="D234" s="76">
        <v>25</v>
      </c>
      <c r="E234" s="117"/>
      <c r="G234" s="116"/>
      <c r="H234" s="16"/>
    </row>
    <row r="235" spans="1:8" ht="15.75" hidden="1" customHeight="1">
      <c r="A235" s="272"/>
      <c r="B235" s="245"/>
      <c r="C235" s="75" t="s">
        <v>187</v>
      </c>
      <c r="D235" s="76">
        <v>35</v>
      </c>
      <c r="E235" s="117"/>
      <c r="G235" s="116"/>
      <c r="H235" s="16"/>
    </row>
    <row r="236" spans="1:8" ht="15.75" hidden="1" customHeight="1">
      <c r="A236" s="272"/>
      <c r="B236" s="245"/>
      <c r="C236" s="75" t="s">
        <v>205</v>
      </c>
      <c r="D236" s="76">
        <v>50</v>
      </c>
      <c r="E236" s="117"/>
      <c r="G236" s="116"/>
      <c r="H236" s="16"/>
    </row>
    <row r="237" spans="1:8" ht="35.65" customHeight="1">
      <c r="A237" s="272"/>
      <c r="B237" s="245"/>
      <c r="C237" s="316" t="s">
        <v>207</v>
      </c>
      <c r="D237" s="317"/>
      <c r="E237" s="118" t="str">
        <f>E143</f>
        <v>Tinggi</v>
      </c>
      <c r="G237" s="116"/>
      <c r="H237" s="16"/>
    </row>
    <row r="238" spans="1:8" ht="33.6" customHeight="1">
      <c r="A238" s="272"/>
      <c r="B238" s="245"/>
      <c r="C238" s="283" t="s">
        <v>208</v>
      </c>
      <c r="D238" s="318"/>
      <c r="E238" s="319"/>
      <c r="G238" s="116"/>
      <c r="H238" s="16"/>
    </row>
    <row r="239" spans="1:8" ht="15" customHeight="1">
      <c r="A239" s="273"/>
      <c r="B239" s="246"/>
      <c r="C239" s="313" t="s">
        <v>35</v>
      </c>
      <c r="D239" s="314"/>
      <c r="E239" s="101">
        <f>IF(E237="Tinggi",IF(E221="Saintek",E229,E233),E160)</f>
        <v>2.5090909090909093</v>
      </c>
      <c r="G239" s="68"/>
      <c r="H239" s="16"/>
    </row>
    <row r="240" spans="1:8" ht="15" customHeight="1">
      <c r="C240" s="8"/>
      <c r="D240" s="8"/>
      <c r="H240" s="81"/>
    </row>
    <row r="241" spans="1:8" ht="43.35" customHeight="1">
      <c r="A241" s="271">
        <v>21</v>
      </c>
      <c r="B241" s="244"/>
      <c r="C241" s="294" t="s">
        <v>209</v>
      </c>
      <c r="D241" s="294"/>
      <c r="E241" s="64"/>
      <c r="H241" s="54"/>
    </row>
    <row r="242" spans="1:8" ht="33" customHeight="1">
      <c r="A242" s="272"/>
      <c r="B242" s="245"/>
      <c r="C242" s="281" t="s">
        <v>210</v>
      </c>
      <c r="D242" s="282"/>
      <c r="E242" s="65">
        <v>0</v>
      </c>
      <c r="F242" s="15" t="s">
        <v>95</v>
      </c>
      <c r="G242" s="66"/>
      <c r="H242" s="16"/>
    </row>
    <row r="243" spans="1:8">
      <c r="A243" s="272"/>
      <c r="B243" s="245"/>
      <c r="C243" s="281" t="s">
        <v>211</v>
      </c>
      <c r="D243" s="282"/>
      <c r="E243" s="65">
        <v>1</v>
      </c>
      <c r="F243" s="15" t="s">
        <v>95</v>
      </c>
      <c r="G243" s="66"/>
      <c r="H243" s="16"/>
    </row>
    <row r="244" spans="1:8" ht="15.75" customHeight="1">
      <c r="A244" s="272"/>
      <c r="B244" s="245"/>
      <c r="C244" s="281" t="s">
        <v>212</v>
      </c>
      <c r="D244" s="282"/>
      <c r="E244" s="67">
        <f>(E242+E243)/2</f>
        <v>0.5</v>
      </c>
      <c r="G244" s="92"/>
      <c r="H244" s="16"/>
    </row>
    <row r="245" spans="1:8" ht="15.75" hidden="1" customHeight="1">
      <c r="A245" s="272"/>
      <c r="B245" s="245"/>
      <c r="C245" s="69" t="s">
        <v>186</v>
      </c>
      <c r="D245" s="69">
        <v>6</v>
      </c>
      <c r="E245" s="70"/>
      <c r="G245" s="116"/>
      <c r="H245" s="16"/>
    </row>
    <row r="246" spans="1:8" ht="15.75" hidden="1" customHeight="1">
      <c r="A246" s="272"/>
      <c r="B246" s="245"/>
      <c r="C246" s="69" t="s">
        <v>187</v>
      </c>
      <c r="D246" s="69">
        <v>10</v>
      </c>
      <c r="E246" s="70"/>
      <c r="G246" s="116"/>
      <c r="H246" s="16"/>
    </row>
    <row r="247" spans="1:8" ht="15" customHeight="1">
      <c r="A247" s="273"/>
      <c r="B247" s="246"/>
      <c r="C247" s="283" t="s">
        <v>35</v>
      </c>
      <c r="D247" s="284"/>
      <c r="E247" s="48">
        <f>IF(OR(E244=0,E244&gt;D246),0,IF(E244&gt;D245,-2/(D246-D245)*(E244-D245)+4,4))</f>
        <v>4</v>
      </c>
      <c r="H247" s="16"/>
    </row>
    <row r="248" spans="1:8" ht="15" customHeight="1">
      <c r="C248" s="8"/>
      <c r="D248" s="8"/>
      <c r="H248" s="81"/>
    </row>
    <row r="249" spans="1:8" ht="43.35" customHeight="1">
      <c r="A249" s="271">
        <v>22</v>
      </c>
      <c r="B249" s="244"/>
      <c r="C249" s="294" t="s">
        <v>213</v>
      </c>
      <c r="D249" s="294"/>
      <c r="E249" s="64"/>
      <c r="H249" s="54"/>
    </row>
    <row r="250" spans="1:8">
      <c r="A250" s="272"/>
      <c r="B250" s="245"/>
      <c r="C250" s="281" t="s">
        <v>214</v>
      </c>
      <c r="D250" s="282"/>
      <c r="E250" s="65">
        <v>16.592110000000002</v>
      </c>
      <c r="F250" s="15" t="s">
        <v>95</v>
      </c>
      <c r="G250" s="66"/>
      <c r="H250" s="16"/>
    </row>
    <row r="251" spans="1:8">
      <c r="A251" s="272"/>
      <c r="B251" s="245"/>
      <c r="C251" s="281" t="s">
        <v>215</v>
      </c>
      <c r="D251" s="282"/>
      <c r="E251" s="65">
        <v>14</v>
      </c>
      <c r="F251" s="15" t="s">
        <v>95</v>
      </c>
      <c r="G251" s="66"/>
      <c r="H251" s="16"/>
    </row>
    <row r="252" spans="1:8" ht="15.75" customHeight="1">
      <c r="A252" s="272"/>
      <c r="B252" s="245"/>
      <c r="C252" s="281" t="s">
        <v>216</v>
      </c>
      <c r="D252" s="282"/>
      <c r="E252" s="67">
        <f>E251</f>
        <v>14</v>
      </c>
      <c r="G252" s="92"/>
      <c r="H252" s="16"/>
    </row>
    <row r="253" spans="1:8" ht="15.75" hidden="1" customHeight="1">
      <c r="A253" s="272"/>
      <c r="B253" s="245"/>
      <c r="C253" s="69" t="s">
        <v>186</v>
      </c>
      <c r="D253" s="69">
        <v>6</v>
      </c>
      <c r="E253" s="70"/>
      <c r="G253" s="116"/>
      <c r="H253" s="16"/>
    </row>
    <row r="254" spans="1:8" ht="15.75" hidden="1" customHeight="1">
      <c r="A254" s="272"/>
      <c r="B254" s="245"/>
      <c r="C254" s="69" t="s">
        <v>187</v>
      </c>
      <c r="D254" s="69">
        <v>12</v>
      </c>
      <c r="E254" s="70"/>
      <c r="G254" s="116"/>
      <c r="H254" s="16"/>
    </row>
    <row r="255" spans="1:8" ht="15.75" hidden="1" customHeight="1">
      <c r="A255" s="272"/>
      <c r="B255" s="245"/>
      <c r="C255" s="69" t="s">
        <v>205</v>
      </c>
      <c r="D255" s="69">
        <v>16</v>
      </c>
      <c r="E255" s="70"/>
      <c r="G255" s="116"/>
      <c r="H255" s="16"/>
    </row>
    <row r="256" spans="1:8" ht="15.75" hidden="1" customHeight="1">
      <c r="A256" s="272"/>
      <c r="B256" s="245"/>
      <c r="C256" s="119" t="s">
        <v>217</v>
      </c>
      <c r="D256" s="69">
        <v>18</v>
      </c>
      <c r="E256" s="70"/>
      <c r="G256" s="116"/>
      <c r="H256" s="16"/>
    </row>
    <row r="257" spans="1:8" ht="15" customHeight="1">
      <c r="A257" s="273"/>
      <c r="B257" s="246"/>
      <c r="C257" s="283" t="s">
        <v>35</v>
      </c>
      <c r="D257" s="284"/>
      <c r="E257" s="48">
        <f>IF(E252&gt;D256,0,IF(E252&gt;=D255,-4/(D256-D255)*(E252-D255)+4,IF(E252&gt;=D254,4,IF(E252&gt;=D253,4/(D254-D253)*(E252-D253),0))))</f>
        <v>4</v>
      </c>
      <c r="H257" s="16"/>
    </row>
    <row r="258" spans="1:8" ht="15" customHeight="1">
      <c r="C258" s="8"/>
      <c r="D258" s="8"/>
      <c r="H258" s="81"/>
    </row>
    <row r="259" spans="1:8" ht="43.35" customHeight="1">
      <c r="A259" s="271">
        <v>23</v>
      </c>
      <c r="B259" s="244"/>
      <c r="C259" s="294" t="s">
        <v>218</v>
      </c>
      <c r="D259" s="294"/>
      <c r="E259" s="64"/>
      <c r="H259" s="54"/>
    </row>
    <row r="260" spans="1:8" ht="32.65" customHeight="1">
      <c r="A260" s="272"/>
      <c r="B260" s="245"/>
      <c r="C260" s="281" t="s">
        <v>219</v>
      </c>
      <c r="D260" s="282"/>
      <c r="E260" s="65">
        <v>0</v>
      </c>
      <c r="F260" s="15" t="s">
        <v>95</v>
      </c>
      <c r="G260" s="66"/>
      <c r="H260" s="16"/>
    </row>
    <row r="261" spans="1:8" ht="32.1" customHeight="1">
      <c r="A261" s="272"/>
      <c r="B261" s="245"/>
      <c r="C261" s="281" t="s">
        <v>220</v>
      </c>
      <c r="D261" s="282"/>
      <c r="E261" s="65">
        <v>11</v>
      </c>
      <c r="F261" s="15" t="s">
        <v>95</v>
      </c>
      <c r="G261" s="66"/>
      <c r="H261" s="16"/>
    </row>
    <row r="262" spans="1:8" ht="15.75" customHeight="1">
      <c r="A262" s="272"/>
      <c r="B262" s="245"/>
      <c r="C262" s="281" t="s">
        <v>221</v>
      </c>
      <c r="D262" s="282"/>
      <c r="E262" s="103">
        <f>IF((E260+E261)&gt;0,E260/(E260+E261),0)</f>
        <v>0</v>
      </c>
      <c r="G262" s="92"/>
      <c r="H262" s="16"/>
    </row>
    <row r="263" spans="1:8" ht="15.75" hidden="1" customHeight="1">
      <c r="A263" s="272"/>
      <c r="B263" s="245"/>
      <c r="C263" s="69" t="s">
        <v>186</v>
      </c>
      <c r="D263" s="120">
        <v>0.1</v>
      </c>
      <c r="E263" s="70"/>
      <c r="G263" s="116"/>
      <c r="H263" s="16"/>
    </row>
    <row r="264" spans="1:8" ht="15.75" hidden="1" customHeight="1">
      <c r="A264" s="272"/>
      <c r="B264" s="245"/>
      <c r="C264" s="69" t="s">
        <v>187</v>
      </c>
      <c r="D264" s="120">
        <v>0.4</v>
      </c>
      <c r="E264" s="70"/>
      <c r="G264" s="116"/>
      <c r="H264" s="16"/>
    </row>
    <row r="265" spans="1:8" ht="15" customHeight="1">
      <c r="A265" s="273"/>
      <c r="B265" s="246"/>
      <c r="C265" s="283" t="s">
        <v>35</v>
      </c>
      <c r="D265" s="284"/>
      <c r="E265" s="48">
        <f>IF(E262&gt;D264,0,IF(E262&gt;D263,-2/(D264-D263)*(E262-D263)+4,4))</f>
        <v>4</v>
      </c>
      <c r="H265" s="16"/>
    </row>
    <row r="266" spans="1:8" ht="15" customHeight="1">
      <c r="C266" s="8"/>
      <c r="D266" s="8"/>
      <c r="H266" s="81"/>
    </row>
    <row r="267" spans="1:8" ht="43.35" hidden="1" customHeight="1">
      <c r="A267" s="274"/>
      <c r="B267" s="262"/>
      <c r="C267" s="289"/>
      <c r="D267" s="289"/>
      <c r="E267" s="110"/>
      <c r="H267" s="54"/>
    </row>
    <row r="268" spans="1:8" ht="32.65" hidden="1" customHeight="1">
      <c r="A268" s="275"/>
      <c r="B268" s="263"/>
      <c r="C268" s="290"/>
      <c r="D268" s="291"/>
      <c r="E268" s="111"/>
      <c r="G268" s="66"/>
      <c r="H268" s="16"/>
    </row>
    <row r="269" spans="1:8" ht="14.65" hidden="1" customHeight="1">
      <c r="A269" s="275"/>
      <c r="B269" s="263"/>
      <c r="C269" s="290"/>
      <c r="D269" s="291"/>
      <c r="E269" s="111"/>
      <c r="G269" s="66"/>
      <c r="H269" s="16"/>
    </row>
    <row r="270" spans="1:8" ht="15.75" hidden="1" customHeight="1">
      <c r="A270" s="275"/>
      <c r="B270" s="263"/>
      <c r="C270" s="290"/>
      <c r="D270" s="291"/>
      <c r="E270" s="112"/>
      <c r="G270" s="92"/>
      <c r="H270" s="16"/>
    </row>
    <row r="271" spans="1:8" ht="15.75" hidden="1" customHeight="1">
      <c r="A271" s="275"/>
      <c r="B271" s="263"/>
      <c r="C271" s="69"/>
      <c r="D271" s="120"/>
      <c r="E271" s="70"/>
      <c r="G271" s="116"/>
      <c r="H271" s="16"/>
    </row>
    <row r="272" spans="1:8" ht="15" hidden="1" customHeight="1">
      <c r="A272" s="276"/>
      <c r="B272" s="264"/>
      <c r="C272" s="292"/>
      <c r="D272" s="293"/>
      <c r="E272" s="113"/>
      <c r="H272" s="16"/>
    </row>
    <row r="273" spans="1:8" ht="15" hidden="1" customHeight="1">
      <c r="C273" s="8"/>
      <c r="D273" s="8"/>
      <c r="H273" s="81"/>
    </row>
    <row r="274" spans="1:8" ht="339" customHeight="1">
      <c r="A274" s="271">
        <v>24</v>
      </c>
      <c r="B274" s="244" t="s">
        <v>222</v>
      </c>
      <c r="C274" s="294" t="s">
        <v>223</v>
      </c>
      <c r="D274" s="294"/>
      <c r="E274" s="64"/>
      <c r="H274" s="54"/>
    </row>
    <row r="275" spans="1:8" ht="32.65" customHeight="1">
      <c r="A275" s="272"/>
      <c r="B275" s="245"/>
      <c r="C275" s="281" t="s">
        <v>224</v>
      </c>
      <c r="D275" s="282"/>
      <c r="E275" s="121">
        <v>5</v>
      </c>
      <c r="F275" s="15" t="s">
        <v>95</v>
      </c>
      <c r="G275" s="66"/>
      <c r="H275" s="16"/>
    </row>
    <row r="276" spans="1:8" ht="47.1" customHeight="1">
      <c r="A276" s="272"/>
      <c r="B276" s="245"/>
      <c r="C276" s="281" t="s">
        <v>98</v>
      </c>
      <c r="D276" s="282"/>
      <c r="E276" s="121">
        <v>11</v>
      </c>
      <c r="F276" s="15" t="s">
        <v>95</v>
      </c>
      <c r="G276" s="66"/>
      <c r="H276" s="16"/>
    </row>
    <row r="277" spans="1:8" ht="15.75" customHeight="1">
      <c r="A277" s="272"/>
      <c r="B277" s="245"/>
      <c r="C277" s="281" t="s">
        <v>225</v>
      </c>
      <c r="D277" s="282"/>
      <c r="E277" s="67">
        <f>IF(E276&gt;0,E275/E276,0)</f>
        <v>0.45454545454545453</v>
      </c>
      <c r="G277" s="92"/>
      <c r="H277" s="16"/>
    </row>
    <row r="278" spans="1:8" ht="15.75" hidden="1" customHeight="1">
      <c r="A278" s="272"/>
      <c r="B278" s="245"/>
      <c r="C278" s="69" t="s">
        <v>153</v>
      </c>
      <c r="D278" s="122">
        <v>0.5</v>
      </c>
      <c r="E278" s="70"/>
      <c r="G278" s="116"/>
      <c r="H278" s="16"/>
    </row>
    <row r="279" spans="1:8" ht="15" customHeight="1">
      <c r="A279" s="273"/>
      <c r="B279" s="246"/>
      <c r="C279" s="283" t="s">
        <v>35</v>
      </c>
      <c r="D279" s="284"/>
      <c r="E279" s="48">
        <f>IF(E277&gt;=D278,4,2+2/D278*E277)</f>
        <v>3.8181818181818183</v>
      </c>
      <c r="H279" s="16"/>
    </row>
    <row r="280" spans="1:8" ht="15" customHeight="1">
      <c r="C280" s="8"/>
      <c r="D280" s="8"/>
      <c r="H280" s="81"/>
    </row>
    <row r="281" spans="1:8" ht="48" customHeight="1">
      <c r="A281" s="271">
        <v>25</v>
      </c>
      <c r="B281" s="244"/>
      <c r="C281" s="294" t="s">
        <v>226</v>
      </c>
      <c r="D281" s="294"/>
      <c r="E281" s="123"/>
      <c r="H281" s="54"/>
    </row>
    <row r="282" spans="1:8" ht="31.35" customHeight="1">
      <c r="A282" s="272"/>
      <c r="B282" s="245"/>
      <c r="C282" s="281" t="s">
        <v>227</v>
      </c>
      <c r="D282" s="282"/>
      <c r="E282" s="65">
        <v>0</v>
      </c>
      <c r="F282" s="15" t="s">
        <v>95</v>
      </c>
      <c r="G282" s="66"/>
      <c r="H282" s="16"/>
    </row>
    <row r="283" spans="1:8" ht="32.1" customHeight="1">
      <c r="A283" s="272"/>
      <c r="B283" s="245"/>
      <c r="C283" s="281" t="s">
        <v>228</v>
      </c>
      <c r="D283" s="282"/>
      <c r="E283" s="65">
        <v>1</v>
      </c>
      <c r="F283" s="15" t="s">
        <v>95</v>
      </c>
      <c r="G283" s="66"/>
      <c r="H283" s="16"/>
    </row>
    <row r="284" spans="1:8">
      <c r="A284" s="272"/>
      <c r="B284" s="245"/>
      <c r="C284" s="281" t="s">
        <v>229</v>
      </c>
      <c r="D284" s="282"/>
      <c r="E284" s="65">
        <v>22</v>
      </c>
      <c r="F284" s="15" t="s">
        <v>95</v>
      </c>
      <c r="G284" s="66"/>
      <c r="H284" s="16"/>
    </row>
    <row r="285" spans="1:8" ht="47.65" customHeight="1">
      <c r="A285" s="272"/>
      <c r="B285" s="245"/>
      <c r="C285" s="281" t="s">
        <v>98</v>
      </c>
      <c r="D285" s="282"/>
      <c r="E285" s="65">
        <v>11</v>
      </c>
      <c r="F285" s="15" t="s">
        <v>95</v>
      </c>
      <c r="G285" s="66"/>
      <c r="H285" s="16"/>
    </row>
    <row r="286" spans="1:8">
      <c r="A286" s="272"/>
      <c r="B286" s="245"/>
      <c r="C286" s="281" t="s">
        <v>230</v>
      </c>
      <c r="D286" s="282"/>
      <c r="E286" s="67">
        <f>IF(E285&gt;0,E282/3/E285,0)</f>
        <v>0</v>
      </c>
      <c r="G286" s="68"/>
      <c r="H286" s="16"/>
    </row>
    <row r="287" spans="1:8" ht="15.75" customHeight="1">
      <c r="A287" s="272"/>
      <c r="B287" s="245"/>
      <c r="C287" s="281" t="s">
        <v>231</v>
      </c>
      <c r="D287" s="282"/>
      <c r="E287" s="67">
        <f>IF(E285&gt;0,E283/3/E285,0)</f>
        <v>3.03030303030303E-2</v>
      </c>
      <c r="G287" s="68"/>
      <c r="H287" s="16"/>
    </row>
    <row r="288" spans="1:8" ht="15.75" customHeight="1">
      <c r="A288" s="272"/>
      <c r="B288" s="245"/>
      <c r="C288" s="281" t="s">
        <v>232</v>
      </c>
      <c r="D288" s="282"/>
      <c r="E288" s="67">
        <f>IF(E285&gt;0,E284/3/E285,0)</f>
        <v>0.66666666666666663</v>
      </c>
      <c r="G288" s="68"/>
      <c r="H288" s="16"/>
    </row>
    <row r="289" spans="1:8" ht="15.75" hidden="1" customHeight="1">
      <c r="A289" s="272"/>
      <c r="B289" s="245"/>
      <c r="C289" s="69" t="s">
        <v>100</v>
      </c>
      <c r="D289" s="124">
        <v>0.05</v>
      </c>
      <c r="E289" s="70"/>
      <c r="G289" s="68"/>
      <c r="H289" s="16"/>
    </row>
    <row r="290" spans="1:8" ht="15.75" hidden="1" customHeight="1">
      <c r="A290" s="272"/>
      <c r="B290" s="245"/>
      <c r="C290" s="69" t="s">
        <v>101</v>
      </c>
      <c r="D290" s="124">
        <v>0.3</v>
      </c>
      <c r="E290" s="70"/>
      <c r="G290" s="68"/>
      <c r="H290" s="16"/>
    </row>
    <row r="291" spans="1:8" ht="15.75" hidden="1" customHeight="1">
      <c r="A291" s="272"/>
      <c r="B291" s="245"/>
      <c r="C291" s="69" t="s">
        <v>102</v>
      </c>
      <c r="D291" s="124">
        <v>1</v>
      </c>
      <c r="E291" s="70"/>
      <c r="G291" s="68"/>
      <c r="H291" s="16"/>
    </row>
    <row r="292" spans="1:8" ht="15.75" hidden="1" customHeight="1">
      <c r="A292" s="272"/>
      <c r="B292" s="245"/>
      <c r="C292" s="75"/>
      <c r="D292" s="76" t="s">
        <v>233</v>
      </c>
      <c r="E292" s="77" t="str">
        <f>IF(E286&gt;=D289,"YES","NO")</f>
        <v>NO</v>
      </c>
      <c r="G292" s="68"/>
      <c r="H292" s="16"/>
    </row>
    <row r="293" spans="1:8" ht="15.75" hidden="1" customHeight="1">
      <c r="A293" s="272"/>
      <c r="B293" s="245"/>
      <c r="C293" s="75"/>
      <c r="D293" s="76" t="s">
        <v>234</v>
      </c>
      <c r="E293" s="77" t="str">
        <f>IF(AND(E286&lt;D289,E287&gt;=D290),"YES","NO")</f>
        <v>NO</v>
      </c>
      <c r="G293" s="68"/>
      <c r="H293" s="16"/>
    </row>
    <row r="294" spans="1:8" ht="15.75" hidden="1" customHeight="1">
      <c r="A294" s="272"/>
      <c r="B294" s="245"/>
      <c r="C294" s="75"/>
      <c r="D294" s="76" t="s">
        <v>235</v>
      </c>
      <c r="E294" s="77" t="str">
        <f>IF(OR(AND(E286&gt;0,E286&lt;D289,E287=0),AND(E287&gt;0,E287&lt;D290,E286=0),AND(E286&gt;0,E286&lt;D289,E287&gt;0,E287&lt;D290)),"YES","NO")</f>
        <v>YES</v>
      </c>
      <c r="G294" s="68"/>
      <c r="H294" s="16"/>
    </row>
    <row r="295" spans="1:8" ht="15.75" hidden="1" customHeight="1">
      <c r="A295" s="272"/>
      <c r="B295" s="245"/>
      <c r="C295" s="75"/>
      <c r="D295" s="76" t="s">
        <v>236</v>
      </c>
      <c r="E295" s="77" t="str">
        <f>IF(AND(E286=0,E287=0,E288&gt;=D291),"YES","NO")</f>
        <v>NO</v>
      </c>
      <c r="G295" s="68"/>
      <c r="H295" s="16"/>
    </row>
    <row r="296" spans="1:8" ht="15.75" hidden="1" customHeight="1">
      <c r="A296" s="272"/>
      <c r="B296" s="245"/>
      <c r="C296" s="75"/>
      <c r="D296" s="76" t="s">
        <v>237</v>
      </c>
      <c r="E296" s="77" t="str">
        <f>IF(AND(E286=0,E287=0,E288&lt;D291),"YES","NO")</f>
        <v>NO</v>
      </c>
      <c r="G296" s="68"/>
      <c r="H296" s="16"/>
    </row>
    <row r="297" spans="1:8" ht="15" customHeight="1">
      <c r="A297" s="273"/>
      <c r="B297" s="246"/>
      <c r="C297" s="283" t="s">
        <v>35</v>
      </c>
      <c r="D297" s="284"/>
      <c r="E297" s="48">
        <f>IF(E292="YES",4,IF(E293="YES",3+E286/D289,IF(E294="YES",2+2*E286/D289+E287/D290-(E286*E287)/(D289*D290),IF(E295="YES",2,2*E288/D291))))</f>
        <v>2.1010101010101012</v>
      </c>
      <c r="G297" s="71"/>
      <c r="H297" s="16"/>
    </row>
    <row r="298" spans="1:8" ht="15" customHeight="1">
      <c r="C298" s="8"/>
      <c r="D298" s="8"/>
      <c r="H298" s="81"/>
    </row>
    <row r="299" spans="1:8" ht="48" customHeight="1">
      <c r="A299" s="271">
        <v>26</v>
      </c>
      <c r="B299" s="244"/>
      <c r="C299" s="294" t="s">
        <v>238</v>
      </c>
      <c r="D299" s="294"/>
      <c r="E299" s="123"/>
      <c r="H299" s="54"/>
    </row>
    <row r="300" spans="1:8" ht="31.35" customHeight="1">
      <c r="A300" s="272"/>
      <c r="B300" s="245"/>
      <c r="C300" s="281" t="s">
        <v>239</v>
      </c>
      <c r="D300" s="282"/>
      <c r="E300" s="65">
        <v>0</v>
      </c>
      <c r="F300" s="15" t="s">
        <v>95</v>
      </c>
      <c r="G300" s="66"/>
      <c r="H300" s="16"/>
    </row>
    <row r="301" spans="1:8" ht="32.1" customHeight="1">
      <c r="A301" s="272"/>
      <c r="B301" s="245"/>
      <c r="C301" s="281" t="s">
        <v>240</v>
      </c>
      <c r="D301" s="282"/>
      <c r="E301" s="65">
        <v>0</v>
      </c>
      <c r="F301" s="15" t="s">
        <v>95</v>
      </c>
      <c r="G301" s="66"/>
      <c r="H301" s="16"/>
    </row>
    <row r="302" spans="1:8">
      <c r="A302" s="272"/>
      <c r="B302" s="245"/>
      <c r="C302" s="281" t="s">
        <v>241</v>
      </c>
      <c r="D302" s="282"/>
      <c r="E302" s="65">
        <v>9</v>
      </c>
      <c r="F302" s="15" t="s">
        <v>95</v>
      </c>
      <c r="G302" s="66"/>
      <c r="H302" s="16"/>
    </row>
    <row r="303" spans="1:8" ht="47.65" customHeight="1">
      <c r="A303" s="272"/>
      <c r="B303" s="245"/>
      <c r="C303" s="281" t="s">
        <v>98</v>
      </c>
      <c r="D303" s="282"/>
      <c r="E303" s="65">
        <v>11</v>
      </c>
      <c r="F303" s="15" t="s">
        <v>95</v>
      </c>
      <c r="G303" s="66"/>
      <c r="H303" s="16"/>
    </row>
    <row r="304" spans="1:8">
      <c r="A304" s="272"/>
      <c r="B304" s="245"/>
      <c r="C304" s="281" t="s">
        <v>230</v>
      </c>
      <c r="D304" s="282"/>
      <c r="E304" s="67">
        <f>IF(E303&gt;0,E300/3/E303,0)</f>
        <v>0</v>
      </c>
      <c r="G304" s="68"/>
      <c r="H304" s="16"/>
    </row>
    <row r="305" spans="1:8" ht="15.75" customHeight="1">
      <c r="A305" s="272"/>
      <c r="B305" s="245"/>
      <c r="C305" s="281" t="s">
        <v>231</v>
      </c>
      <c r="D305" s="282"/>
      <c r="E305" s="67">
        <f>IF(E303&gt;0,E301/3/E303,0)</f>
        <v>0</v>
      </c>
      <c r="G305" s="68"/>
      <c r="H305" s="16"/>
    </row>
    <row r="306" spans="1:8" ht="15.75" customHeight="1">
      <c r="A306" s="272"/>
      <c r="B306" s="245"/>
      <c r="C306" s="281" t="s">
        <v>232</v>
      </c>
      <c r="D306" s="282"/>
      <c r="E306" s="67">
        <f>IF(E303&gt;0,E302/3/E303,0)</f>
        <v>0.27272727272727271</v>
      </c>
      <c r="G306" s="68"/>
      <c r="H306" s="16"/>
    </row>
    <row r="307" spans="1:8" ht="15.75" hidden="1" customHeight="1">
      <c r="A307" s="272"/>
      <c r="B307" s="245"/>
      <c r="C307" s="69" t="s">
        <v>100</v>
      </c>
      <c r="D307" s="124">
        <v>0.05</v>
      </c>
      <c r="E307" s="70"/>
      <c r="G307" s="68"/>
      <c r="H307" s="16"/>
    </row>
    <row r="308" spans="1:8" ht="15.75" hidden="1" customHeight="1">
      <c r="A308" s="272"/>
      <c r="B308" s="245"/>
      <c r="C308" s="69" t="s">
        <v>101</v>
      </c>
      <c r="D308" s="124">
        <v>0.3</v>
      </c>
      <c r="E308" s="70"/>
      <c r="G308" s="68"/>
      <c r="H308" s="16"/>
    </row>
    <row r="309" spans="1:8" ht="15.75" hidden="1" customHeight="1">
      <c r="A309" s="272"/>
      <c r="B309" s="245"/>
      <c r="C309" s="69" t="s">
        <v>102</v>
      </c>
      <c r="D309" s="124">
        <v>1</v>
      </c>
      <c r="E309" s="70"/>
      <c r="G309" s="68"/>
      <c r="H309" s="16"/>
    </row>
    <row r="310" spans="1:8" ht="15.75" hidden="1" customHeight="1">
      <c r="A310" s="272"/>
      <c r="B310" s="245"/>
      <c r="C310" s="75"/>
      <c r="D310" s="76" t="s">
        <v>233</v>
      </c>
      <c r="E310" s="77" t="str">
        <f>IF(E304&gt;=D307,"YES","NO")</f>
        <v>NO</v>
      </c>
      <c r="G310" s="68"/>
      <c r="H310" s="16"/>
    </row>
    <row r="311" spans="1:8" ht="15.75" hidden="1" customHeight="1">
      <c r="A311" s="272"/>
      <c r="B311" s="245"/>
      <c r="C311" s="75"/>
      <c r="D311" s="76" t="s">
        <v>234</v>
      </c>
      <c r="E311" s="77" t="str">
        <f>IF(AND(E304&lt;D307,E305&gt;=D308),"YES","NO")</f>
        <v>NO</v>
      </c>
      <c r="G311" s="68"/>
      <c r="H311" s="16"/>
    </row>
    <row r="312" spans="1:8" ht="15.75" hidden="1" customHeight="1">
      <c r="A312" s="272"/>
      <c r="B312" s="245"/>
      <c r="C312" s="75"/>
      <c r="D312" s="76" t="s">
        <v>235</v>
      </c>
      <c r="E312" s="77" t="str">
        <f>IF(OR(AND(E304&gt;0,E304&lt;D307,E305=0),AND(E305&gt;0,E305&lt;D308,E304=0),AND(E304&gt;0,E304&lt;D307,E305&gt;0,E305&lt;D308)),"YES","NO")</f>
        <v>NO</v>
      </c>
      <c r="G312" s="68"/>
      <c r="H312" s="16"/>
    </row>
    <row r="313" spans="1:8" ht="15.75" hidden="1" customHeight="1">
      <c r="A313" s="272"/>
      <c r="B313" s="245"/>
      <c r="C313" s="75"/>
      <c r="D313" s="76" t="s">
        <v>236</v>
      </c>
      <c r="E313" s="77" t="str">
        <f>IF(AND(E304=0,E305=0,E306&gt;=D309),"YES","NO")</f>
        <v>NO</v>
      </c>
      <c r="G313" s="68"/>
      <c r="H313" s="16"/>
    </row>
    <row r="314" spans="1:8" ht="15.75" hidden="1" customHeight="1">
      <c r="A314" s="272"/>
      <c r="B314" s="245"/>
      <c r="C314" s="75"/>
      <c r="D314" s="76" t="s">
        <v>237</v>
      </c>
      <c r="E314" s="77" t="str">
        <f>IF(AND(E304=0,E305=0,E306&lt;D309),"YES","NO")</f>
        <v>YES</v>
      </c>
      <c r="G314" s="68"/>
      <c r="H314" s="16"/>
    </row>
    <row r="315" spans="1:8" ht="15" customHeight="1">
      <c r="A315" s="273"/>
      <c r="B315" s="246"/>
      <c r="C315" s="283" t="s">
        <v>35</v>
      </c>
      <c r="D315" s="284"/>
      <c r="E315" s="48">
        <f>IF(E310="YES",4,IF(E311="YES",3+E304/D307,IF(E312="YES",2+2*E304/D307+E305/D308-(E304*E305)/(D307*D308),IF(E313="YES",2,2*E306/D309))))</f>
        <v>0.54545454545454541</v>
      </c>
      <c r="G315" s="71"/>
      <c r="H315" s="16"/>
    </row>
    <row r="316" spans="1:8" ht="15" customHeight="1">
      <c r="C316" s="8"/>
      <c r="D316" s="8"/>
      <c r="H316" s="81"/>
    </row>
    <row r="317" spans="1:8" ht="48" customHeight="1">
      <c r="A317" s="271">
        <v>27</v>
      </c>
      <c r="B317" s="244"/>
      <c r="C317" s="294" t="s">
        <v>242</v>
      </c>
      <c r="D317" s="294"/>
      <c r="E317" s="123"/>
      <c r="H317" s="54"/>
    </row>
    <row r="318" spans="1:8">
      <c r="A318" s="272"/>
      <c r="B318" s="245"/>
      <c r="C318" s="281" t="s">
        <v>243</v>
      </c>
      <c r="D318" s="282"/>
      <c r="E318" s="65">
        <v>3</v>
      </c>
      <c r="F318" s="15" t="s">
        <v>95</v>
      </c>
      <c r="G318" s="66"/>
      <c r="H318" s="16"/>
    </row>
    <row r="319" spans="1:8">
      <c r="A319" s="272"/>
      <c r="B319" s="245"/>
      <c r="C319" s="281" t="s">
        <v>244</v>
      </c>
      <c r="D319" s="282"/>
      <c r="E319" s="65">
        <v>6</v>
      </c>
      <c r="F319" s="15" t="s">
        <v>95</v>
      </c>
      <c r="G319" s="66"/>
      <c r="H319" s="16"/>
    </row>
    <row r="320" spans="1:8">
      <c r="A320" s="272"/>
      <c r="B320" s="245"/>
      <c r="C320" s="281" t="s">
        <v>245</v>
      </c>
      <c r="D320" s="282"/>
      <c r="E320" s="65">
        <v>0</v>
      </c>
      <c r="F320" s="15" t="s">
        <v>95</v>
      </c>
      <c r="G320" s="66"/>
      <c r="H320" s="16"/>
    </row>
    <row r="321" spans="1:8">
      <c r="A321" s="272"/>
      <c r="B321" s="245"/>
      <c r="C321" s="281" t="s">
        <v>246</v>
      </c>
      <c r="D321" s="282"/>
      <c r="E321" s="65">
        <v>0</v>
      </c>
      <c r="F321" s="15" t="s">
        <v>95</v>
      </c>
      <c r="G321" s="66"/>
      <c r="H321" s="16"/>
    </row>
    <row r="322" spans="1:8">
      <c r="A322" s="272"/>
      <c r="B322" s="245"/>
      <c r="C322" s="281" t="s">
        <v>247</v>
      </c>
      <c r="D322" s="282"/>
      <c r="E322" s="65">
        <v>0</v>
      </c>
      <c r="F322" s="15" t="s">
        <v>95</v>
      </c>
      <c r="G322" s="66"/>
      <c r="H322" s="16"/>
    </row>
    <row r="323" spans="1:8">
      <c r="A323" s="272"/>
      <c r="B323" s="245"/>
      <c r="C323" s="281" t="s">
        <v>248</v>
      </c>
      <c r="D323" s="282"/>
      <c r="E323" s="65">
        <v>1</v>
      </c>
      <c r="F323" s="15" t="s">
        <v>95</v>
      </c>
      <c r="G323" s="66"/>
      <c r="H323" s="16"/>
    </row>
    <row r="324" spans="1:8">
      <c r="A324" s="272"/>
      <c r="B324" s="245"/>
      <c r="C324" s="281" t="s">
        <v>249</v>
      </c>
      <c r="D324" s="282"/>
      <c r="E324" s="65">
        <v>7</v>
      </c>
      <c r="F324" s="15" t="s">
        <v>95</v>
      </c>
      <c r="G324" s="66"/>
      <c r="H324" s="16"/>
    </row>
    <row r="325" spans="1:8" ht="14.65" customHeight="1">
      <c r="A325" s="272"/>
      <c r="B325" s="245"/>
      <c r="C325" s="281" t="s">
        <v>250</v>
      </c>
      <c r="D325" s="282"/>
      <c r="E325" s="65">
        <v>0</v>
      </c>
      <c r="F325" s="15" t="s">
        <v>95</v>
      </c>
      <c r="G325" s="66"/>
      <c r="H325" s="16"/>
    </row>
    <row r="326" spans="1:8" ht="14.65" customHeight="1">
      <c r="A326" s="272"/>
      <c r="B326" s="245"/>
      <c r="C326" s="281" t="s">
        <v>251</v>
      </c>
      <c r="D326" s="282"/>
      <c r="E326" s="65">
        <v>0</v>
      </c>
      <c r="F326" s="15" t="s">
        <v>95</v>
      </c>
      <c r="G326" s="66"/>
      <c r="H326" s="16"/>
    </row>
    <row r="327" spans="1:8" ht="14.65" customHeight="1">
      <c r="A327" s="272"/>
      <c r="B327" s="245"/>
      <c r="C327" s="281" t="s">
        <v>252</v>
      </c>
      <c r="D327" s="282"/>
      <c r="E327" s="65">
        <v>0</v>
      </c>
      <c r="F327" s="15" t="s">
        <v>95</v>
      </c>
      <c r="G327" s="66"/>
      <c r="H327" s="16"/>
    </row>
    <row r="328" spans="1:8" ht="47.65" customHeight="1">
      <c r="A328" s="272"/>
      <c r="B328" s="245"/>
      <c r="C328" s="281" t="s">
        <v>98</v>
      </c>
      <c r="D328" s="282"/>
      <c r="E328" s="65">
        <v>11</v>
      </c>
      <c r="F328" s="15" t="s">
        <v>95</v>
      </c>
      <c r="G328" s="66"/>
      <c r="H328" s="16"/>
    </row>
    <row r="329" spans="1:8">
      <c r="A329" s="272"/>
      <c r="B329" s="245"/>
      <c r="C329" s="281" t="s">
        <v>253</v>
      </c>
      <c r="D329" s="282"/>
      <c r="E329" s="67">
        <f>IF(E328&gt;0,(E321+E324+E327)/E328,0)</f>
        <v>0.63636363636363635</v>
      </c>
      <c r="G329" s="68"/>
      <c r="H329" s="16"/>
    </row>
    <row r="330" spans="1:8" ht="15.75" customHeight="1">
      <c r="A330" s="272"/>
      <c r="B330" s="245"/>
      <c r="C330" s="281" t="s">
        <v>254</v>
      </c>
      <c r="D330" s="282"/>
      <c r="E330" s="67">
        <f>IF(E328&gt;0,(E319+E320+E323+E326)/E328,0)</f>
        <v>0.63636363636363635</v>
      </c>
      <c r="G330" s="68"/>
      <c r="H330" s="16"/>
    </row>
    <row r="331" spans="1:8" ht="15.75" customHeight="1">
      <c r="A331" s="272"/>
      <c r="B331" s="245"/>
      <c r="C331" s="281" t="s">
        <v>255</v>
      </c>
      <c r="D331" s="282"/>
      <c r="E331" s="67">
        <f>IF(E328&gt;0,(E322+E325+E318)/E328,0)</f>
        <v>0.27272727272727271</v>
      </c>
      <c r="G331" s="68"/>
      <c r="H331" s="16"/>
    </row>
    <row r="332" spans="1:8" ht="15.75" hidden="1" customHeight="1">
      <c r="A332" s="272"/>
      <c r="B332" s="245"/>
      <c r="C332" s="69" t="s">
        <v>100</v>
      </c>
      <c r="D332" s="124">
        <v>0.1</v>
      </c>
      <c r="E332" s="70"/>
      <c r="G332" s="68"/>
      <c r="H332" s="16"/>
    </row>
    <row r="333" spans="1:8" ht="15.75" hidden="1" customHeight="1">
      <c r="A333" s="272"/>
      <c r="B333" s="245"/>
      <c r="C333" s="69" t="s">
        <v>101</v>
      </c>
      <c r="D333" s="124">
        <v>1</v>
      </c>
      <c r="E333" s="70"/>
      <c r="G333" s="68"/>
      <c r="H333" s="16"/>
    </row>
    <row r="334" spans="1:8" ht="15.75" hidden="1" customHeight="1">
      <c r="A334" s="272"/>
      <c r="B334" s="245"/>
      <c r="C334" s="69" t="s">
        <v>102</v>
      </c>
      <c r="D334" s="124">
        <v>2</v>
      </c>
      <c r="E334" s="70"/>
      <c r="G334" s="68"/>
      <c r="H334" s="16"/>
    </row>
    <row r="335" spans="1:8" ht="15.75" hidden="1" customHeight="1">
      <c r="A335" s="272"/>
      <c r="B335" s="245"/>
      <c r="C335" s="75"/>
      <c r="D335" s="76" t="s">
        <v>233</v>
      </c>
      <c r="E335" s="77" t="str">
        <f>IF(E329&gt;=D332,"YES","NO")</f>
        <v>YES</v>
      </c>
      <c r="G335" s="68"/>
      <c r="H335" s="16"/>
    </row>
    <row r="336" spans="1:8" ht="15.75" hidden="1" customHeight="1">
      <c r="A336" s="272"/>
      <c r="B336" s="245"/>
      <c r="C336" s="75"/>
      <c r="D336" s="76" t="s">
        <v>234</v>
      </c>
      <c r="E336" s="77" t="str">
        <f>IF(AND(E329&lt;D332,E330&gt;=D333),"YES","NO")</f>
        <v>NO</v>
      </c>
      <c r="G336" s="68"/>
      <c r="H336" s="16"/>
    </row>
    <row r="337" spans="1:8" ht="15.75" hidden="1" customHeight="1">
      <c r="A337" s="272"/>
      <c r="B337" s="245"/>
      <c r="C337" s="75"/>
      <c r="D337" s="76" t="s">
        <v>235</v>
      </c>
      <c r="E337" s="77" t="str">
        <f>IF(OR(AND(E329&gt;0,E329&lt;D332,E330=0),AND(E330&gt;0,E330&lt;D333,E329=0),AND(E329&gt;0,E329&lt;D332,E330&gt;0,E330&lt;D333)),"YES","NO")</f>
        <v>NO</v>
      </c>
      <c r="G337" s="68"/>
      <c r="H337" s="16"/>
    </row>
    <row r="338" spans="1:8" ht="15.75" hidden="1" customHeight="1">
      <c r="A338" s="272"/>
      <c r="B338" s="245"/>
      <c r="C338" s="75"/>
      <c r="D338" s="76" t="s">
        <v>236</v>
      </c>
      <c r="E338" s="77" t="str">
        <f>IF(AND(E329=0,E330=0,E331&gt;=D334),"YES","NO")</f>
        <v>NO</v>
      </c>
      <c r="G338" s="68"/>
      <c r="H338" s="16"/>
    </row>
    <row r="339" spans="1:8" ht="15.75" hidden="1" customHeight="1">
      <c r="A339" s="272"/>
      <c r="B339" s="245"/>
      <c r="C339" s="75"/>
      <c r="D339" s="76" t="s">
        <v>237</v>
      </c>
      <c r="E339" s="77" t="str">
        <f>IF(AND(E329=0,E330=0,E331&lt;D334),"YES","NO")</f>
        <v>NO</v>
      </c>
      <c r="G339" s="68"/>
      <c r="H339" s="16"/>
    </row>
    <row r="340" spans="1:8" ht="15" customHeight="1">
      <c r="A340" s="273"/>
      <c r="B340" s="246"/>
      <c r="C340" s="283" t="s">
        <v>35</v>
      </c>
      <c r="D340" s="284"/>
      <c r="E340" s="48">
        <f>IF(E335="YES",4,IF(E336="YES",3+E329/D332,IF(E337="YES",2+2*E329/D332+E330/D333-(E329*E330)/(D332*D333),IF(E338="YES",2,2*E331/D334))))</f>
        <v>4</v>
      </c>
      <c r="G340" s="71"/>
      <c r="H340" s="16"/>
    </row>
    <row r="341" spans="1:8" ht="15" customHeight="1">
      <c r="C341" s="8"/>
      <c r="D341" s="8"/>
      <c r="H341" s="81"/>
    </row>
    <row r="342" spans="1:8" ht="36" customHeight="1">
      <c r="A342" s="271">
        <v>28</v>
      </c>
      <c r="B342" s="244"/>
      <c r="C342" s="294" t="s">
        <v>256</v>
      </c>
      <c r="D342" s="294"/>
      <c r="E342" s="64"/>
      <c r="H342" s="54"/>
    </row>
    <row r="343" spans="1:8" ht="14.65" customHeight="1">
      <c r="A343" s="272"/>
      <c r="B343" s="245"/>
      <c r="C343" s="281" t="s">
        <v>257</v>
      </c>
      <c r="D343" s="282"/>
      <c r="E343" s="65">
        <v>3</v>
      </c>
      <c r="F343" s="15" t="s">
        <v>95</v>
      </c>
      <c r="G343" s="66"/>
      <c r="H343" s="16"/>
    </row>
    <row r="344" spans="1:8" ht="48" customHeight="1">
      <c r="A344" s="272"/>
      <c r="B344" s="245"/>
      <c r="C344" s="281" t="s">
        <v>98</v>
      </c>
      <c r="D344" s="282"/>
      <c r="E344" s="65">
        <v>11</v>
      </c>
      <c r="F344" s="15" t="s">
        <v>95</v>
      </c>
      <c r="G344" s="66"/>
      <c r="H344" s="16"/>
    </row>
    <row r="345" spans="1:8" ht="14.65" customHeight="1">
      <c r="A345" s="272"/>
      <c r="B345" s="245"/>
      <c r="C345" s="281" t="s">
        <v>258</v>
      </c>
      <c r="D345" s="282"/>
      <c r="E345" s="67">
        <f>IF(E344&gt;0,E343/E344,0)</f>
        <v>0.27272727272727271</v>
      </c>
      <c r="G345" s="66"/>
      <c r="H345" s="16"/>
    </row>
    <row r="346" spans="1:8" ht="14.65" hidden="1" customHeight="1">
      <c r="A346" s="272"/>
      <c r="B346" s="245"/>
      <c r="C346" s="75" t="s">
        <v>153</v>
      </c>
      <c r="D346" s="76">
        <v>0.5</v>
      </c>
      <c r="E346" s="125"/>
      <c r="G346" s="66"/>
      <c r="H346" s="16"/>
    </row>
    <row r="347" spans="1:8" ht="15" customHeight="1">
      <c r="A347" s="273"/>
      <c r="B347" s="246"/>
      <c r="C347" s="283" t="s">
        <v>35</v>
      </c>
      <c r="D347" s="284"/>
      <c r="E347" s="48">
        <f>IF(E345&gt;=D346,4,2+2/D346*E345)</f>
        <v>3.0909090909090908</v>
      </c>
      <c r="G347" s="71"/>
      <c r="H347" s="16"/>
    </row>
    <row r="348" spans="1:8" ht="15" customHeight="1">
      <c r="C348" s="8"/>
      <c r="D348" s="8"/>
      <c r="H348" s="81"/>
    </row>
    <row r="349" spans="1:8" ht="48.6" hidden="1" customHeight="1">
      <c r="A349" s="274"/>
      <c r="B349" s="262"/>
      <c r="C349" s="289"/>
      <c r="D349" s="289"/>
      <c r="E349" s="110"/>
      <c r="H349" s="54"/>
    </row>
    <row r="350" spans="1:8" ht="34.35" hidden="1" customHeight="1">
      <c r="A350" s="275"/>
      <c r="B350" s="263"/>
      <c r="C350" s="290"/>
      <c r="D350" s="291"/>
      <c r="E350" s="111"/>
      <c r="G350" s="66"/>
      <c r="H350" s="16"/>
    </row>
    <row r="351" spans="1:8" ht="48" hidden="1" customHeight="1">
      <c r="A351" s="275"/>
      <c r="B351" s="263"/>
      <c r="C351" s="290"/>
      <c r="D351" s="291"/>
      <c r="E351" s="111"/>
      <c r="G351" s="66"/>
      <c r="H351" s="16"/>
    </row>
    <row r="352" spans="1:8" ht="14.65" hidden="1" customHeight="1">
      <c r="A352" s="275"/>
      <c r="B352" s="263"/>
      <c r="C352" s="290"/>
      <c r="D352" s="291"/>
      <c r="E352" s="126"/>
      <c r="G352" s="66"/>
      <c r="H352" s="16"/>
    </row>
    <row r="353" spans="1:8" ht="15.75" hidden="1" customHeight="1">
      <c r="A353" s="275"/>
      <c r="B353" s="263"/>
      <c r="C353" s="69"/>
      <c r="D353" s="124"/>
      <c r="E353" s="70"/>
      <c r="G353" s="68"/>
      <c r="H353" s="16"/>
    </row>
    <row r="354" spans="1:8" ht="15" hidden="1" customHeight="1">
      <c r="A354" s="276"/>
      <c r="B354" s="264"/>
      <c r="C354" s="292"/>
      <c r="D354" s="293"/>
      <c r="E354" s="113"/>
      <c r="G354" s="71"/>
      <c r="H354" s="16"/>
    </row>
    <row r="355" spans="1:8" ht="15" hidden="1" customHeight="1">
      <c r="C355" s="8"/>
      <c r="D355" s="8"/>
      <c r="H355" s="81"/>
    </row>
    <row r="356" spans="1:8" ht="51.75" customHeight="1">
      <c r="A356" s="271">
        <v>29</v>
      </c>
      <c r="B356" s="244"/>
      <c r="C356" s="294" t="s">
        <v>259</v>
      </c>
      <c r="D356" s="294"/>
      <c r="E356" s="64"/>
      <c r="H356" s="54"/>
    </row>
    <row r="357" spans="1:8" ht="29.25" customHeight="1">
      <c r="A357" s="272"/>
      <c r="B357" s="245"/>
      <c r="C357" s="281" t="s">
        <v>260</v>
      </c>
      <c r="D357" s="282"/>
      <c r="E357" s="65">
        <v>0</v>
      </c>
      <c r="F357" s="15" t="s">
        <v>95</v>
      </c>
      <c r="G357" s="66"/>
      <c r="H357" s="16"/>
    </row>
    <row r="358" spans="1:8" ht="44.25" customHeight="1">
      <c r="A358" s="272"/>
      <c r="B358" s="245"/>
      <c r="C358" s="281" t="s">
        <v>261</v>
      </c>
      <c r="D358" s="282"/>
      <c r="E358" s="65">
        <v>0</v>
      </c>
      <c r="F358" s="15" t="s">
        <v>95</v>
      </c>
      <c r="G358" s="66"/>
      <c r="H358" s="16"/>
    </row>
    <row r="359" spans="1:8" ht="43.5" customHeight="1">
      <c r="A359" s="272"/>
      <c r="B359" s="245"/>
      <c r="C359" s="281" t="s">
        <v>262</v>
      </c>
      <c r="D359" s="282"/>
      <c r="E359" s="65">
        <v>0</v>
      </c>
      <c r="F359" s="15" t="s">
        <v>95</v>
      </c>
      <c r="G359" s="66"/>
      <c r="H359" s="16"/>
    </row>
    <row r="360" spans="1:8" ht="29.25" customHeight="1">
      <c r="A360" s="272"/>
      <c r="B360" s="245"/>
      <c r="C360" s="281" t="s">
        <v>263</v>
      </c>
      <c r="D360" s="282"/>
      <c r="E360" s="65">
        <v>0</v>
      </c>
      <c r="F360" s="15" t="s">
        <v>95</v>
      </c>
      <c r="G360" s="66"/>
      <c r="H360" s="16"/>
    </row>
    <row r="361" spans="1:8" ht="48" customHeight="1">
      <c r="A361" s="272"/>
      <c r="B361" s="245"/>
      <c r="C361" s="281" t="s">
        <v>98</v>
      </c>
      <c r="D361" s="282"/>
      <c r="E361" s="65">
        <v>11</v>
      </c>
      <c r="F361" s="15" t="s">
        <v>95</v>
      </c>
      <c r="G361" s="66"/>
      <c r="H361" s="16"/>
    </row>
    <row r="362" spans="1:8">
      <c r="A362" s="272"/>
      <c r="B362" s="245"/>
      <c r="C362" s="281" t="s">
        <v>264</v>
      </c>
      <c r="D362" s="282"/>
      <c r="E362" s="67">
        <f>IF(E361&gt;0,(2*(E357+E358+E359)+E360)/E361,0)</f>
        <v>0</v>
      </c>
      <c r="G362" s="66"/>
      <c r="H362" s="16"/>
    </row>
    <row r="363" spans="1:8" ht="15.75" hidden="1" customHeight="1">
      <c r="A363" s="272"/>
      <c r="B363" s="245"/>
      <c r="C363" s="69" t="s">
        <v>101</v>
      </c>
      <c r="D363" s="124">
        <v>1</v>
      </c>
      <c r="E363" s="70"/>
      <c r="G363" s="68"/>
      <c r="H363" s="16"/>
    </row>
    <row r="364" spans="1:8" ht="15" customHeight="1">
      <c r="A364" s="273"/>
      <c r="B364" s="246"/>
      <c r="C364" s="283" t="s">
        <v>35</v>
      </c>
      <c r="D364" s="284"/>
      <c r="E364" s="48">
        <f>IF(E362&gt;=D363,4,2+2/D363*E362)</f>
        <v>2</v>
      </c>
      <c r="G364" s="71"/>
      <c r="H364" s="16"/>
    </row>
    <row r="365" spans="1:8" ht="15" customHeight="1">
      <c r="C365" s="8"/>
      <c r="D365" s="8"/>
      <c r="H365" s="81"/>
    </row>
    <row r="366" spans="1:8" ht="50.25" customHeight="1">
      <c r="A366" s="271">
        <v>30</v>
      </c>
      <c r="B366" s="244" t="s">
        <v>265</v>
      </c>
      <c r="C366" s="277" t="s">
        <v>266</v>
      </c>
      <c r="D366" s="278"/>
      <c r="E366" s="42">
        <v>3</v>
      </c>
      <c r="F366" s="15" t="str">
        <f>IF(OR(ISBLANK(E366),E366&gt;4),"Salah isi","judge")</f>
        <v>judge</v>
      </c>
      <c r="H366" s="54"/>
    </row>
    <row r="367" spans="1:8">
      <c r="A367" s="272"/>
      <c r="B367" s="245"/>
      <c r="C367" s="281" t="s">
        <v>267</v>
      </c>
      <c r="D367" s="282"/>
      <c r="E367" s="127"/>
      <c r="H367" s="16"/>
    </row>
    <row r="368" spans="1:8" ht="43.9" customHeight="1">
      <c r="A368" s="272"/>
      <c r="B368" s="245"/>
      <c r="C368" s="44">
        <v>4</v>
      </c>
      <c r="D368" s="45" t="s">
        <v>268</v>
      </c>
      <c r="E368" s="46"/>
      <c r="H368" s="16"/>
    </row>
    <row r="369" spans="1:8" ht="29.1" customHeight="1">
      <c r="A369" s="272"/>
      <c r="B369" s="245"/>
      <c r="C369" s="44">
        <v>3</v>
      </c>
      <c r="D369" s="45" t="s">
        <v>269</v>
      </c>
      <c r="E369" s="46"/>
      <c r="H369" s="16"/>
    </row>
    <row r="370" spans="1:8" ht="29.1" customHeight="1">
      <c r="A370" s="272"/>
      <c r="B370" s="245"/>
      <c r="C370" s="44">
        <v>2</v>
      </c>
      <c r="D370" s="45" t="s">
        <v>270</v>
      </c>
      <c r="E370" s="46"/>
      <c r="H370" s="16"/>
    </row>
    <row r="371" spans="1:8" ht="43.9" customHeight="1">
      <c r="A371" s="272"/>
      <c r="B371" s="245"/>
      <c r="C371" s="44">
        <v>1</v>
      </c>
      <c r="D371" s="45" t="s">
        <v>271</v>
      </c>
      <c r="E371" s="46"/>
      <c r="H371" s="16"/>
    </row>
    <row r="372" spans="1:8" ht="29.1" customHeight="1">
      <c r="A372" s="272"/>
      <c r="B372" s="245"/>
      <c r="C372" s="44">
        <v>0</v>
      </c>
      <c r="D372" s="45" t="s">
        <v>272</v>
      </c>
      <c r="E372" s="47"/>
      <c r="H372" s="16"/>
    </row>
    <row r="373" spans="1:8" ht="15" customHeight="1">
      <c r="A373" s="273"/>
      <c r="B373" s="246"/>
      <c r="C373" s="279" t="s">
        <v>35</v>
      </c>
      <c r="D373" s="280"/>
      <c r="E373" s="48">
        <f>IF(F366="Salah isi",0,IF(E367&gt;=3.5,4,E366))</f>
        <v>3</v>
      </c>
      <c r="H373" s="16"/>
    </row>
    <row r="374" spans="1:8" ht="15" customHeight="1">
      <c r="A374" s="49"/>
      <c r="B374" s="49"/>
      <c r="C374" s="50"/>
      <c r="D374" s="50"/>
      <c r="E374" s="51"/>
      <c r="H374" s="16"/>
    </row>
    <row r="375" spans="1:8" ht="115.5" customHeight="1">
      <c r="A375" s="271">
        <v>31</v>
      </c>
      <c r="B375" s="244" t="s">
        <v>273</v>
      </c>
      <c r="C375" s="277" t="s">
        <v>274</v>
      </c>
      <c r="D375" s="305"/>
      <c r="E375" s="42">
        <v>3</v>
      </c>
      <c r="F375" s="15" t="str">
        <f>IF(OR(ISBLANK(E375),E375&gt;4),"Salah isi","judge")</f>
        <v>judge</v>
      </c>
      <c r="H375" s="54"/>
    </row>
    <row r="376" spans="1:8" ht="58.15" customHeight="1">
      <c r="A376" s="272"/>
      <c r="B376" s="245"/>
      <c r="C376" s="55">
        <v>4</v>
      </c>
      <c r="D376" s="56" t="s">
        <v>275</v>
      </c>
      <c r="E376" s="57"/>
      <c r="H376" s="16"/>
    </row>
    <row r="377" spans="1:8" ht="58.15" customHeight="1">
      <c r="A377" s="272"/>
      <c r="B377" s="245"/>
      <c r="C377" s="55">
        <v>3</v>
      </c>
      <c r="D377" s="56" t="s">
        <v>276</v>
      </c>
      <c r="E377" s="57"/>
      <c r="H377" s="16"/>
    </row>
    <row r="378" spans="1:8" ht="43.9" customHeight="1">
      <c r="A378" s="272"/>
      <c r="B378" s="245"/>
      <c r="C378" s="55">
        <v>2</v>
      </c>
      <c r="D378" s="56" t="s">
        <v>277</v>
      </c>
      <c r="E378" s="57"/>
      <c r="H378" s="16"/>
    </row>
    <row r="379" spans="1:8" ht="43.9" customHeight="1">
      <c r="A379" s="272"/>
      <c r="B379" s="245"/>
      <c r="C379" s="55">
        <v>1</v>
      </c>
      <c r="D379" s="105" t="s">
        <v>278</v>
      </c>
      <c r="E379" s="57"/>
      <c r="H379" s="16"/>
    </row>
    <row r="380" spans="1:8" ht="43.9" customHeight="1">
      <c r="A380" s="272"/>
      <c r="B380" s="245"/>
      <c r="C380" s="98">
        <v>0</v>
      </c>
      <c r="D380" s="99" t="s">
        <v>279</v>
      </c>
      <c r="E380" s="102"/>
      <c r="H380" s="16"/>
    </row>
    <row r="381" spans="1:8" ht="42" customHeight="1">
      <c r="A381" s="272"/>
      <c r="B381" s="245"/>
      <c r="C381" s="281" t="s">
        <v>280</v>
      </c>
      <c r="D381" s="282"/>
      <c r="E381" s="106">
        <v>2</v>
      </c>
      <c r="F381" s="15" t="str">
        <f>IF(OR(ISBLANK(E381),E381&gt;4),"Salah isi","judge")</f>
        <v>judge</v>
      </c>
      <c r="H381" s="16"/>
    </row>
    <row r="382" spans="1:8" ht="72.95" customHeight="1">
      <c r="A382" s="272"/>
      <c r="B382" s="245"/>
      <c r="C382" s="55">
        <v>4</v>
      </c>
      <c r="D382" s="56" t="s">
        <v>281</v>
      </c>
      <c r="E382" s="57"/>
      <c r="H382" s="16"/>
    </row>
    <row r="383" spans="1:8" ht="72.95" customHeight="1">
      <c r="A383" s="272"/>
      <c r="B383" s="245"/>
      <c r="C383" s="55">
        <v>3</v>
      </c>
      <c r="D383" s="56" t="s">
        <v>282</v>
      </c>
      <c r="E383" s="57"/>
      <c r="H383" s="16"/>
    </row>
    <row r="384" spans="1:8" ht="43.9" customHeight="1">
      <c r="A384" s="272"/>
      <c r="B384" s="245"/>
      <c r="C384" s="55">
        <v>2</v>
      </c>
      <c r="D384" s="56" t="s">
        <v>283</v>
      </c>
      <c r="E384" s="57"/>
      <c r="H384" s="16"/>
    </row>
    <row r="385" spans="1:8" ht="29.1" customHeight="1">
      <c r="A385" s="272"/>
      <c r="B385" s="245"/>
      <c r="C385" s="55">
        <v>1</v>
      </c>
      <c r="D385" s="105" t="s">
        <v>284</v>
      </c>
      <c r="E385" s="57"/>
      <c r="H385" s="16"/>
    </row>
    <row r="386" spans="1:8">
      <c r="A386" s="272"/>
      <c r="B386" s="245"/>
      <c r="C386" s="55">
        <v>0</v>
      </c>
      <c r="D386" s="56" t="s">
        <v>285</v>
      </c>
      <c r="E386" s="58"/>
      <c r="H386" s="16"/>
    </row>
    <row r="387" spans="1:8" ht="15" customHeight="1">
      <c r="A387" s="273"/>
      <c r="B387" s="246"/>
      <c r="C387" s="279" t="s">
        <v>286</v>
      </c>
      <c r="D387" s="280"/>
      <c r="E387" s="48">
        <f>IF(OR(F375="Salah isi",F381="Salah isi"),0,(E375+E381)/2)</f>
        <v>2.5</v>
      </c>
      <c r="H387" s="16"/>
    </row>
    <row r="388" spans="1:8" ht="15" customHeight="1">
      <c r="A388" s="49"/>
      <c r="B388" s="49"/>
      <c r="C388" s="50"/>
      <c r="D388" s="50"/>
      <c r="E388" s="51"/>
      <c r="H388" s="16"/>
    </row>
    <row r="389" spans="1:8" ht="45" customHeight="1">
      <c r="A389" s="271">
        <v>32</v>
      </c>
      <c r="B389" s="244" t="s">
        <v>287</v>
      </c>
      <c r="C389" s="294" t="s">
        <v>288</v>
      </c>
      <c r="D389" s="294"/>
      <c r="E389" s="123"/>
      <c r="H389" s="54"/>
    </row>
    <row r="390" spans="1:8" ht="21.6" customHeight="1">
      <c r="A390" s="272"/>
      <c r="B390" s="245"/>
      <c r="C390" s="281" t="s">
        <v>289</v>
      </c>
      <c r="D390" s="282"/>
      <c r="E390" s="128">
        <v>530592054</v>
      </c>
      <c r="F390" s="15" t="s">
        <v>95</v>
      </c>
      <c r="G390" s="66"/>
      <c r="H390" s="16"/>
    </row>
    <row r="391" spans="1:8" ht="23.65" customHeight="1">
      <c r="A391" s="272"/>
      <c r="B391" s="245"/>
      <c r="C391" s="281" t="s">
        <v>290</v>
      </c>
      <c r="D391" s="282"/>
      <c r="E391" s="65">
        <v>316</v>
      </c>
      <c r="F391" s="15" t="s">
        <v>95</v>
      </c>
      <c r="G391" s="66"/>
      <c r="H391" s="16"/>
    </row>
    <row r="392" spans="1:8" ht="32.65" customHeight="1">
      <c r="A392" s="272"/>
      <c r="B392" s="245"/>
      <c r="C392" s="281" t="s">
        <v>291</v>
      </c>
      <c r="D392" s="282"/>
      <c r="E392" s="129">
        <f>IF(E391&gt;0,E390/2/E391,0)*3/Menu!N15</f>
        <v>839544.38924050645</v>
      </c>
      <c r="G392" s="92"/>
      <c r="H392" s="16"/>
    </row>
    <row r="393" spans="1:8" ht="14.65" hidden="1" customHeight="1">
      <c r="A393" s="272"/>
      <c r="B393" s="245"/>
      <c r="C393" s="75" t="s">
        <v>153</v>
      </c>
      <c r="D393" s="76">
        <v>20000000</v>
      </c>
      <c r="E393" s="130"/>
      <c r="G393" s="92"/>
      <c r="H393" s="16"/>
    </row>
    <row r="394" spans="1:8" ht="15" customHeight="1">
      <c r="A394" s="273"/>
      <c r="B394" s="246"/>
      <c r="C394" s="283" t="s">
        <v>35</v>
      </c>
      <c r="D394" s="284"/>
      <c r="E394" s="48">
        <f>IF(E392&gt;=D393,4,4/D393*E392)</f>
        <v>0.1679088778481013</v>
      </c>
      <c r="H394" s="16"/>
    </row>
    <row r="395" spans="1:8" ht="15" customHeight="1">
      <c r="C395" s="8"/>
      <c r="D395" s="8"/>
      <c r="H395" s="8"/>
    </row>
    <row r="396" spans="1:8" ht="31.35" customHeight="1">
      <c r="A396" s="271">
        <v>33</v>
      </c>
      <c r="B396" s="268"/>
      <c r="C396" s="294" t="s">
        <v>292</v>
      </c>
      <c r="D396" s="294"/>
      <c r="E396" s="123"/>
      <c r="H396" s="54"/>
    </row>
    <row r="397" spans="1:8" ht="31.5" customHeight="1">
      <c r="A397" s="272"/>
      <c r="B397" s="269"/>
      <c r="C397" s="281" t="s">
        <v>293</v>
      </c>
      <c r="D397" s="282"/>
      <c r="E397" s="128">
        <v>28250000</v>
      </c>
      <c r="F397" s="15" t="s">
        <v>95</v>
      </c>
      <c r="G397" s="66"/>
      <c r="H397" s="16"/>
    </row>
    <row r="398" spans="1:8" ht="48" customHeight="1">
      <c r="A398" s="272"/>
      <c r="B398" s="269"/>
      <c r="C398" s="281" t="s">
        <v>98</v>
      </c>
      <c r="D398" s="282"/>
      <c r="E398" s="65">
        <v>11</v>
      </c>
      <c r="F398" s="15" t="s">
        <v>95</v>
      </c>
      <c r="G398" s="66"/>
      <c r="H398" s="16"/>
    </row>
    <row r="399" spans="1:8" ht="36" customHeight="1">
      <c r="A399" s="272"/>
      <c r="B399" s="269"/>
      <c r="C399" s="281" t="s">
        <v>294</v>
      </c>
      <c r="D399" s="282"/>
      <c r="E399" s="129">
        <f>IF(E398&gt;0,E397/3/E398,0)*3/Menu!N15</f>
        <v>856060.60606060596</v>
      </c>
      <c r="G399" s="92"/>
      <c r="H399" s="16"/>
    </row>
    <row r="400" spans="1:8" ht="14.65" hidden="1" customHeight="1">
      <c r="A400" s="272"/>
      <c r="B400" s="269"/>
      <c r="C400" s="75" t="s">
        <v>153</v>
      </c>
      <c r="D400" s="76">
        <v>10000000</v>
      </c>
      <c r="E400" s="130"/>
      <c r="G400" s="92"/>
      <c r="H400" s="16"/>
    </row>
    <row r="401" spans="1:8" ht="15" customHeight="1">
      <c r="A401" s="273"/>
      <c r="B401" s="270"/>
      <c r="C401" s="283" t="s">
        <v>35</v>
      </c>
      <c r="D401" s="284"/>
      <c r="E401" s="48">
        <f>IF(E399&gt;=D400,4,4/D400*E399)</f>
        <v>0.34242424242424235</v>
      </c>
      <c r="H401" s="16"/>
    </row>
    <row r="402" spans="1:8" ht="15" customHeight="1">
      <c r="C402" s="8"/>
      <c r="D402" s="8"/>
      <c r="H402" s="8"/>
    </row>
    <row r="403" spans="1:8" ht="42.75" customHeight="1">
      <c r="A403" s="271">
        <v>34</v>
      </c>
      <c r="B403" s="268"/>
      <c r="C403" s="294" t="s">
        <v>295</v>
      </c>
      <c r="D403" s="294"/>
      <c r="E403" s="123"/>
      <c r="H403" s="54"/>
    </row>
    <row r="404" spans="1:8" ht="31.5" customHeight="1">
      <c r="A404" s="272"/>
      <c r="B404" s="269"/>
      <c r="C404" s="281" t="s">
        <v>296</v>
      </c>
      <c r="D404" s="282"/>
      <c r="E404" s="128">
        <v>6980000</v>
      </c>
      <c r="F404" s="15" t="s">
        <v>95</v>
      </c>
      <c r="G404" s="66"/>
      <c r="H404" s="16"/>
    </row>
    <row r="405" spans="1:8" ht="50.1" customHeight="1">
      <c r="A405" s="272"/>
      <c r="B405" s="269"/>
      <c r="C405" s="281" t="s">
        <v>98</v>
      </c>
      <c r="D405" s="282"/>
      <c r="E405" s="65">
        <v>11</v>
      </c>
      <c r="F405" s="15" t="s">
        <v>95</v>
      </c>
      <c r="G405" s="66"/>
      <c r="H405" s="16"/>
    </row>
    <row r="406" spans="1:8" ht="33" customHeight="1">
      <c r="A406" s="272"/>
      <c r="B406" s="269"/>
      <c r="C406" s="281" t="s">
        <v>297</v>
      </c>
      <c r="D406" s="282"/>
      <c r="E406" s="129">
        <f>IF(E405&gt;0,E404/3/E405,0)*3/Menu!N15</f>
        <v>211515.15151515149</v>
      </c>
      <c r="G406" s="92"/>
      <c r="H406" s="16"/>
    </row>
    <row r="407" spans="1:8" ht="14.65" hidden="1" customHeight="1">
      <c r="A407" s="272"/>
      <c r="B407" s="269"/>
      <c r="C407" s="75" t="s">
        <v>153</v>
      </c>
      <c r="D407" s="76">
        <v>5000000</v>
      </c>
      <c r="E407" s="130"/>
      <c r="G407" s="92"/>
      <c r="H407" s="16"/>
    </row>
    <row r="408" spans="1:8" ht="15" customHeight="1">
      <c r="A408" s="273"/>
      <c r="B408" s="270"/>
      <c r="C408" s="283" t="s">
        <v>35</v>
      </c>
      <c r="D408" s="284"/>
      <c r="E408" s="48">
        <f>IF(E406&gt;=D407,4,4/D407*E406)</f>
        <v>0.16921212121212117</v>
      </c>
      <c r="H408" s="16"/>
    </row>
    <row r="409" spans="1:8" ht="15" customHeight="1">
      <c r="C409" s="8"/>
      <c r="D409" s="8"/>
      <c r="H409" s="8"/>
    </row>
    <row r="410" spans="1:8" ht="68.099999999999994" customHeight="1">
      <c r="A410" s="271">
        <v>35</v>
      </c>
      <c r="B410" s="244"/>
      <c r="C410" s="277" t="s">
        <v>298</v>
      </c>
      <c r="D410" s="278"/>
      <c r="E410" s="42">
        <v>2</v>
      </c>
      <c r="F410" s="15" t="str">
        <f>IF(OR(ISBLANK(E410),E410&gt;4),"Salah isi","judge")</f>
        <v>judge</v>
      </c>
      <c r="H410" s="54"/>
    </row>
    <row r="411" spans="1:8">
      <c r="A411" s="272"/>
      <c r="B411" s="245"/>
      <c r="C411" s="281" t="s">
        <v>299</v>
      </c>
      <c r="D411" s="282"/>
      <c r="E411" s="127"/>
      <c r="H411" s="16"/>
    </row>
    <row r="412" spans="1:8" ht="58.15" customHeight="1">
      <c r="A412" s="272"/>
      <c r="B412" s="245"/>
      <c r="C412" s="44">
        <v>4</v>
      </c>
      <c r="D412" s="45" t="s">
        <v>300</v>
      </c>
      <c r="E412" s="46"/>
      <c r="H412" s="16"/>
    </row>
    <row r="413" spans="1:8" ht="43.9" customHeight="1">
      <c r="A413" s="272"/>
      <c r="B413" s="245"/>
      <c r="C413" s="44">
        <v>3</v>
      </c>
      <c r="D413" s="45" t="s">
        <v>301</v>
      </c>
      <c r="E413" s="46"/>
      <c r="H413" s="16"/>
    </row>
    <row r="414" spans="1:8" ht="58.15" customHeight="1">
      <c r="A414" s="272"/>
      <c r="B414" s="245"/>
      <c r="C414" s="44">
        <v>2</v>
      </c>
      <c r="D414" s="45" t="s">
        <v>302</v>
      </c>
      <c r="E414" s="46"/>
      <c r="H414" s="16"/>
    </row>
    <row r="415" spans="1:8" ht="29.1" customHeight="1">
      <c r="A415" s="272"/>
      <c r="B415" s="245"/>
      <c r="C415" s="44">
        <v>1</v>
      </c>
      <c r="D415" s="45" t="s">
        <v>303</v>
      </c>
      <c r="E415" s="46"/>
      <c r="H415" s="16"/>
    </row>
    <row r="416" spans="1:8" ht="29.1" customHeight="1">
      <c r="A416" s="272"/>
      <c r="B416" s="245"/>
      <c r="C416" s="44">
        <v>0</v>
      </c>
      <c r="D416" s="45" t="s">
        <v>304</v>
      </c>
      <c r="E416" s="47"/>
      <c r="H416" s="16"/>
    </row>
    <row r="417" spans="1:8" ht="15" customHeight="1">
      <c r="A417" s="273"/>
      <c r="B417" s="246"/>
      <c r="C417" s="279" t="s">
        <v>35</v>
      </c>
      <c r="D417" s="280"/>
      <c r="E417" s="48">
        <f>IF(F410="Salah isi",0,IF(E411&gt;=3.5,4,E410))</f>
        <v>2</v>
      </c>
      <c r="H417" s="16"/>
    </row>
    <row r="418" spans="1:8" ht="15" customHeight="1">
      <c r="A418" s="49"/>
      <c r="B418" s="49"/>
      <c r="C418" s="50"/>
      <c r="D418" s="50"/>
      <c r="E418" s="51"/>
      <c r="H418" s="16"/>
    </row>
    <row r="419" spans="1:8" ht="32.1" customHeight="1">
      <c r="A419" s="271">
        <v>36</v>
      </c>
      <c r="B419" s="244"/>
      <c r="C419" s="277" t="s">
        <v>305</v>
      </c>
      <c r="D419" s="278"/>
      <c r="E419" s="42">
        <v>3</v>
      </c>
      <c r="F419" s="15" t="str">
        <f>IF(OR(ISBLANK(E419),E419&gt;4),"Salah isi","judge")</f>
        <v>judge</v>
      </c>
      <c r="H419" s="54"/>
    </row>
    <row r="420" spans="1:8" ht="58.15" customHeight="1">
      <c r="A420" s="272"/>
      <c r="B420" s="245"/>
      <c r="C420" s="44">
        <v>4</v>
      </c>
      <c r="D420" s="45" t="s">
        <v>306</v>
      </c>
      <c r="E420" s="46"/>
      <c r="H420" s="16"/>
    </row>
    <row r="421" spans="1:8" ht="29.1" customHeight="1">
      <c r="A421" s="272"/>
      <c r="B421" s="245"/>
      <c r="C421" s="44">
        <v>3</v>
      </c>
      <c r="D421" s="45" t="s">
        <v>307</v>
      </c>
      <c r="E421" s="46"/>
      <c r="H421" s="16"/>
    </row>
    <row r="422" spans="1:8" ht="29.1" customHeight="1">
      <c r="A422" s="272"/>
      <c r="B422" s="245"/>
      <c r="C422" s="44">
        <v>2</v>
      </c>
      <c r="D422" s="45" t="s">
        <v>308</v>
      </c>
      <c r="E422" s="46"/>
      <c r="H422" s="16"/>
    </row>
    <row r="423" spans="1:8" ht="29.1" customHeight="1">
      <c r="A423" s="272"/>
      <c r="B423" s="245"/>
      <c r="C423" s="44">
        <v>1</v>
      </c>
      <c r="D423" s="45" t="s">
        <v>309</v>
      </c>
      <c r="E423" s="46"/>
      <c r="H423" s="16"/>
    </row>
    <row r="424" spans="1:8">
      <c r="A424" s="272"/>
      <c r="B424" s="245"/>
      <c r="C424" s="44">
        <v>0</v>
      </c>
      <c r="D424" s="45" t="s">
        <v>310</v>
      </c>
      <c r="E424" s="47"/>
      <c r="H424" s="16"/>
    </row>
    <row r="425" spans="1:8" ht="15" customHeight="1">
      <c r="A425" s="273"/>
      <c r="B425" s="246"/>
      <c r="C425" s="279" t="s">
        <v>35</v>
      </c>
      <c r="D425" s="280"/>
      <c r="E425" s="48">
        <f>IF(F419="Salah isi",0,E419)</f>
        <v>3</v>
      </c>
      <c r="H425" s="16"/>
    </row>
    <row r="426" spans="1:8" ht="15" customHeight="1">
      <c r="A426" s="49"/>
      <c r="B426" s="49"/>
      <c r="C426" s="50"/>
      <c r="D426" s="50"/>
      <c r="E426" s="51"/>
      <c r="H426" s="16"/>
    </row>
    <row r="427" spans="1:8" ht="41.65" customHeight="1">
      <c r="A427" s="271">
        <v>37</v>
      </c>
      <c r="B427" s="244" t="s">
        <v>311</v>
      </c>
      <c r="C427" s="277" t="s">
        <v>312</v>
      </c>
      <c r="D427" s="278"/>
      <c r="E427" s="42">
        <v>4</v>
      </c>
      <c r="F427" s="15" t="str">
        <f>IF(OR(ISBLANK(E427),E427&gt;4),"Salah isi","judge")</f>
        <v>judge</v>
      </c>
      <c r="H427" s="54"/>
    </row>
    <row r="428" spans="1:8" ht="43.9" customHeight="1">
      <c r="A428" s="272"/>
      <c r="B428" s="245"/>
      <c r="C428" s="44">
        <v>4</v>
      </c>
      <c r="D428" s="45" t="s">
        <v>313</v>
      </c>
      <c r="E428" s="46"/>
      <c r="H428" s="16"/>
    </row>
    <row r="429" spans="1:8" ht="43.9" customHeight="1">
      <c r="A429" s="272"/>
      <c r="B429" s="245"/>
      <c r="C429" s="44">
        <v>3</v>
      </c>
      <c r="D429" s="45" t="s">
        <v>314</v>
      </c>
      <c r="E429" s="46"/>
      <c r="H429" s="16"/>
    </row>
    <row r="430" spans="1:8" ht="43.9" customHeight="1">
      <c r="A430" s="272"/>
      <c r="B430" s="245"/>
      <c r="C430" s="44">
        <v>2</v>
      </c>
      <c r="D430" s="45" t="s">
        <v>315</v>
      </c>
      <c r="E430" s="46"/>
      <c r="H430" s="16"/>
    </row>
    <row r="431" spans="1:8" ht="29.1" customHeight="1">
      <c r="A431" s="272"/>
      <c r="B431" s="245"/>
      <c r="C431" s="44">
        <v>1</v>
      </c>
      <c r="D431" s="45" t="s">
        <v>316</v>
      </c>
      <c r="E431" s="46"/>
      <c r="H431" s="16"/>
    </row>
    <row r="432" spans="1:8">
      <c r="A432" s="272"/>
      <c r="B432" s="245"/>
      <c r="C432" s="44">
        <v>0</v>
      </c>
      <c r="D432" s="45" t="s">
        <v>317</v>
      </c>
      <c r="E432" s="47"/>
      <c r="H432" s="16"/>
    </row>
    <row r="433" spans="1:8" ht="15" customHeight="1">
      <c r="A433" s="273"/>
      <c r="B433" s="246"/>
      <c r="C433" s="279" t="s">
        <v>35</v>
      </c>
      <c r="D433" s="280"/>
      <c r="E433" s="48">
        <f>IF(F427="Salah isi",0,E427)</f>
        <v>4</v>
      </c>
      <c r="H433" s="16"/>
    </row>
    <row r="434" spans="1:8" ht="15" customHeight="1">
      <c r="A434" s="49"/>
      <c r="B434" s="49"/>
      <c r="C434" s="50"/>
      <c r="D434" s="50"/>
      <c r="E434" s="51"/>
      <c r="H434" s="16"/>
    </row>
    <row r="435" spans="1:8" ht="40.35" customHeight="1">
      <c r="A435" s="271">
        <v>38</v>
      </c>
      <c r="B435" s="244" t="s">
        <v>318</v>
      </c>
      <c r="C435" s="277" t="s">
        <v>319</v>
      </c>
      <c r="D435" s="305"/>
      <c r="E435" s="42">
        <v>2</v>
      </c>
      <c r="F435" s="15" t="str">
        <f>IF(OR(ISBLANK(E435),E435&gt;4),"Salah isi","judge")</f>
        <v>judge</v>
      </c>
      <c r="H435" s="54"/>
    </row>
    <row r="436" spans="1:8" ht="72.95" customHeight="1">
      <c r="A436" s="272"/>
      <c r="B436" s="245"/>
      <c r="C436" s="55">
        <v>4</v>
      </c>
      <c r="D436" s="131" t="s">
        <v>320</v>
      </c>
      <c r="E436" s="57"/>
      <c r="H436" s="16"/>
    </row>
    <row r="437" spans="1:8" ht="43.9" customHeight="1">
      <c r="A437" s="272"/>
      <c r="B437" s="245"/>
      <c r="C437" s="55">
        <v>3</v>
      </c>
      <c r="D437" s="131" t="s">
        <v>321</v>
      </c>
      <c r="E437" s="57"/>
      <c r="H437" s="16"/>
    </row>
    <row r="438" spans="1:8" ht="29.1" customHeight="1">
      <c r="A438" s="272"/>
      <c r="B438" s="245"/>
      <c r="C438" s="55">
        <v>2</v>
      </c>
      <c r="D438" s="131" t="s">
        <v>322</v>
      </c>
      <c r="E438" s="57"/>
      <c r="H438" s="16"/>
    </row>
    <row r="439" spans="1:8" ht="29.1" customHeight="1">
      <c r="A439" s="272"/>
      <c r="B439" s="245"/>
      <c r="C439" s="55">
        <v>1</v>
      </c>
      <c r="D439" s="131" t="s">
        <v>323</v>
      </c>
      <c r="E439" s="57"/>
      <c r="H439" s="16"/>
    </row>
    <row r="440" spans="1:8" ht="29.1" customHeight="1">
      <c r="A440" s="272"/>
      <c r="B440" s="245"/>
      <c r="C440" s="55">
        <v>0</v>
      </c>
      <c r="D440" s="131" t="s">
        <v>324</v>
      </c>
      <c r="E440" s="58"/>
      <c r="H440" s="16"/>
    </row>
    <row r="441" spans="1:8" ht="42" customHeight="1">
      <c r="A441" s="272"/>
      <c r="B441" s="245"/>
      <c r="C441" s="308" t="s">
        <v>325</v>
      </c>
      <c r="D441" s="309"/>
      <c r="E441" s="60">
        <v>2</v>
      </c>
      <c r="F441" s="15" t="str">
        <f>IF(OR(ISBLANK(E441),E441&gt;4),"Salah isi","judge")</f>
        <v>judge</v>
      </c>
      <c r="H441" s="16"/>
    </row>
    <row r="442" spans="1:8" ht="72.95" customHeight="1">
      <c r="A442" s="272"/>
      <c r="B442" s="245"/>
      <c r="C442" s="55">
        <v>4</v>
      </c>
      <c r="D442" s="56" t="s">
        <v>326</v>
      </c>
      <c r="E442" s="57"/>
      <c r="F442" s="13"/>
      <c r="H442" s="16"/>
    </row>
    <row r="443" spans="1:8" ht="43.9" customHeight="1">
      <c r="A443" s="272"/>
      <c r="B443" s="245"/>
      <c r="C443" s="55">
        <v>3</v>
      </c>
      <c r="D443" s="56" t="s">
        <v>327</v>
      </c>
      <c r="E443" s="57"/>
      <c r="F443" s="13"/>
      <c r="H443" s="16"/>
    </row>
    <row r="444" spans="1:8" ht="29.1" customHeight="1">
      <c r="A444" s="272"/>
      <c r="B444" s="245"/>
      <c r="C444" s="55">
        <v>2</v>
      </c>
      <c r="D444" s="56" t="s">
        <v>328</v>
      </c>
      <c r="E444" s="57"/>
      <c r="F444" s="13"/>
      <c r="H444" s="16"/>
    </row>
    <row r="445" spans="1:8" ht="29.1" customHeight="1">
      <c r="A445" s="272"/>
      <c r="B445" s="245"/>
      <c r="C445" s="55">
        <v>1</v>
      </c>
      <c r="D445" s="56" t="s">
        <v>329</v>
      </c>
      <c r="E445" s="57"/>
      <c r="F445" s="13"/>
      <c r="H445" s="16"/>
    </row>
    <row r="446" spans="1:8" ht="29.1" customHeight="1">
      <c r="A446" s="272"/>
      <c r="B446" s="245"/>
      <c r="C446" s="55">
        <v>0</v>
      </c>
      <c r="D446" s="56" t="s">
        <v>330</v>
      </c>
      <c r="E446" s="58"/>
      <c r="F446" s="13"/>
      <c r="H446" s="16"/>
    </row>
    <row r="447" spans="1:8" ht="34.35" customHeight="1">
      <c r="A447" s="272"/>
      <c r="B447" s="245"/>
      <c r="C447" s="281" t="s">
        <v>331</v>
      </c>
      <c r="D447" s="309"/>
      <c r="E447" s="60">
        <v>4</v>
      </c>
      <c r="F447" s="15" t="str">
        <f>IF(OR(E447&lt;1,E447&gt;4),"Salah isi","judge")</f>
        <v>judge</v>
      </c>
      <c r="H447" s="16"/>
    </row>
    <row r="448" spans="1:8" ht="87.4" customHeight="1">
      <c r="A448" s="272"/>
      <c r="B448" s="245"/>
      <c r="C448" s="55">
        <v>4</v>
      </c>
      <c r="D448" s="56" t="s">
        <v>332</v>
      </c>
      <c r="E448" s="57"/>
      <c r="F448" s="13"/>
      <c r="H448" s="16"/>
    </row>
    <row r="449" spans="1:8" ht="58.15" customHeight="1">
      <c r="A449" s="272"/>
      <c r="B449" s="245"/>
      <c r="C449" s="55">
        <v>3</v>
      </c>
      <c r="D449" s="56" t="s">
        <v>333</v>
      </c>
      <c r="E449" s="57"/>
      <c r="F449" s="13"/>
      <c r="H449" s="16"/>
    </row>
    <row r="450" spans="1:8" ht="43.9" customHeight="1">
      <c r="A450" s="272"/>
      <c r="B450" s="245"/>
      <c r="C450" s="55">
        <v>2</v>
      </c>
      <c r="D450" s="56" t="s">
        <v>334</v>
      </c>
      <c r="E450" s="57"/>
      <c r="F450" s="13"/>
      <c r="H450" s="16"/>
    </row>
    <row r="451" spans="1:8" ht="29.1" customHeight="1">
      <c r="A451" s="272"/>
      <c r="B451" s="245"/>
      <c r="C451" s="55">
        <v>1</v>
      </c>
      <c r="D451" s="56" t="s">
        <v>335</v>
      </c>
      <c r="E451" s="57"/>
      <c r="H451" s="16"/>
    </row>
    <row r="452" spans="1:8">
      <c r="A452" s="272"/>
      <c r="B452" s="245"/>
      <c r="C452" s="55">
        <v>0</v>
      </c>
      <c r="D452" s="56" t="s">
        <v>74</v>
      </c>
      <c r="E452" s="58"/>
      <c r="H452" s="16"/>
    </row>
    <row r="453" spans="1:8" ht="15" customHeight="1">
      <c r="A453" s="273"/>
      <c r="B453" s="246"/>
      <c r="C453" s="279" t="s">
        <v>336</v>
      </c>
      <c r="D453" s="304"/>
      <c r="E453" s="48">
        <f>IF(OR(F435="Salah isi",F441="Salah isi",F447="Salah isi"),0,(E435+2*E441+2*E447)/5)</f>
        <v>2.8</v>
      </c>
      <c r="H453" s="16"/>
    </row>
    <row r="454" spans="1:8" ht="15" customHeight="1">
      <c r="A454" s="49"/>
      <c r="B454" s="49"/>
      <c r="C454" s="50"/>
      <c r="D454" s="50"/>
      <c r="E454" s="51"/>
      <c r="H454" s="16"/>
    </row>
    <row r="455" spans="1:8" ht="53.65" customHeight="1">
      <c r="A455" s="271">
        <v>39</v>
      </c>
      <c r="B455" s="244" t="s">
        <v>337</v>
      </c>
      <c r="C455" s="277" t="s">
        <v>338</v>
      </c>
      <c r="D455" s="278"/>
      <c r="E455" s="42">
        <v>3</v>
      </c>
      <c r="F455" s="15" t="str">
        <f>IF(OR(E455&lt;1,E455&gt;4),"Salah isi","judge")</f>
        <v>judge</v>
      </c>
      <c r="H455" s="54"/>
    </row>
    <row r="456" spans="1:8" ht="43.9" customHeight="1">
      <c r="A456" s="272"/>
      <c r="B456" s="245"/>
      <c r="C456" s="44">
        <v>4</v>
      </c>
      <c r="D456" s="45" t="s">
        <v>339</v>
      </c>
      <c r="E456" s="46"/>
      <c r="H456" s="16"/>
    </row>
    <row r="457" spans="1:8" ht="43.9" customHeight="1">
      <c r="A457" s="272"/>
      <c r="B457" s="245"/>
      <c r="C457" s="44">
        <v>3</v>
      </c>
      <c r="D457" s="45" t="s">
        <v>340</v>
      </c>
      <c r="E457" s="46"/>
      <c r="H457" s="16"/>
    </row>
    <row r="458" spans="1:8" ht="29.1" customHeight="1">
      <c r="A458" s="272"/>
      <c r="B458" s="245"/>
      <c r="C458" s="44">
        <v>2</v>
      </c>
      <c r="D458" s="45" t="s">
        <v>341</v>
      </c>
      <c r="E458" s="46"/>
      <c r="H458" s="16"/>
    </row>
    <row r="459" spans="1:8" ht="29.1" customHeight="1">
      <c r="A459" s="272"/>
      <c r="B459" s="245"/>
      <c r="C459" s="44">
        <v>1</v>
      </c>
      <c r="D459" s="45" t="s">
        <v>342</v>
      </c>
      <c r="E459" s="46"/>
      <c r="H459" s="16"/>
    </row>
    <row r="460" spans="1:8">
      <c r="A460" s="272"/>
      <c r="B460" s="245"/>
      <c r="C460" s="44">
        <v>0</v>
      </c>
      <c r="D460" s="45" t="s">
        <v>74</v>
      </c>
      <c r="E460" s="47"/>
      <c r="H460" s="16"/>
    </row>
    <row r="461" spans="1:8" ht="15" customHeight="1">
      <c r="A461" s="273"/>
      <c r="B461" s="246"/>
      <c r="C461" s="279" t="s">
        <v>35</v>
      </c>
      <c r="D461" s="280"/>
      <c r="E461" s="48">
        <f>IF(F455="Salah isi",0,E455)</f>
        <v>3</v>
      </c>
      <c r="H461" s="16"/>
    </row>
    <row r="462" spans="1:8" ht="15" customHeight="1">
      <c r="A462" s="49"/>
      <c r="B462" s="49"/>
      <c r="C462" s="50"/>
      <c r="D462" s="50"/>
      <c r="E462" s="51"/>
      <c r="H462" s="16"/>
    </row>
    <row r="463" spans="1:8" ht="40.35" customHeight="1">
      <c r="A463" s="271">
        <v>40</v>
      </c>
      <c r="B463" s="244" t="s">
        <v>343</v>
      </c>
      <c r="C463" s="277" t="s">
        <v>344</v>
      </c>
      <c r="D463" s="305"/>
      <c r="E463" s="42">
        <v>3</v>
      </c>
      <c r="F463" s="15" t="str">
        <f>IF(OR(ISBLANK(E463),E463&gt;4),"Salah isi","judge")</f>
        <v>judge</v>
      </c>
      <c r="H463" s="54"/>
    </row>
    <row r="464" spans="1:8" ht="58.15" customHeight="1">
      <c r="A464" s="272"/>
      <c r="B464" s="245"/>
      <c r="C464" s="55">
        <v>4</v>
      </c>
      <c r="D464" s="131" t="s">
        <v>345</v>
      </c>
      <c r="E464" s="57"/>
      <c r="H464" s="16"/>
    </row>
    <row r="465" spans="1:8" ht="58.15" customHeight="1">
      <c r="A465" s="272"/>
      <c r="B465" s="245"/>
      <c r="C465" s="55">
        <v>3</v>
      </c>
      <c r="D465" s="131" t="s">
        <v>346</v>
      </c>
      <c r="E465" s="57"/>
      <c r="H465" s="16"/>
    </row>
    <row r="466" spans="1:8" ht="43.9" customHeight="1">
      <c r="A466" s="272"/>
      <c r="B466" s="245"/>
      <c r="C466" s="55">
        <v>2</v>
      </c>
      <c r="D466" s="131" t="s">
        <v>347</v>
      </c>
      <c r="E466" s="57"/>
      <c r="H466" s="16"/>
    </row>
    <row r="467" spans="1:8" ht="43.9" customHeight="1">
      <c r="A467" s="272"/>
      <c r="B467" s="245"/>
      <c r="C467" s="55">
        <v>1</v>
      </c>
      <c r="D467" s="131" t="s">
        <v>348</v>
      </c>
      <c r="E467" s="57"/>
      <c r="H467" s="16"/>
    </row>
    <row r="468" spans="1:8">
      <c r="A468" s="272"/>
      <c r="B468" s="245"/>
      <c r="C468" s="55">
        <v>0</v>
      </c>
      <c r="D468" s="131" t="s">
        <v>349</v>
      </c>
      <c r="E468" s="58"/>
      <c r="H468" s="16"/>
    </row>
    <row r="469" spans="1:8" ht="34.35" customHeight="1">
      <c r="A469" s="272"/>
      <c r="B469" s="245"/>
      <c r="C469" s="281" t="s">
        <v>350</v>
      </c>
      <c r="D469" s="309"/>
      <c r="E469" s="60">
        <v>3</v>
      </c>
      <c r="F469" s="15" t="str">
        <f>IF(OR(ISBLANK(E469),E469&gt;4),"Salah isi","judge")</f>
        <v>judge</v>
      </c>
      <c r="H469" s="16"/>
    </row>
    <row r="470" spans="1:8" ht="43.9" customHeight="1">
      <c r="A470" s="272"/>
      <c r="B470" s="245"/>
      <c r="C470" s="55">
        <v>4</v>
      </c>
      <c r="D470" s="56" t="s">
        <v>351</v>
      </c>
      <c r="E470" s="57"/>
      <c r="F470" s="13"/>
      <c r="H470" s="16"/>
    </row>
    <row r="471" spans="1:8" ht="43.9" customHeight="1">
      <c r="A471" s="272"/>
      <c r="B471" s="245"/>
      <c r="C471" s="55">
        <v>3</v>
      </c>
      <c r="D471" s="56" t="s">
        <v>352</v>
      </c>
      <c r="E471" s="57"/>
      <c r="F471" s="13"/>
      <c r="H471" s="16"/>
    </row>
    <row r="472" spans="1:8" ht="29.1" customHeight="1">
      <c r="A472" s="272"/>
      <c r="B472" s="245"/>
      <c r="C472" s="55">
        <v>2</v>
      </c>
      <c r="D472" s="56" t="s">
        <v>353</v>
      </c>
      <c r="E472" s="57"/>
      <c r="F472" s="13"/>
      <c r="H472" s="16"/>
    </row>
    <row r="473" spans="1:8" ht="29.1" customHeight="1">
      <c r="A473" s="272"/>
      <c r="B473" s="245"/>
      <c r="C473" s="55">
        <v>1</v>
      </c>
      <c r="D473" s="56" t="s">
        <v>354</v>
      </c>
      <c r="E473" s="57"/>
      <c r="H473" s="16"/>
    </row>
    <row r="474" spans="1:8" ht="30" customHeight="1">
      <c r="A474" s="272"/>
      <c r="B474" s="245"/>
      <c r="C474" s="55">
        <v>0</v>
      </c>
      <c r="D474" s="56" t="s">
        <v>355</v>
      </c>
      <c r="E474" s="58"/>
      <c r="H474" s="16"/>
    </row>
    <row r="475" spans="1:8" ht="15" customHeight="1">
      <c r="A475" s="273"/>
      <c r="B475" s="246"/>
      <c r="C475" s="279" t="s">
        <v>75</v>
      </c>
      <c r="D475" s="304"/>
      <c r="E475" s="48">
        <f>IF(OR(F463="Salah isi",F469="Salah isi"),0,(E463+2*E469)/3)</f>
        <v>3</v>
      </c>
      <c r="H475" s="16"/>
    </row>
    <row r="476" spans="1:8" ht="15" customHeight="1">
      <c r="A476" s="49"/>
      <c r="B476" s="49"/>
      <c r="C476" s="50"/>
      <c r="D476" s="50"/>
      <c r="E476" s="51"/>
      <c r="H476" s="16"/>
    </row>
    <row r="477" spans="1:8" ht="40.35" customHeight="1">
      <c r="A477" s="271">
        <v>41</v>
      </c>
      <c r="B477" s="244" t="s">
        <v>356</v>
      </c>
      <c r="C477" s="277" t="s">
        <v>357</v>
      </c>
      <c r="D477" s="305"/>
      <c r="E477" s="42">
        <v>3</v>
      </c>
      <c r="F477" s="15" t="str">
        <f>IF(OR(ISBLANK(E477),E477&gt;4),"Salah isi","judge")</f>
        <v>judge</v>
      </c>
      <c r="H477" s="54" t="s">
        <v>358</v>
      </c>
    </row>
    <row r="478" spans="1:8" ht="58.15" customHeight="1">
      <c r="A478" s="272"/>
      <c r="B478" s="245"/>
      <c r="C478" s="55">
        <v>4</v>
      </c>
      <c r="D478" s="131" t="s">
        <v>359</v>
      </c>
      <c r="E478" s="57"/>
      <c r="H478" s="16"/>
    </row>
    <row r="479" spans="1:8" ht="43.9" customHeight="1">
      <c r="A479" s="272"/>
      <c r="B479" s="245"/>
      <c r="C479" s="55">
        <v>3</v>
      </c>
      <c r="D479" s="131" t="s">
        <v>360</v>
      </c>
      <c r="E479" s="57"/>
      <c r="H479" s="16"/>
    </row>
    <row r="480" spans="1:8" ht="43.9" customHeight="1">
      <c r="A480" s="272"/>
      <c r="B480" s="245"/>
      <c r="C480" s="55">
        <v>2</v>
      </c>
      <c r="D480" s="131" t="s">
        <v>361</v>
      </c>
      <c r="E480" s="57"/>
      <c r="H480" s="16"/>
    </row>
    <row r="481" spans="1:8" ht="43.9" customHeight="1">
      <c r="A481" s="272"/>
      <c r="B481" s="245"/>
      <c r="C481" s="55">
        <v>1</v>
      </c>
      <c r="D481" s="131" t="s">
        <v>362</v>
      </c>
      <c r="E481" s="57"/>
      <c r="H481" s="16"/>
    </row>
    <row r="482" spans="1:8" ht="29.1" customHeight="1">
      <c r="A482" s="272"/>
      <c r="B482" s="245"/>
      <c r="C482" s="55">
        <v>0</v>
      </c>
      <c r="D482" s="131" t="s">
        <v>363</v>
      </c>
      <c r="E482" s="58"/>
      <c r="H482" s="16"/>
    </row>
    <row r="483" spans="1:8" ht="34.35" customHeight="1">
      <c r="A483" s="272"/>
      <c r="B483" s="245"/>
      <c r="C483" s="281" t="s">
        <v>364</v>
      </c>
      <c r="D483" s="309"/>
      <c r="E483" s="60">
        <v>3</v>
      </c>
      <c r="F483" s="15" t="str">
        <f>IF(OR(ISBLANK(E483),E483&gt;4),"Salah isi","judge")</f>
        <v>judge</v>
      </c>
      <c r="H483" s="16"/>
    </row>
    <row r="484" spans="1:8" ht="72.95" customHeight="1">
      <c r="A484" s="272"/>
      <c r="B484" s="245"/>
      <c r="C484" s="55">
        <v>4</v>
      </c>
      <c r="D484" s="56" t="s">
        <v>365</v>
      </c>
      <c r="E484" s="57"/>
      <c r="F484" s="13"/>
      <c r="H484" s="16"/>
    </row>
    <row r="485" spans="1:8" ht="58.15" customHeight="1">
      <c r="A485" s="272"/>
      <c r="B485" s="245"/>
      <c r="C485" s="55">
        <v>3</v>
      </c>
      <c r="D485" s="56" t="s">
        <v>366</v>
      </c>
      <c r="E485" s="57"/>
      <c r="F485" s="13"/>
      <c r="H485" s="16"/>
    </row>
    <row r="486" spans="1:8" ht="43.9" customHeight="1">
      <c r="A486" s="272"/>
      <c r="B486" s="245"/>
      <c r="C486" s="55">
        <v>2</v>
      </c>
      <c r="D486" s="56" t="s">
        <v>367</v>
      </c>
      <c r="E486" s="57"/>
      <c r="F486" s="13"/>
      <c r="H486" s="16"/>
    </row>
    <row r="487" spans="1:8" ht="29.1" customHeight="1">
      <c r="A487" s="272"/>
      <c r="B487" s="245"/>
      <c r="C487" s="55">
        <v>1</v>
      </c>
      <c r="D487" s="56" t="s">
        <v>368</v>
      </c>
      <c r="E487" s="57"/>
      <c r="H487" s="16"/>
    </row>
    <row r="488" spans="1:8" ht="30" customHeight="1">
      <c r="A488" s="272"/>
      <c r="B488" s="245"/>
      <c r="C488" s="55">
        <v>0</v>
      </c>
      <c r="D488" s="56" t="s">
        <v>369</v>
      </c>
      <c r="E488" s="58"/>
      <c r="H488" s="16"/>
    </row>
    <row r="489" spans="1:8" ht="128.25" customHeight="1">
      <c r="A489" s="272"/>
      <c r="B489" s="245"/>
      <c r="C489" s="311" t="s">
        <v>370</v>
      </c>
      <c r="D489" s="312"/>
      <c r="E489" s="60">
        <v>3</v>
      </c>
      <c r="F489" s="15" t="str">
        <f>IF(OR(E489&lt;2,AND(E489&gt;2,E489&lt;4),E489&gt;4),"Salah isi","judge")</f>
        <v>Salah isi</v>
      </c>
      <c r="H489" s="16"/>
    </row>
    <row r="490" spans="1:8" ht="43.9" customHeight="1">
      <c r="A490" s="272"/>
      <c r="B490" s="245"/>
      <c r="C490" s="132">
        <v>4</v>
      </c>
      <c r="D490" s="56" t="s">
        <v>371</v>
      </c>
      <c r="E490" s="133"/>
      <c r="F490" s="13"/>
      <c r="H490" s="16"/>
    </row>
    <row r="491" spans="1:8">
      <c r="A491" s="272"/>
      <c r="B491" s="245"/>
      <c r="C491" s="132">
        <v>3</v>
      </c>
      <c r="D491" s="56" t="s">
        <v>372</v>
      </c>
      <c r="E491" s="133"/>
      <c r="F491" s="13"/>
      <c r="H491" s="16"/>
    </row>
    <row r="492" spans="1:8" ht="43.9" customHeight="1">
      <c r="A492" s="272"/>
      <c r="B492" s="245"/>
      <c r="C492" s="132">
        <v>2</v>
      </c>
      <c r="D492" s="56" t="s">
        <v>373</v>
      </c>
      <c r="E492" s="133"/>
      <c r="F492" s="13"/>
      <c r="H492" s="16"/>
    </row>
    <row r="493" spans="1:8">
      <c r="A493" s="272"/>
      <c r="B493" s="245"/>
      <c r="C493" s="132">
        <v>1</v>
      </c>
      <c r="D493" s="238" t="s">
        <v>81</v>
      </c>
      <c r="E493" s="242"/>
      <c r="H493" s="16"/>
    </row>
    <row r="494" spans="1:8">
      <c r="A494" s="272"/>
      <c r="B494" s="245"/>
      <c r="C494" s="132">
        <v>0</v>
      </c>
      <c r="D494" s="239"/>
      <c r="E494" s="243"/>
      <c r="H494" s="16"/>
    </row>
    <row r="495" spans="1:8" ht="111.75" customHeight="1">
      <c r="A495" s="272"/>
      <c r="B495" s="245"/>
      <c r="C495" s="281" t="s">
        <v>374</v>
      </c>
      <c r="D495" s="309"/>
      <c r="E495" s="60">
        <v>3</v>
      </c>
      <c r="F495" s="15" t="str">
        <f>IF(OR(E495&lt;2,AND(E495&gt;2,E495&lt;4),E495&gt;4),"Salah isi","judge")</f>
        <v>Salah isi</v>
      </c>
      <c r="H495" s="16"/>
    </row>
    <row r="496" spans="1:8" ht="43.9" customHeight="1">
      <c r="A496" s="272"/>
      <c r="B496" s="245"/>
      <c r="C496" s="55">
        <v>4</v>
      </c>
      <c r="D496" s="56" t="s">
        <v>375</v>
      </c>
      <c r="E496" s="57"/>
      <c r="F496" s="13"/>
      <c r="H496" s="16"/>
    </row>
    <row r="497" spans="1:8">
      <c r="A497" s="272"/>
      <c r="B497" s="245"/>
      <c r="C497" s="55">
        <v>3</v>
      </c>
      <c r="D497" s="56" t="s">
        <v>372</v>
      </c>
      <c r="E497" s="57"/>
      <c r="F497" s="13"/>
      <c r="H497" s="16"/>
    </row>
    <row r="498" spans="1:8" ht="43.9" customHeight="1">
      <c r="A498" s="272"/>
      <c r="B498" s="245"/>
      <c r="C498" s="55">
        <v>2</v>
      </c>
      <c r="D498" s="56" t="s">
        <v>376</v>
      </c>
      <c r="E498" s="57"/>
      <c r="F498" s="13"/>
      <c r="H498" s="16"/>
    </row>
    <row r="499" spans="1:8">
      <c r="A499" s="272"/>
      <c r="B499" s="245"/>
      <c r="C499" s="55">
        <v>1</v>
      </c>
      <c r="D499" s="238" t="s">
        <v>81</v>
      </c>
      <c r="E499" s="240"/>
      <c r="H499" s="16"/>
    </row>
    <row r="500" spans="1:8">
      <c r="A500" s="272"/>
      <c r="B500" s="245"/>
      <c r="C500" s="55">
        <v>0</v>
      </c>
      <c r="D500" s="239"/>
      <c r="E500" s="241"/>
      <c r="H500" s="16"/>
    </row>
    <row r="501" spans="1:8" ht="55.5" customHeight="1">
      <c r="A501" s="272"/>
      <c r="B501" s="245"/>
      <c r="C501" s="281" t="s">
        <v>377</v>
      </c>
      <c r="D501" s="309"/>
      <c r="E501" s="60">
        <v>2</v>
      </c>
      <c r="F501" s="15" t="str">
        <f>IF(OR(ISBLANK(E501),E501&gt;4),"Salah isi","judge")</f>
        <v>judge</v>
      </c>
      <c r="H501" s="16"/>
    </row>
    <row r="502" spans="1:8" ht="45" customHeight="1">
      <c r="A502" s="272"/>
      <c r="B502" s="245"/>
      <c r="C502" s="55">
        <v>4</v>
      </c>
      <c r="D502" s="56" t="s">
        <v>378</v>
      </c>
      <c r="E502" s="57"/>
      <c r="F502" s="13"/>
      <c r="H502" s="16"/>
    </row>
    <row r="503" spans="1:8" ht="45" customHeight="1">
      <c r="A503" s="272"/>
      <c r="B503" s="245"/>
      <c r="C503" s="55">
        <v>3</v>
      </c>
      <c r="D503" s="56" t="s">
        <v>379</v>
      </c>
      <c r="E503" s="57"/>
      <c r="F503" s="13"/>
      <c r="H503" s="16"/>
    </row>
    <row r="504" spans="1:8" ht="45" customHeight="1">
      <c r="A504" s="272"/>
      <c r="B504" s="245"/>
      <c r="C504" s="55">
        <v>2</v>
      </c>
      <c r="D504" s="56" t="s">
        <v>380</v>
      </c>
      <c r="E504" s="57"/>
      <c r="F504" s="13"/>
      <c r="H504" s="16"/>
    </row>
    <row r="505" spans="1:8" ht="43.9" customHeight="1">
      <c r="A505" s="272"/>
      <c r="B505" s="245"/>
      <c r="C505" s="55">
        <v>1</v>
      </c>
      <c r="D505" s="56" t="s">
        <v>381</v>
      </c>
      <c r="E505" s="57"/>
      <c r="H505" s="16"/>
    </row>
    <row r="506" spans="1:8" ht="30" customHeight="1">
      <c r="A506" s="272"/>
      <c r="B506" s="245"/>
      <c r="C506" s="55">
        <v>0</v>
      </c>
      <c r="D506" s="56" t="s">
        <v>382</v>
      </c>
      <c r="E506" s="58"/>
      <c r="H506" s="16"/>
    </row>
    <row r="507" spans="1:8" ht="15" customHeight="1">
      <c r="A507" s="273"/>
      <c r="B507" s="246"/>
      <c r="C507" s="279" t="s">
        <v>383</v>
      </c>
      <c r="D507" s="304"/>
      <c r="E507" s="48">
        <f>IF(OR(F477="Salah isi",F489="Salah isi",F501="Salah isi",F483="Salah Isi",F495="Salah Isi"),0,(E477+2*E483+2*E489+2*E495+2*E501)/9)</f>
        <v>0</v>
      </c>
      <c r="H507" s="16"/>
    </row>
    <row r="508" spans="1:8" ht="15" customHeight="1">
      <c r="A508" s="49"/>
      <c r="B508" s="49"/>
      <c r="C508" s="50"/>
      <c r="D508" s="50"/>
      <c r="E508" s="51"/>
      <c r="H508" s="16"/>
    </row>
    <row r="509" spans="1:8" ht="53.65" customHeight="1">
      <c r="A509" s="271">
        <v>42</v>
      </c>
      <c r="B509" s="265"/>
      <c r="C509" s="294" t="s">
        <v>384</v>
      </c>
      <c r="D509" s="294"/>
      <c r="E509" s="123"/>
      <c r="H509" s="54"/>
    </row>
    <row r="510" spans="1:8" ht="33.6" customHeight="1">
      <c r="A510" s="272"/>
      <c r="B510" s="266"/>
      <c r="C510" s="281" t="s">
        <v>385</v>
      </c>
      <c r="D510" s="282"/>
      <c r="E510" s="65">
        <v>39</v>
      </c>
      <c r="F510" s="15" t="s">
        <v>95</v>
      </c>
      <c r="G510" s="66"/>
      <c r="H510" s="16"/>
    </row>
    <row r="511" spans="1:8" ht="19.350000000000001" customHeight="1">
      <c r="A511" s="272"/>
      <c r="B511" s="266"/>
      <c r="C511" s="281" t="s">
        <v>386</v>
      </c>
      <c r="D511" s="282"/>
      <c r="E511" s="65">
        <v>170</v>
      </c>
      <c r="F511" s="15" t="s">
        <v>95</v>
      </c>
      <c r="G511" s="66"/>
      <c r="H511" s="16"/>
    </row>
    <row r="512" spans="1:8" ht="15.75" customHeight="1">
      <c r="A512" s="272"/>
      <c r="B512" s="266"/>
      <c r="C512" s="281" t="s">
        <v>387</v>
      </c>
      <c r="D512" s="282"/>
      <c r="E512" s="134">
        <f>IF(E511&gt;0,E510/E511,0)</f>
        <v>0.22941176470588234</v>
      </c>
      <c r="G512" s="92"/>
      <c r="H512" s="16"/>
    </row>
    <row r="513" spans="1:8" ht="14.65" hidden="1" customHeight="1">
      <c r="A513" s="272"/>
      <c r="B513" s="266"/>
      <c r="C513" s="75" t="s">
        <v>153</v>
      </c>
      <c r="D513" s="108">
        <v>0.2</v>
      </c>
      <c r="E513" s="130"/>
      <c r="G513" s="92"/>
      <c r="H513" s="16"/>
    </row>
    <row r="514" spans="1:8" ht="15" customHeight="1">
      <c r="A514" s="273"/>
      <c r="B514" s="267"/>
      <c r="C514" s="283" t="s">
        <v>35</v>
      </c>
      <c r="D514" s="284"/>
      <c r="E514" s="48">
        <f>IF(E512&gt;=D513,4,4/D513*E512)</f>
        <v>4</v>
      </c>
      <c r="H514" s="16"/>
    </row>
    <row r="515" spans="1:8" ht="15" customHeight="1">
      <c r="C515" s="8"/>
      <c r="D515" s="8"/>
      <c r="H515" s="8"/>
    </row>
    <row r="516" spans="1:8" ht="64.5" customHeight="1">
      <c r="A516" s="271">
        <v>43</v>
      </c>
      <c r="B516" s="244" t="s">
        <v>388</v>
      </c>
      <c r="C516" s="277" t="s">
        <v>389</v>
      </c>
      <c r="D516" s="278"/>
      <c r="E516" s="42">
        <v>3</v>
      </c>
      <c r="F516" s="15" t="str">
        <f>IF(OR(ISBLANK(E516),E516&gt;4),"Salah isi","judge")</f>
        <v>judge</v>
      </c>
      <c r="H516" s="54" t="s">
        <v>390</v>
      </c>
    </row>
    <row r="517" spans="1:8" ht="72.95" customHeight="1">
      <c r="A517" s="272"/>
      <c r="B517" s="245"/>
      <c r="C517" s="44">
        <v>4</v>
      </c>
      <c r="D517" s="45" t="s">
        <v>391</v>
      </c>
      <c r="E517" s="46"/>
      <c r="H517" s="16"/>
    </row>
    <row r="518" spans="1:8" ht="58.15" customHeight="1">
      <c r="A518" s="272"/>
      <c r="B518" s="245"/>
      <c r="C518" s="44">
        <v>3</v>
      </c>
      <c r="D518" s="45" t="s">
        <v>392</v>
      </c>
      <c r="E518" s="46"/>
      <c r="H518" s="16"/>
    </row>
    <row r="519" spans="1:8" ht="58.15" customHeight="1">
      <c r="A519" s="272"/>
      <c r="B519" s="245"/>
      <c r="C519" s="44">
        <v>2</v>
      </c>
      <c r="D519" s="45" t="s">
        <v>393</v>
      </c>
      <c r="E519" s="46"/>
      <c r="H519" s="16"/>
    </row>
    <row r="520" spans="1:8" ht="58.15" customHeight="1">
      <c r="A520" s="272"/>
      <c r="B520" s="245"/>
      <c r="C520" s="44">
        <v>1</v>
      </c>
      <c r="D520" s="45" t="s">
        <v>394</v>
      </c>
      <c r="E520" s="46"/>
      <c r="H520" s="16"/>
    </row>
    <row r="521" spans="1:8" ht="43.9" customHeight="1">
      <c r="A521" s="272"/>
      <c r="B521" s="245"/>
      <c r="C521" s="44">
        <v>0</v>
      </c>
      <c r="D521" s="45" t="s">
        <v>395</v>
      </c>
      <c r="E521" s="47"/>
      <c r="H521" s="16"/>
    </row>
    <row r="522" spans="1:8" ht="15" customHeight="1">
      <c r="A522" s="273"/>
      <c r="B522" s="246"/>
      <c r="C522" s="279" t="s">
        <v>35</v>
      </c>
      <c r="D522" s="280"/>
      <c r="E522" s="48">
        <f>IF(F516="Salah isi",0,E516)</f>
        <v>3</v>
      </c>
      <c r="H522" s="16"/>
    </row>
    <row r="523" spans="1:8" ht="15" customHeight="1">
      <c r="A523" s="49"/>
      <c r="B523" s="49"/>
      <c r="C523" s="50"/>
      <c r="D523" s="50"/>
      <c r="E523" s="51"/>
      <c r="H523" s="16"/>
    </row>
    <row r="524" spans="1:8" ht="78.75" customHeight="1">
      <c r="A524" s="271">
        <v>44</v>
      </c>
      <c r="B524" s="244" t="s">
        <v>396</v>
      </c>
      <c r="C524" s="277" t="s">
        <v>397</v>
      </c>
      <c r="D524" s="305"/>
      <c r="E524" s="42">
        <v>3</v>
      </c>
      <c r="F524" s="15" t="str">
        <f>IF(OR(ISBLANK(E524),E524&gt;4),"Salah isi","judge")</f>
        <v>judge</v>
      </c>
      <c r="H524" s="54"/>
    </row>
    <row r="525" spans="1:8" ht="43.9" customHeight="1">
      <c r="A525" s="272"/>
      <c r="B525" s="245"/>
      <c r="C525" s="55">
        <v>4</v>
      </c>
      <c r="D525" s="131" t="s">
        <v>398</v>
      </c>
      <c r="E525" s="57"/>
      <c r="H525" s="16"/>
    </row>
    <row r="526" spans="1:8" ht="43.9" customHeight="1">
      <c r="A526" s="272"/>
      <c r="B526" s="245"/>
      <c r="C526" s="55">
        <v>3</v>
      </c>
      <c r="D526" s="131" t="s">
        <v>399</v>
      </c>
      <c r="E526" s="57"/>
      <c r="H526" s="16"/>
    </row>
    <row r="527" spans="1:8" ht="29.1" customHeight="1">
      <c r="A527" s="272"/>
      <c r="B527" s="245"/>
      <c r="C527" s="55">
        <v>2</v>
      </c>
      <c r="D527" s="131" t="s">
        <v>400</v>
      </c>
      <c r="E527" s="57"/>
      <c r="H527" s="16"/>
    </row>
    <row r="528" spans="1:8" ht="29.1" customHeight="1">
      <c r="A528" s="272"/>
      <c r="B528" s="245"/>
      <c r="C528" s="55">
        <v>1</v>
      </c>
      <c r="D528" s="131" t="s">
        <v>401</v>
      </c>
      <c r="E528" s="57"/>
      <c r="H528" s="16"/>
    </row>
    <row r="529" spans="1:8">
      <c r="A529" s="272"/>
      <c r="B529" s="245"/>
      <c r="C529" s="55">
        <v>0</v>
      </c>
      <c r="D529" s="131" t="s">
        <v>402</v>
      </c>
      <c r="E529" s="58"/>
      <c r="H529" s="16"/>
    </row>
    <row r="530" spans="1:8" ht="97.5" customHeight="1">
      <c r="A530" s="272"/>
      <c r="B530" s="245"/>
      <c r="C530" s="281" t="s">
        <v>403</v>
      </c>
      <c r="D530" s="309"/>
      <c r="E530" s="60">
        <v>3</v>
      </c>
      <c r="F530" s="15" t="str">
        <f>IF(OR(ISBLANK(E530),E530&gt;4),"Salah isi","judge")</f>
        <v>judge</v>
      </c>
      <c r="H530" s="16"/>
    </row>
    <row r="531" spans="1:8" ht="43.9" customHeight="1">
      <c r="A531" s="272"/>
      <c r="B531" s="245"/>
      <c r="C531" s="55">
        <v>4</v>
      </c>
      <c r="D531" s="56" t="s">
        <v>404</v>
      </c>
      <c r="E531" s="57"/>
      <c r="F531" s="13"/>
      <c r="H531" s="16"/>
    </row>
    <row r="532" spans="1:8" ht="43.9" customHeight="1">
      <c r="A532" s="272"/>
      <c r="B532" s="245"/>
      <c r="C532" s="55">
        <v>3</v>
      </c>
      <c r="D532" s="56" t="s">
        <v>405</v>
      </c>
      <c r="E532" s="57"/>
      <c r="F532" s="13"/>
      <c r="H532" s="16"/>
    </row>
    <row r="533" spans="1:8" ht="43.9" customHeight="1">
      <c r="A533" s="272"/>
      <c r="B533" s="245"/>
      <c r="C533" s="55">
        <v>2</v>
      </c>
      <c r="D533" s="56" t="s">
        <v>406</v>
      </c>
      <c r="E533" s="57"/>
      <c r="F533" s="13"/>
      <c r="H533" s="16"/>
    </row>
    <row r="534" spans="1:8" ht="43.9" customHeight="1">
      <c r="A534" s="272"/>
      <c r="B534" s="245"/>
      <c r="C534" s="55">
        <v>1</v>
      </c>
      <c r="D534" s="56" t="s">
        <v>407</v>
      </c>
      <c r="E534" s="57"/>
      <c r="H534" s="16"/>
    </row>
    <row r="535" spans="1:8" ht="30" customHeight="1">
      <c r="A535" s="272"/>
      <c r="B535" s="245"/>
      <c r="C535" s="55">
        <v>0</v>
      </c>
      <c r="D535" s="56" t="s">
        <v>408</v>
      </c>
      <c r="E535" s="58"/>
      <c r="H535" s="16"/>
    </row>
    <row r="536" spans="1:8" ht="187.5" customHeight="1">
      <c r="A536" s="272"/>
      <c r="B536" s="245"/>
      <c r="C536" s="281" t="s">
        <v>409</v>
      </c>
      <c r="D536" s="309"/>
      <c r="E536" s="60">
        <v>3</v>
      </c>
      <c r="F536" s="15" t="str">
        <f>IF(OR(ISBLANK(E536),E536&gt;4),"Salah isi","judge")</f>
        <v>judge</v>
      </c>
      <c r="H536" s="16"/>
    </row>
    <row r="537" spans="1:8" ht="43.9" customHeight="1">
      <c r="A537" s="272"/>
      <c r="B537" s="245"/>
      <c r="C537" s="55">
        <v>4</v>
      </c>
      <c r="D537" s="56" t="s">
        <v>404</v>
      </c>
      <c r="E537" s="57"/>
      <c r="F537" s="13"/>
      <c r="H537" s="16"/>
    </row>
    <row r="538" spans="1:8" ht="43.9" customHeight="1">
      <c r="A538" s="272"/>
      <c r="B538" s="245"/>
      <c r="C538" s="55">
        <v>3</v>
      </c>
      <c r="D538" s="56" t="s">
        <v>405</v>
      </c>
      <c r="E538" s="57"/>
      <c r="F538" s="13"/>
      <c r="H538" s="16"/>
    </row>
    <row r="539" spans="1:8" ht="43.9" customHeight="1">
      <c r="A539" s="272"/>
      <c r="B539" s="245"/>
      <c r="C539" s="55">
        <v>2</v>
      </c>
      <c r="D539" s="56" t="s">
        <v>406</v>
      </c>
      <c r="E539" s="57"/>
      <c r="F539" s="13"/>
      <c r="H539" s="16"/>
    </row>
    <row r="540" spans="1:8" ht="43.9" customHeight="1">
      <c r="A540" s="272"/>
      <c r="B540" s="245"/>
      <c r="C540" s="55">
        <v>1</v>
      </c>
      <c r="D540" s="56" t="s">
        <v>407</v>
      </c>
      <c r="E540" s="57"/>
      <c r="H540" s="16"/>
    </row>
    <row r="541" spans="1:8" ht="30" customHeight="1">
      <c r="A541" s="272"/>
      <c r="B541" s="245"/>
      <c r="C541" s="55">
        <v>0</v>
      </c>
      <c r="D541" s="56" t="s">
        <v>408</v>
      </c>
      <c r="E541" s="58"/>
      <c r="H541" s="16"/>
    </row>
    <row r="542" spans="1:8" ht="39.75" hidden="1" customHeight="1">
      <c r="A542" s="272"/>
      <c r="B542" s="245"/>
      <c r="C542" s="290"/>
      <c r="D542" s="310"/>
      <c r="E542" s="135"/>
      <c r="H542" s="16"/>
    </row>
    <row r="543" spans="1:8" ht="14.65" hidden="1" customHeight="1">
      <c r="A543" s="272"/>
      <c r="B543" s="245"/>
      <c r="C543" s="136"/>
      <c r="D543" s="137"/>
      <c r="E543" s="138"/>
      <c r="H543" s="16"/>
    </row>
    <row r="544" spans="1:8" ht="14.65" hidden="1" customHeight="1">
      <c r="A544" s="272"/>
      <c r="B544" s="245"/>
      <c r="C544" s="136"/>
      <c r="D544" s="137"/>
      <c r="E544" s="138"/>
      <c r="H544" s="16"/>
    </row>
    <row r="545" spans="1:8" ht="14.65" hidden="1" customHeight="1">
      <c r="A545" s="272"/>
      <c r="B545" s="245"/>
      <c r="C545" s="136"/>
      <c r="D545" s="139"/>
      <c r="E545" s="140"/>
      <c r="H545" s="16"/>
    </row>
    <row r="546" spans="1:8" ht="14.65" hidden="1" customHeight="1">
      <c r="A546" s="272"/>
      <c r="B546" s="245"/>
      <c r="C546" s="136"/>
      <c r="D546" s="141"/>
      <c r="E546" s="142"/>
      <c r="H546" s="16"/>
    </row>
    <row r="547" spans="1:8" ht="14.65" hidden="1" customHeight="1">
      <c r="A547" s="272"/>
      <c r="B547" s="245"/>
      <c r="C547" s="136"/>
      <c r="D547" s="141"/>
      <c r="E547" s="142"/>
      <c r="H547" s="16"/>
    </row>
    <row r="548" spans="1:8" ht="39.75" hidden="1" customHeight="1">
      <c r="A548" s="272"/>
      <c r="B548" s="245"/>
      <c r="C548" s="290"/>
      <c r="D548" s="310"/>
      <c r="E548" s="135"/>
      <c r="H548" s="16"/>
    </row>
    <row r="549" spans="1:8" ht="14.65" hidden="1" customHeight="1">
      <c r="A549" s="272"/>
      <c r="B549" s="245"/>
      <c r="C549" s="136"/>
      <c r="D549" s="137"/>
      <c r="E549" s="138"/>
      <c r="H549" s="16"/>
    </row>
    <row r="550" spans="1:8" ht="14.65" hidden="1" customHeight="1">
      <c r="A550" s="272"/>
      <c r="B550" s="245"/>
      <c r="C550" s="136"/>
      <c r="D550" s="137"/>
      <c r="E550" s="138"/>
      <c r="F550" s="13"/>
      <c r="H550" s="16"/>
    </row>
    <row r="551" spans="1:8" ht="14.65" hidden="1" customHeight="1">
      <c r="A551" s="272"/>
      <c r="B551" s="245"/>
      <c r="C551" s="136"/>
      <c r="D551" s="137"/>
      <c r="E551" s="138"/>
      <c r="F551" s="13"/>
      <c r="H551" s="16"/>
    </row>
    <row r="552" spans="1:8" ht="14.65" hidden="1" customHeight="1">
      <c r="A552" s="272"/>
      <c r="B552" s="245"/>
      <c r="C552" s="136"/>
      <c r="D552" s="137"/>
      <c r="E552" s="138"/>
      <c r="H552" s="16"/>
    </row>
    <row r="553" spans="1:8" ht="14.65" hidden="1" customHeight="1">
      <c r="A553" s="272"/>
      <c r="B553" s="245"/>
      <c r="C553" s="136"/>
      <c r="D553" s="137"/>
      <c r="E553" s="90"/>
      <c r="H553" s="16"/>
    </row>
    <row r="554" spans="1:8" ht="15" customHeight="1">
      <c r="A554" s="273"/>
      <c r="B554" s="246"/>
      <c r="C554" s="279" t="s">
        <v>336</v>
      </c>
      <c r="D554" s="304"/>
      <c r="E554" s="48">
        <f>IF(OR(F524="Salah isi",F530="Salah isi",F536="Salah Isi"),0,(E524+2*E530+2*E536)/5)</f>
        <v>3</v>
      </c>
      <c r="H554" s="16"/>
    </row>
    <row r="555" spans="1:8" ht="15" customHeight="1">
      <c r="A555" s="49"/>
      <c r="B555" s="49"/>
      <c r="C555" s="50"/>
      <c r="D555" s="50"/>
      <c r="E555" s="51"/>
      <c r="H555" s="16"/>
    </row>
    <row r="556" spans="1:8" ht="53.65" customHeight="1">
      <c r="A556" s="271">
        <v>45</v>
      </c>
      <c r="B556" s="244" t="s">
        <v>410</v>
      </c>
      <c r="C556" s="294" t="s">
        <v>411</v>
      </c>
      <c r="D556" s="294"/>
      <c r="E556" s="123"/>
      <c r="H556" s="54"/>
    </row>
    <row r="557" spans="1:8" ht="33.6" customHeight="1">
      <c r="A557" s="272"/>
      <c r="B557" s="245"/>
      <c r="C557" s="281" t="s">
        <v>412</v>
      </c>
      <c r="D557" s="282"/>
      <c r="E557" s="65">
        <v>4</v>
      </c>
      <c r="F557" s="15" t="s">
        <v>95</v>
      </c>
      <c r="G557" s="66"/>
      <c r="H557" s="16"/>
    </row>
    <row r="558" spans="1:8" ht="30.6" hidden="1" customHeight="1">
      <c r="A558" s="272"/>
      <c r="B558" s="245"/>
      <c r="C558" s="143"/>
      <c r="D558" s="143"/>
      <c r="E558" s="144"/>
      <c r="G558" s="66"/>
      <c r="H558" s="16"/>
    </row>
    <row r="559" spans="1:8" ht="14.65" hidden="1" customHeight="1">
      <c r="A559" s="272"/>
      <c r="B559" s="245"/>
      <c r="C559" s="143"/>
      <c r="D559" s="143"/>
      <c r="E559" s="144"/>
      <c r="G559" s="66"/>
      <c r="H559" s="16"/>
    </row>
    <row r="560" spans="1:8" ht="14.65" hidden="1" customHeight="1">
      <c r="A560" s="272"/>
      <c r="B560" s="245"/>
      <c r="C560" s="69"/>
      <c r="D560" s="120"/>
      <c r="E560" s="145"/>
      <c r="G560" s="92"/>
      <c r="H560" s="16"/>
    </row>
    <row r="561" spans="1:8" ht="14.65" hidden="1" customHeight="1">
      <c r="A561" s="272"/>
      <c r="B561" s="245"/>
      <c r="C561" s="69"/>
      <c r="D561" s="120"/>
      <c r="E561" s="145"/>
      <c r="G561" s="92"/>
      <c r="H561" s="16"/>
    </row>
    <row r="562" spans="1:8" ht="15" customHeight="1">
      <c r="A562" s="273"/>
      <c r="B562" s="246"/>
      <c r="C562" s="283" t="s">
        <v>35</v>
      </c>
      <c r="D562" s="284"/>
      <c r="E562" s="48">
        <f>IF(E557&gt;3,4,IF(E557&gt;=2,3,2))</f>
        <v>4</v>
      </c>
      <c r="H562" s="16"/>
    </row>
    <row r="563" spans="1:8" ht="15" customHeight="1">
      <c r="C563" s="8"/>
      <c r="D563" s="8"/>
      <c r="H563" s="8"/>
    </row>
    <row r="564" spans="1:8" ht="65.099999999999994" customHeight="1">
      <c r="A564" s="271">
        <v>46</v>
      </c>
      <c r="B564" s="244" t="s">
        <v>413</v>
      </c>
      <c r="C564" s="277" t="s">
        <v>414</v>
      </c>
      <c r="D564" s="278"/>
      <c r="E564" s="42">
        <v>4</v>
      </c>
      <c r="F564" s="15" t="str">
        <f>IF(OR(E564&lt;1,E564&gt;4),"Salah isi","judge")</f>
        <v>judge</v>
      </c>
      <c r="H564" s="54" t="s">
        <v>415</v>
      </c>
    </row>
    <row r="565" spans="1:8">
      <c r="A565" s="272"/>
      <c r="B565" s="245"/>
      <c r="C565" s="44">
        <v>4</v>
      </c>
      <c r="D565" s="45" t="s">
        <v>416</v>
      </c>
      <c r="E565" s="46"/>
      <c r="H565" s="16"/>
    </row>
    <row r="566" spans="1:8">
      <c r="A566" s="272"/>
      <c r="B566" s="245"/>
      <c r="C566" s="44">
        <v>3</v>
      </c>
      <c r="D566" s="45" t="s">
        <v>417</v>
      </c>
      <c r="E566" s="46"/>
      <c r="H566" s="16"/>
    </row>
    <row r="567" spans="1:8" ht="29.1" customHeight="1">
      <c r="A567" s="272"/>
      <c r="B567" s="245"/>
      <c r="C567" s="44">
        <v>2</v>
      </c>
      <c r="D567" s="45" t="s">
        <v>418</v>
      </c>
      <c r="E567" s="46"/>
      <c r="H567" s="16"/>
    </row>
    <row r="568" spans="1:8" ht="29.1" customHeight="1">
      <c r="A568" s="272"/>
      <c r="B568" s="245"/>
      <c r="C568" s="44">
        <v>1</v>
      </c>
      <c r="D568" s="45" t="s">
        <v>419</v>
      </c>
      <c r="E568" s="46"/>
      <c r="H568" s="16"/>
    </row>
    <row r="569" spans="1:8">
      <c r="A569" s="272"/>
      <c r="B569" s="245"/>
      <c r="C569" s="44">
        <v>0</v>
      </c>
      <c r="D569" s="45" t="s">
        <v>74</v>
      </c>
      <c r="E569" s="47"/>
      <c r="H569" s="16"/>
    </row>
    <row r="570" spans="1:8" ht="15" customHeight="1">
      <c r="A570" s="273"/>
      <c r="B570" s="246"/>
      <c r="C570" s="279" t="s">
        <v>35</v>
      </c>
      <c r="D570" s="280"/>
      <c r="E570" s="48">
        <f>IF(F564="Salah isi",0,E564)</f>
        <v>4</v>
      </c>
      <c r="H570" s="16"/>
    </row>
    <row r="571" spans="1:8" ht="15" customHeight="1">
      <c r="A571" s="49"/>
      <c r="B571" s="49"/>
      <c r="C571" s="50"/>
      <c r="D571" s="50"/>
      <c r="E571" s="51"/>
      <c r="H571" s="16"/>
    </row>
    <row r="572" spans="1:8" ht="205.5" customHeight="1">
      <c r="A572" s="271">
        <v>47</v>
      </c>
      <c r="B572" s="244" t="s">
        <v>420</v>
      </c>
      <c r="C572" s="277" t="s">
        <v>421</v>
      </c>
      <c r="D572" s="305"/>
      <c r="E572" s="82"/>
      <c r="H572" s="54"/>
    </row>
    <row r="573" spans="1:8" ht="15.75" customHeight="1">
      <c r="A573" s="272"/>
      <c r="B573" s="245"/>
      <c r="C573" s="250" t="s">
        <v>422</v>
      </c>
      <c r="D573" s="146" t="s">
        <v>423</v>
      </c>
      <c r="E573" s="65">
        <v>0.38</v>
      </c>
      <c r="F573" s="15" t="s">
        <v>95</v>
      </c>
      <c r="H573" s="16"/>
    </row>
    <row r="574" spans="1:8" ht="15" customHeight="1">
      <c r="A574" s="272"/>
      <c r="B574" s="245"/>
      <c r="C574" s="251"/>
      <c r="D574" s="146" t="s">
        <v>424</v>
      </c>
      <c r="E574" s="65">
        <v>0.6</v>
      </c>
      <c r="F574" s="15" t="s">
        <v>95</v>
      </c>
      <c r="H574" s="16"/>
    </row>
    <row r="575" spans="1:8" ht="15" customHeight="1">
      <c r="A575" s="272"/>
      <c r="B575" s="245"/>
      <c r="C575" s="251"/>
      <c r="D575" s="146" t="s">
        <v>425</v>
      </c>
      <c r="E575" s="65">
        <v>0.02</v>
      </c>
      <c r="F575" s="15" t="s">
        <v>95</v>
      </c>
      <c r="H575" s="16"/>
    </row>
    <row r="576" spans="1:8" ht="15" customHeight="1">
      <c r="A576" s="272"/>
      <c r="B576" s="245"/>
      <c r="C576" s="251"/>
      <c r="D576" s="146" t="s">
        <v>426</v>
      </c>
      <c r="E576" s="65">
        <v>0</v>
      </c>
      <c r="F576" s="15" t="s">
        <v>95</v>
      </c>
      <c r="H576" s="16"/>
    </row>
    <row r="577" spans="1:8" ht="15" customHeight="1">
      <c r="A577" s="272"/>
      <c r="B577" s="245"/>
      <c r="C577" s="252"/>
      <c r="D577" s="147" t="s">
        <v>427</v>
      </c>
      <c r="E577" s="103">
        <f>IF((4*E573+3*E574+2*E575+E576)/4&gt;100%,0,(4*E573+3*E574+2*E575+E576)/4)</f>
        <v>0.84</v>
      </c>
      <c r="H577" s="16"/>
    </row>
    <row r="578" spans="1:8" ht="15.75" customHeight="1">
      <c r="A578" s="272"/>
      <c r="B578" s="245"/>
      <c r="C578" s="250" t="s">
        <v>428</v>
      </c>
      <c r="D578" s="146" t="s">
        <v>423</v>
      </c>
      <c r="E578" s="65">
        <v>0.38</v>
      </c>
      <c r="F578" s="15" t="s">
        <v>95</v>
      </c>
      <c r="H578" s="16"/>
    </row>
    <row r="579" spans="1:8" ht="15" customHeight="1">
      <c r="A579" s="272"/>
      <c r="B579" s="245"/>
      <c r="C579" s="251"/>
      <c r="D579" s="146" t="s">
        <v>424</v>
      </c>
      <c r="E579" s="65">
        <v>0.6</v>
      </c>
      <c r="F579" s="15" t="s">
        <v>95</v>
      </c>
      <c r="H579" s="16"/>
    </row>
    <row r="580" spans="1:8" ht="15" customHeight="1">
      <c r="A580" s="272"/>
      <c r="B580" s="245"/>
      <c r="C580" s="251"/>
      <c r="D580" s="146" t="s">
        <v>425</v>
      </c>
      <c r="E580" s="65">
        <v>0.02</v>
      </c>
      <c r="F580" s="15" t="s">
        <v>95</v>
      </c>
      <c r="H580" s="16"/>
    </row>
    <row r="581" spans="1:8" ht="15" customHeight="1">
      <c r="A581" s="272"/>
      <c r="B581" s="245"/>
      <c r="C581" s="251"/>
      <c r="D581" s="146" t="s">
        <v>426</v>
      </c>
      <c r="E581" s="65">
        <v>0</v>
      </c>
      <c r="F581" s="15" t="s">
        <v>95</v>
      </c>
      <c r="H581" s="16"/>
    </row>
    <row r="582" spans="1:8" ht="15" customHeight="1">
      <c r="A582" s="272"/>
      <c r="B582" s="245"/>
      <c r="C582" s="252"/>
      <c r="D582" s="147" t="s">
        <v>429</v>
      </c>
      <c r="E582" s="103">
        <f>IF((4*E578+3*E579+2*E580+E581)/4&gt;100%,0,(4*E578+3*E579+2*E580+E581)/4)</f>
        <v>0.84</v>
      </c>
      <c r="H582" s="16"/>
    </row>
    <row r="583" spans="1:8" ht="15.75" customHeight="1">
      <c r="A583" s="272"/>
      <c r="B583" s="245"/>
      <c r="C583" s="250" t="s">
        <v>430</v>
      </c>
      <c r="D583" s="146" t="s">
        <v>423</v>
      </c>
      <c r="E583" s="65">
        <v>0.38</v>
      </c>
      <c r="F583" s="15" t="s">
        <v>95</v>
      </c>
      <c r="H583" s="16"/>
    </row>
    <row r="584" spans="1:8" ht="15" customHeight="1">
      <c r="A584" s="272"/>
      <c r="B584" s="245"/>
      <c r="C584" s="251"/>
      <c r="D584" s="146" t="s">
        <v>424</v>
      </c>
      <c r="E584" s="65">
        <v>0.61</v>
      </c>
      <c r="F584" s="15" t="s">
        <v>95</v>
      </c>
      <c r="H584" s="16"/>
    </row>
    <row r="585" spans="1:8" ht="15" customHeight="1">
      <c r="A585" s="272"/>
      <c r="B585" s="245"/>
      <c r="C585" s="251"/>
      <c r="D585" s="146" t="s">
        <v>425</v>
      </c>
      <c r="E585" s="65">
        <v>0.01</v>
      </c>
      <c r="F585" s="15" t="s">
        <v>95</v>
      </c>
      <c r="H585" s="16"/>
    </row>
    <row r="586" spans="1:8" ht="15" customHeight="1">
      <c r="A586" s="272"/>
      <c r="B586" s="245"/>
      <c r="C586" s="251"/>
      <c r="D586" s="146" t="s">
        <v>426</v>
      </c>
      <c r="E586" s="65">
        <v>0</v>
      </c>
      <c r="F586" s="15" t="s">
        <v>95</v>
      </c>
      <c r="H586" s="16"/>
    </row>
    <row r="587" spans="1:8" ht="15" customHeight="1">
      <c r="A587" s="272"/>
      <c r="B587" s="245"/>
      <c r="C587" s="252"/>
      <c r="D587" s="147" t="s">
        <v>431</v>
      </c>
      <c r="E587" s="103">
        <f>IF((4*E583+3*E584+2*E585+E586)/4&gt;100%,0,(4*E583+3*E584+2*E585+E586)/4)</f>
        <v>0.84250000000000003</v>
      </c>
      <c r="H587" s="16"/>
    </row>
    <row r="588" spans="1:8" ht="15.75" customHeight="1">
      <c r="A588" s="272"/>
      <c r="B588" s="245"/>
      <c r="C588" s="253" t="s">
        <v>432</v>
      </c>
      <c r="D588" s="146" t="s">
        <v>423</v>
      </c>
      <c r="E588" s="65">
        <v>0.41</v>
      </c>
      <c r="F588" s="15" t="s">
        <v>95</v>
      </c>
      <c r="H588" s="16"/>
    </row>
    <row r="589" spans="1:8" ht="15" customHeight="1">
      <c r="A589" s="272"/>
      <c r="B589" s="245"/>
      <c r="C589" s="254"/>
      <c r="D589" s="146" t="s">
        <v>424</v>
      </c>
      <c r="E589" s="65">
        <v>0.57999999999999996</v>
      </c>
      <c r="F589" s="15" t="s">
        <v>95</v>
      </c>
      <c r="H589" s="16"/>
    </row>
    <row r="590" spans="1:8" ht="15" customHeight="1">
      <c r="A590" s="272"/>
      <c r="B590" s="245"/>
      <c r="C590" s="254"/>
      <c r="D590" s="146" t="s">
        <v>425</v>
      </c>
      <c r="E590" s="65">
        <v>0.01</v>
      </c>
      <c r="F590" s="15" t="s">
        <v>95</v>
      </c>
      <c r="H590" s="16"/>
    </row>
    <row r="591" spans="1:8" ht="15" customHeight="1">
      <c r="A591" s="272"/>
      <c r="B591" s="245"/>
      <c r="C591" s="254"/>
      <c r="D591" s="146" t="s">
        <v>426</v>
      </c>
      <c r="E591" s="65">
        <v>0</v>
      </c>
      <c r="F591" s="15" t="s">
        <v>95</v>
      </c>
      <c r="H591" s="16"/>
    </row>
    <row r="592" spans="1:8" ht="15" customHeight="1">
      <c r="A592" s="272"/>
      <c r="B592" s="245"/>
      <c r="C592" s="255"/>
      <c r="D592" s="147" t="s">
        <v>433</v>
      </c>
      <c r="E592" s="103">
        <f>IF((4*E588+3*E589+2*E590+E591)/4&gt;100%,0,(4*E588+3*E589+2*E590+E591)/4)</f>
        <v>0.85</v>
      </c>
      <c r="H592" s="16"/>
    </row>
    <row r="593" spans="1:8" ht="15.75" customHeight="1">
      <c r="A593" s="272"/>
      <c r="B593" s="245"/>
      <c r="C593" s="250" t="s">
        <v>434</v>
      </c>
      <c r="D593" s="146" t="s">
        <v>423</v>
      </c>
      <c r="E593" s="65">
        <v>0.32</v>
      </c>
      <c r="F593" s="15" t="s">
        <v>95</v>
      </c>
      <c r="H593" s="16"/>
    </row>
    <row r="594" spans="1:8" ht="15" customHeight="1">
      <c r="A594" s="272"/>
      <c r="B594" s="245"/>
      <c r="C594" s="251"/>
      <c r="D594" s="146" t="s">
        <v>424</v>
      </c>
      <c r="E594" s="65">
        <v>0.59</v>
      </c>
      <c r="F594" s="15" t="s">
        <v>95</v>
      </c>
      <c r="H594" s="16"/>
    </row>
    <row r="595" spans="1:8" ht="15" customHeight="1">
      <c r="A595" s="272"/>
      <c r="B595" s="245"/>
      <c r="C595" s="251"/>
      <c r="D595" s="146" t="s">
        <v>425</v>
      </c>
      <c r="E595" s="65">
        <v>7.0000000000000007E-2</v>
      </c>
      <c r="F595" s="15" t="s">
        <v>95</v>
      </c>
      <c r="H595" s="16"/>
    </row>
    <row r="596" spans="1:8" ht="15" customHeight="1">
      <c r="A596" s="272"/>
      <c r="B596" s="245"/>
      <c r="C596" s="251"/>
      <c r="D596" s="146" t="s">
        <v>426</v>
      </c>
      <c r="E596" s="65">
        <v>0.02</v>
      </c>
      <c r="F596" s="15" t="s">
        <v>95</v>
      </c>
      <c r="H596" s="16"/>
    </row>
    <row r="597" spans="1:8" ht="15" customHeight="1">
      <c r="A597" s="272"/>
      <c r="B597" s="245"/>
      <c r="C597" s="252"/>
      <c r="D597" s="147" t="s">
        <v>435</v>
      </c>
      <c r="E597" s="103">
        <f>IF((4*E593+3*E594+2*E595+E596)/4&gt;100%,0,(4*E593+3*E594+2*E595+E596)/4)</f>
        <v>0.80249999999999999</v>
      </c>
      <c r="H597" s="16"/>
    </row>
    <row r="598" spans="1:8">
      <c r="A598" s="272"/>
      <c r="B598" s="245"/>
      <c r="C598" s="306" t="s">
        <v>436</v>
      </c>
      <c r="D598" s="307"/>
      <c r="E598" s="148">
        <f>(E577+E582+E587+E592+E597)/5</f>
        <v>0.83499999999999996</v>
      </c>
      <c r="H598" s="16"/>
    </row>
    <row r="599" spans="1:8" ht="14.65" hidden="1" customHeight="1">
      <c r="A599" s="272"/>
      <c r="B599" s="245"/>
      <c r="C599" s="149" t="s">
        <v>186</v>
      </c>
      <c r="D599" s="104">
        <v>0.25</v>
      </c>
      <c r="E599" s="150"/>
      <c r="H599" s="16"/>
    </row>
    <row r="600" spans="1:8" ht="14.65" hidden="1" customHeight="1">
      <c r="A600" s="272"/>
      <c r="B600" s="245"/>
      <c r="C600" s="149" t="s">
        <v>187</v>
      </c>
      <c r="D600" s="104">
        <v>0.75</v>
      </c>
      <c r="E600" s="150"/>
      <c r="H600" s="16"/>
    </row>
    <row r="601" spans="1:8" ht="15" customHeight="1">
      <c r="A601" s="272"/>
      <c r="B601" s="245"/>
      <c r="C601" s="281" t="s">
        <v>104</v>
      </c>
      <c r="D601" s="282"/>
      <c r="E601" s="151">
        <f>IF(E598&gt;=D600,4,IF(E598&gt;=D599,4/(D600-D599)*(E598-D599),0))</f>
        <v>4</v>
      </c>
      <c r="H601" s="16"/>
    </row>
    <row r="602" spans="1:8" ht="34.35" customHeight="1">
      <c r="A602" s="272"/>
      <c r="B602" s="245"/>
      <c r="C602" s="308" t="s">
        <v>437</v>
      </c>
      <c r="D602" s="309"/>
      <c r="E602" s="60">
        <v>3</v>
      </c>
      <c r="F602" s="15" t="str">
        <f>IF(OR(ISBLANK(E602),E602&gt;4),"Salah isi","judge")</f>
        <v>judge</v>
      </c>
      <c r="H602" s="16"/>
    </row>
    <row r="603" spans="1:8" ht="43.9" customHeight="1">
      <c r="A603" s="272"/>
      <c r="B603" s="245"/>
      <c r="C603" s="55">
        <v>4</v>
      </c>
      <c r="D603" s="56" t="s">
        <v>438</v>
      </c>
      <c r="E603" s="57"/>
      <c r="F603" s="13"/>
      <c r="H603" s="16"/>
    </row>
    <row r="604" spans="1:8" ht="43.9" customHeight="1">
      <c r="A604" s="272"/>
      <c r="B604" s="245"/>
      <c r="C604" s="55">
        <v>3</v>
      </c>
      <c r="D604" s="56" t="s">
        <v>439</v>
      </c>
      <c r="E604" s="57"/>
      <c r="F604" s="13"/>
      <c r="H604" s="16"/>
    </row>
    <row r="605" spans="1:8" ht="29.1" customHeight="1">
      <c r="A605" s="272"/>
      <c r="B605" s="245"/>
      <c r="C605" s="55">
        <v>2</v>
      </c>
      <c r="D605" s="56" t="s">
        <v>440</v>
      </c>
      <c r="E605" s="57"/>
      <c r="F605" s="13"/>
      <c r="H605" s="16"/>
    </row>
    <row r="606" spans="1:8" ht="43.9" customHeight="1">
      <c r="A606" s="272"/>
      <c r="B606" s="245"/>
      <c r="C606" s="55">
        <v>1</v>
      </c>
      <c r="D606" s="56" t="s">
        <v>441</v>
      </c>
      <c r="E606" s="57"/>
      <c r="F606" s="13"/>
      <c r="H606" s="16"/>
    </row>
    <row r="607" spans="1:8" ht="29.1" customHeight="1">
      <c r="A607" s="272"/>
      <c r="B607" s="245"/>
      <c r="C607" s="55">
        <v>0</v>
      </c>
      <c r="D607" s="56" t="s">
        <v>442</v>
      </c>
      <c r="E607" s="58"/>
      <c r="F607" s="13"/>
      <c r="H607" s="16"/>
    </row>
    <row r="608" spans="1:8">
      <c r="A608" s="272"/>
      <c r="B608" s="245"/>
      <c r="C608" s="281" t="s">
        <v>114</v>
      </c>
      <c r="D608" s="282"/>
      <c r="E608" s="151">
        <f>E602</f>
        <v>3</v>
      </c>
      <c r="H608" s="16"/>
    </row>
    <row r="609" spans="1:8" ht="15" customHeight="1">
      <c r="A609" s="273"/>
      <c r="B609" s="246"/>
      <c r="C609" s="279" t="s">
        <v>75</v>
      </c>
      <c r="D609" s="304"/>
      <c r="E609" s="48">
        <f>IF(F602="Salah isi",0,(E601+2*E608)/3)</f>
        <v>3.3333333333333335</v>
      </c>
      <c r="H609" s="16"/>
    </row>
    <row r="610" spans="1:8" ht="15" customHeight="1">
      <c r="A610" s="49"/>
      <c r="B610" s="49"/>
      <c r="C610" s="50"/>
      <c r="D610" s="50"/>
      <c r="E610" s="51"/>
      <c r="H610" s="16"/>
    </row>
    <row r="611" spans="1:8" ht="160.5" customHeight="1">
      <c r="A611" s="271">
        <v>48</v>
      </c>
      <c r="B611" s="244" t="s">
        <v>443</v>
      </c>
      <c r="C611" s="277" t="s">
        <v>444</v>
      </c>
      <c r="D611" s="305"/>
      <c r="E611" s="42">
        <v>4</v>
      </c>
      <c r="F611" s="15" t="str">
        <f>IF(OR(ISBLANK(E611),E611&gt;4),"Salah isi","judge")</f>
        <v>judge</v>
      </c>
      <c r="H611" s="54"/>
    </row>
    <row r="612" spans="1:8">
      <c r="A612" s="272"/>
      <c r="B612" s="245"/>
      <c r="C612" s="55">
        <v>4</v>
      </c>
      <c r="D612" s="131" t="s">
        <v>445</v>
      </c>
      <c r="E612" s="57"/>
      <c r="H612" s="16"/>
    </row>
    <row r="613" spans="1:8" ht="29.1" customHeight="1">
      <c r="A613" s="272"/>
      <c r="B613" s="245"/>
      <c r="C613" s="55">
        <v>3</v>
      </c>
      <c r="D613" s="131" t="s">
        <v>446</v>
      </c>
      <c r="E613" s="57"/>
      <c r="H613" s="16"/>
    </row>
    <row r="614" spans="1:8" ht="29.1" customHeight="1">
      <c r="A614" s="272"/>
      <c r="B614" s="245"/>
      <c r="C614" s="55">
        <v>2</v>
      </c>
      <c r="D614" s="131" t="s">
        <v>447</v>
      </c>
      <c r="E614" s="57"/>
      <c r="H614" s="16"/>
    </row>
    <row r="615" spans="1:8" ht="29.1" customHeight="1">
      <c r="A615" s="272"/>
      <c r="B615" s="245"/>
      <c r="C615" s="55">
        <v>1</v>
      </c>
      <c r="D615" s="131" t="s">
        <v>448</v>
      </c>
      <c r="E615" s="57"/>
      <c r="H615" s="16"/>
    </row>
    <row r="616" spans="1:8">
      <c r="A616" s="272"/>
      <c r="B616" s="245"/>
      <c r="C616" s="55">
        <v>0</v>
      </c>
      <c r="D616" s="61" t="s">
        <v>449</v>
      </c>
      <c r="E616" s="58"/>
      <c r="H616" s="16"/>
    </row>
    <row r="617" spans="1:8" ht="15" customHeight="1">
      <c r="A617" s="273"/>
      <c r="B617" s="246"/>
      <c r="C617" s="279" t="s">
        <v>35</v>
      </c>
      <c r="D617" s="304"/>
      <c r="E617" s="48">
        <f>IF(F611="Salah isi",0,E611)</f>
        <v>4</v>
      </c>
      <c r="H617" s="16"/>
    </row>
    <row r="618" spans="1:8" ht="15" customHeight="1">
      <c r="A618" s="49"/>
      <c r="B618" s="49"/>
      <c r="C618" s="50"/>
      <c r="D618" s="50"/>
      <c r="E618" s="51"/>
      <c r="H618" s="16"/>
    </row>
    <row r="619" spans="1:8" ht="44.65" customHeight="1">
      <c r="A619" s="271">
        <v>49</v>
      </c>
      <c r="B619" s="244" t="s">
        <v>450</v>
      </c>
      <c r="C619" s="294" t="s">
        <v>451</v>
      </c>
      <c r="D619" s="294"/>
      <c r="E619" s="123"/>
      <c r="H619" s="54"/>
    </row>
    <row r="620" spans="1:8" ht="34.5" customHeight="1">
      <c r="A620" s="272"/>
      <c r="B620" s="245"/>
      <c r="C620" s="281" t="s">
        <v>452</v>
      </c>
      <c r="D620" s="282"/>
      <c r="E620" s="65">
        <v>3</v>
      </c>
      <c r="F620" s="15" t="s">
        <v>95</v>
      </c>
      <c r="G620" s="66"/>
      <c r="H620" s="16"/>
    </row>
    <row r="621" spans="1:8">
      <c r="A621" s="272"/>
      <c r="B621" s="245"/>
      <c r="C621" s="281" t="s">
        <v>453</v>
      </c>
      <c r="D621" s="282"/>
      <c r="E621" s="65">
        <v>23</v>
      </c>
      <c r="F621" s="15" t="s">
        <v>95</v>
      </c>
      <c r="G621" s="66"/>
      <c r="H621" s="16"/>
    </row>
    <row r="622" spans="1:8">
      <c r="A622" s="272"/>
      <c r="B622" s="245"/>
      <c r="C622" s="281" t="s">
        <v>454</v>
      </c>
      <c r="D622" s="282"/>
      <c r="E622" s="103">
        <f>IF(E621&gt;0,E620/E621,0)</f>
        <v>0.13043478260869565</v>
      </c>
      <c r="G622" s="66"/>
      <c r="H622" s="16"/>
    </row>
    <row r="623" spans="1:8" ht="14.65" hidden="1" customHeight="1">
      <c r="A623" s="272"/>
      <c r="B623" s="245"/>
      <c r="C623" s="75" t="s">
        <v>153</v>
      </c>
      <c r="D623" s="108">
        <v>0.25</v>
      </c>
      <c r="E623" s="109"/>
      <c r="G623" s="92"/>
      <c r="H623" s="16"/>
    </row>
    <row r="624" spans="1:8" ht="15" customHeight="1">
      <c r="A624" s="273"/>
      <c r="B624" s="246"/>
      <c r="C624" s="283" t="s">
        <v>35</v>
      </c>
      <c r="D624" s="284"/>
      <c r="E624" s="48">
        <f>IF(E622&gt;=D623,4,2+2/D623*E622)</f>
        <v>3.0434782608695654</v>
      </c>
      <c r="H624" s="16"/>
    </row>
    <row r="625" spans="1:8" ht="15" customHeight="1">
      <c r="C625" s="8"/>
      <c r="D625" s="8"/>
      <c r="H625" s="8"/>
    </row>
    <row r="626" spans="1:8" ht="45" hidden="1" customHeight="1">
      <c r="A626" s="274"/>
      <c r="B626" s="262"/>
      <c r="C626" s="289"/>
      <c r="D626" s="289"/>
      <c r="E626" s="152"/>
      <c r="H626" s="54"/>
    </row>
    <row r="627" spans="1:8" ht="31.5" hidden="1" customHeight="1">
      <c r="A627" s="275"/>
      <c r="B627" s="263"/>
      <c r="C627" s="290"/>
      <c r="D627" s="291"/>
      <c r="E627" s="111"/>
      <c r="G627" s="66"/>
      <c r="H627" s="16"/>
    </row>
    <row r="628" spans="1:8" ht="15" hidden="1" customHeight="1">
      <c r="A628" s="275"/>
      <c r="B628" s="263"/>
      <c r="C628" s="290"/>
      <c r="D628" s="291"/>
      <c r="E628" s="111"/>
      <c r="G628" s="66"/>
      <c r="H628" s="16"/>
    </row>
    <row r="629" spans="1:8" ht="15" hidden="1" customHeight="1">
      <c r="A629" s="275"/>
      <c r="B629" s="263"/>
      <c r="C629" s="290"/>
      <c r="D629" s="291"/>
      <c r="E629" s="112"/>
      <c r="G629" s="66"/>
      <c r="H629" s="16"/>
    </row>
    <row r="630" spans="1:8" ht="15" hidden="1" customHeight="1">
      <c r="A630" s="275"/>
      <c r="B630" s="263"/>
      <c r="C630" s="75"/>
      <c r="D630" s="108"/>
      <c r="E630" s="109"/>
      <c r="G630" s="92"/>
      <c r="H630" s="16"/>
    </row>
    <row r="631" spans="1:8" ht="15" hidden="1" customHeight="1">
      <c r="A631" s="276"/>
      <c r="B631" s="264"/>
      <c r="C631" s="292"/>
      <c r="D631" s="293"/>
      <c r="E631" s="113"/>
      <c r="H631" s="16"/>
    </row>
    <row r="632" spans="1:8" ht="15" hidden="1" customHeight="1">
      <c r="C632" s="8"/>
      <c r="D632" s="8"/>
      <c r="H632" s="8"/>
    </row>
    <row r="633" spans="1:8" ht="148.5" customHeight="1">
      <c r="A633" s="271">
        <v>50</v>
      </c>
      <c r="B633" s="244" t="s">
        <v>455</v>
      </c>
      <c r="C633" s="277" t="s">
        <v>456</v>
      </c>
      <c r="D633" s="278"/>
      <c r="E633" s="42">
        <v>3</v>
      </c>
      <c r="F633" s="15" t="str">
        <f>IF(OR(ISBLANK(E633),E633&gt;4),"Salah isi","judge")</f>
        <v>judge</v>
      </c>
      <c r="H633" s="54"/>
    </row>
    <row r="634" spans="1:8">
      <c r="A634" s="272"/>
      <c r="B634" s="245"/>
      <c r="C634" s="55">
        <v>4</v>
      </c>
      <c r="D634" s="45" t="s">
        <v>457</v>
      </c>
      <c r="E634" s="57"/>
      <c r="H634" s="16"/>
    </row>
    <row r="635" spans="1:8" ht="29.1" customHeight="1">
      <c r="A635" s="272"/>
      <c r="B635" s="245"/>
      <c r="C635" s="55">
        <v>3</v>
      </c>
      <c r="D635" s="45" t="s">
        <v>458</v>
      </c>
      <c r="E635" s="57"/>
      <c r="H635" s="16"/>
    </row>
    <row r="636" spans="1:8" ht="29.1" customHeight="1">
      <c r="A636" s="272"/>
      <c r="B636" s="245"/>
      <c r="C636" s="55">
        <v>2</v>
      </c>
      <c r="D636" s="45" t="s">
        <v>459</v>
      </c>
      <c r="E636" s="57"/>
      <c r="H636" s="16"/>
    </row>
    <row r="637" spans="1:8" ht="29.1" customHeight="1">
      <c r="A637" s="272"/>
      <c r="B637" s="245"/>
      <c r="C637" s="55">
        <v>1</v>
      </c>
      <c r="D637" s="45" t="s">
        <v>460</v>
      </c>
      <c r="E637" s="57"/>
      <c r="H637" s="16"/>
    </row>
    <row r="638" spans="1:8">
      <c r="A638" s="272"/>
      <c r="B638" s="245"/>
      <c r="C638" s="55">
        <v>0</v>
      </c>
      <c r="D638" s="45" t="s">
        <v>461</v>
      </c>
      <c r="E638" s="58"/>
      <c r="H638" s="16"/>
    </row>
    <row r="639" spans="1:8" ht="15" customHeight="1">
      <c r="A639" s="273"/>
      <c r="B639" s="246"/>
      <c r="C639" s="279" t="s">
        <v>35</v>
      </c>
      <c r="D639" s="304"/>
      <c r="E639" s="48">
        <f>IF(F633="Salah isi",0,E633)</f>
        <v>3</v>
      </c>
      <c r="H639" s="16"/>
    </row>
    <row r="640" spans="1:8" ht="15" customHeight="1">
      <c r="A640" s="49"/>
      <c r="B640" s="49"/>
      <c r="C640" s="50"/>
      <c r="D640" s="50"/>
      <c r="E640" s="51"/>
      <c r="H640" s="16"/>
    </row>
    <row r="641" spans="1:8" ht="50.1" customHeight="1">
      <c r="A641" s="271">
        <v>51</v>
      </c>
      <c r="B641" s="244" t="s">
        <v>462</v>
      </c>
      <c r="C641" s="294" t="s">
        <v>463</v>
      </c>
      <c r="D641" s="294"/>
      <c r="E641" s="123"/>
      <c r="H641" s="54"/>
    </row>
    <row r="642" spans="1:8" ht="35.65" customHeight="1">
      <c r="A642" s="272"/>
      <c r="B642" s="245"/>
      <c r="C642" s="281" t="s">
        <v>464</v>
      </c>
      <c r="D642" s="282"/>
      <c r="E642" s="65">
        <v>7</v>
      </c>
      <c r="F642" s="15" t="s">
        <v>95</v>
      </c>
      <c r="G642" s="66"/>
      <c r="H642" s="16"/>
    </row>
    <row r="643" spans="1:8" ht="15" customHeight="1">
      <c r="A643" s="272"/>
      <c r="B643" s="245"/>
      <c r="C643" s="281" t="s">
        <v>465</v>
      </c>
      <c r="D643" s="282"/>
      <c r="E643" s="65">
        <v>9</v>
      </c>
      <c r="F643" s="15" t="s">
        <v>95</v>
      </c>
      <c r="G643" s="66"/>
      <c r="H643" s="16"/>
    </row>
    <row r="644" spans="1:8" ht="15" customHeight="1">
      <c r="A644" s="272"/>
      <c r="B644" s="245"/>
      <c r="C644" s="281" t="s">
        <v>466</v>
      </c>
      <c r="D644" s="282"/>
      <c r="E644" s="103">
        <f>IF(E643&gt;0,E642/E643,0)</f>
        <v>0.77777777777777779</v>
      </c>
      <c r="G644" s="92"/>
      <c r="H644" s="16"/>
    </row>
    <row r="645" spans="1:8" ht="14.65" hidden="1" customHeight="1">
      <c r="A645" s="272"/>
      <c r="B645" s="245"/>
      <c r="C645" s="75" t="s">
        <v>153</v>
      </c>
      <c r="D645" s="108">
        <v>0.25</v>
      </c>
      <c r="E645" s="109"/>
      <c r="G645" s="92"/>
      <c r="H645" s="16"/>
    </row>
    <row r="646" spans="1:8" ht="15" customHeight="1">
      <c r="A646" s="273"/>
      <c r="B646" s="246"/>
      <c r="C646" s="283" t="s">
        <v>35</v>
      </c>
      <c r="D646" s="284"/>
      <c r="E646" s="48">
        <f>IF(E644&gt;=D645,4,2+2/D645*E644)</f>
        <v>4</v>
      </c>
      <c r="H646" s="16"/>
    </row>
    <row r="647" spans="1:8" ht="15" customHeight="1">
      <c r="C647" s="8"/>
      <c r="D647" s="8"/>
      <c r="H647" s="8"/>
    </row>
    <row r="648" spans="1:8" ht="95.1" customHeight="1">
      <c r="A648" s="271">
        <v>52</v>
      </c>
      <c r="B648" s="244" t="s">
        <v>467</v>
      </c>
      <c r="C648" s="277" t="s">
        <v>468</v>
      </c>
      <c r="D648" s="278"/>
      <c r="E648" s="42">
        <v>2</v>
      </c>
      <c r="F648" s="15" t="str">
        <f>IF(OR(ISBLANK(E648),E648&gt;4),"Salah isi","judge")</f>
        <v>judge</v>
      </c>
      <c r="H648" s="54"/>
    </row>
    <row r="649" spans="1:8">
      <c r="A649" s="272"/>
      <c r="B649" s="245"/>
      <c r="C649" s="44">
        <v>4</v>
      </c>
      <c r="D649" s="45" t="s">
        <v>469</v>
      </c>
      <c r="E649" s="46"/>
      <c r="H649" s="16"/>
    </row>
    <row r="650" spans="1:8">
      <c r="A650" s="272"/>
      <c r="B650" s="245"/>
      <c r="C650" s="44">
        <v>3</v>
      </c>
      <c r="D650" s="45" t="s">
        <v>470</v>
      </c>
      <c r="E650" s="46"/>
      <c r="H650" s="16"/>
    </row>
    <row r="651" spans="1:8">
      <c r="A651" s="272"/>
      <c r="B651" s="245"/>
      <c r="C651" s="44">
        <v>2</v>
      </c>
      <c r="D651" s="45" t="s">
        <v>471</v>
      </c>
      <c r="E651" s="46"/>
      <c r="H651" s="16"/>
    </row>
    <row r="652" spans="1:8">
      <c r="A652" s="272"/>
      <c r="B652" s="245"/>
      <c r="C652" s="44">
        <v>1</v>
      </c>
      <c r="D652" s="45" t="s">
        <v>472</v>
      </c>
      <c r="E652" s="46"/>
      <c r="H652" s="16"/>
    </row>
    <row r="653" spans="1:8">
      <c r="A653" s="272"/>
      <c r="B653" s="245"/>
      <c r="C653" s="44">
        <v>0</v>
      </c>
      <c r="D653" s="45" t="s">
        <v>473</v>
      </c>
      <c r="E653" s="47"/>
      <c r="H653" s="16"/>
    </row>
    <row r="654" spans="1:8" ht="15" customHeight="1">
      <c r="A654" s="273"/>
      <c r="B654" s="246"/>
      <c r="C654" s="279" t="s">
        <v>35</v>
      </c>
      <c r="D654" s="280"/>
      <c r="E654" s="48">
        <f>IF(F648="Salah isi",0,E648)</f>
        <v>2</v>
      </c>
      <c r="H654" s="16"/>
    </row>
    <row r="655" spans="1:8" ht="15" customHeight="1">
      <c r="A655" s="49"/>
      <c r="B655" s="49"/>
      <c r="C655" s="50"/>
      <c r="D655" s="50"/>
      <c r="E655" s="51"/>
      <c r="H655" s="16"/>
    </row>
    <row r="656" spans="1:8" ht="41.65" customHeight="1">
      <c r="A656" s="271">
        <v>53</v>
      </c>
      <c r="B656" s="244"/>
      <c r="C656" s="277" t="s">
        <v>474</v>
      </c>
      <c r="D656" s="278"/>
      <c r="E656" s="123"/>
      <c r="H656" s="54"/>
    </row>
    <row r="657" spans="1:8" ht="14.65" customHeight="1">
      <c r="A657" s="272"/>
      <c r="B657" s="245"/>
      <c r="C657" s="302" t="s">
        <v>475</v>
      </c>
      <c r="D657" s="303"/>
      <c r="E657" s="153"/>
      <c r="F657" s="15" t="s">
        <v>95</v>
      </c>
      <c r="H657" s="16"/>
    </row>
    <row r="658" spans="1:8" ht="14.25" customHeight="1">
      <c r="A658" s="272"/>
      <c r="B658" s="245"/>
      <c r="C658" s="302" t="s">
        <v>476</v>
      </c>
      <c r="D658" s="303"/>
      <c r="E658" s="153"/>
      <c r="F658" s="15" t="s">
        <v>95</v>
      </c>
      <c r="H658" s="16"/>
    </row>
    <row r="659" spans="1:8" ht="14.65" customHeight="1">
      <c r="A659" s="272"/>
      <c r="B659" s="245"/>
      <c r="C659" s="302" t="s">
        <v>477</v>
      </c>
      <c r="D659" s="303"/>
      <c r="E659" s="153"/>
      <c r="F659" s="15" t="s">
        <v>95</v>
      </c>
      <c r="H659" s="16"/>
    </row>
    <row r="660" spans="1:8" ht="14.65" customHeight="1">
      <c r="A660" s="272"/>
      <c r="B660" s="245"/>
      <c r="C660" s="302" t="s">
        <v>478</v>
      </c>
      <c r="D660" s="303"/>
      <c r="E660" s="153"/>
      <c r="F660" s="15" t="s">
        <v>95</v>
      </c>
      <c r="H660" s="16"/>
    </row>
    <row r="661" spans="1:8" ht="14.65" customHeight="1">
      <c r="A661" s="272"/>
      <c r="B661" s="245"/>
      <c r="C661" s="302" t="s">
        <v>479</v>
      </c>
      <c r="D661" s="303"/>
      <c r="E661" s="153"/>
      <c r="F661" s="15" t="s">
        <v>95</v>
      </c>
      <c r="H661" s="16"/>
    </row>
    <row r="662" spans="1:8" ht="14.65" customHeight="1">
      <c r="A662" s="272"/>
      <c r="B662" s="245"/>
      <c r="C662" s="302" t="s">
        <v>480</v>
      </c>
      <c r="D662" s="303"/>
      <c r="E662" s="153"/>
      <c r="F662" s="15" t="s">
        <v>95</v>
      </c>
      <c r="H662" s="16"/>
    </row>
    <row r="663" spans="1:8" ht="14.65" customHeight="1">
      <c r="A663" s="272"/>
      <c r="B663" s="245"/>
      <c r="C663" s="154" t="s">
        <v>481</v>
      </c>
      <c r="D663" s="155"/>
      <c r="E663" s="156">
        <f>IF(SUM(E657:E659)&gt;0,(E657*E660+E658*E661+E659*E662)/SUM(E657:E659),0)</f>
        <v>0</v>
      </c>
      <c r="H663" s="16"/>
    </row>
    <row r="664" spans="1:8" ht="14.65" hidden="1" customHeight="1">
      <c r="A664" s="272"/>
      <c r="B664" s="245"/>
      <c r="C664" s="157" t="s">
        <v>186</v>
      </c>
      <c r="D664" s="158">
        <v>2</v>
      </c>
      <c r="E664" s="159"/>
      <c r="H664" s="16"/>
    </row>
    <row r="665" spans="1:8" ht="14.65" hidden="1" customHeight="1">
      <c r="A665" s="272"/>
      <c r="B665" s="245"/>
      <c r="C665" s="157" t="s">
        <v>187</v>
      </c>
      <c r="D665" s="158">
        <v>3.25</v>
      </c>
      <c r="E665" s="159"/>
      <c r="H665" s="16"/>
    </row>
    <row r="666" spans="1:8" ht="15" customHeight="1">
      <c r="A666" s="273"/>
      <c r="B666" s="246"/>
      <c r="C666" s="279" t="s">
        <v>35</v>
      </c>
      <c r="D666" s="280"/>
      <c r="E666" s="48">
        <f>IF(E663&gt;=D665,4,IF(E663&gt;=D664,2/(D665-D664)*(E663-D664)+2,0))</f>
        <v>0</v>
      </c>
      <c r="H666" s="16"/>
    </row>
    <row r="667" spans="1:8" ht="15" customHeight="1">
      <c r="A667" s="160"/>
      <c r="B667" s="160"/>
      <c r="C667" s="8"/>
      <c r="D667" s="8"/>
      <c r="H667" s="81"/>
    </row>
    <row r="668" spans="1:8" ht="47.25" customHeight="1">
      <c r="A668" s="271">
        <v>54</v>
      </c>
      <c r="B668" s="244"/>
      <c r="C668" s="294" t="s">
        <v>482</v>
      </c>
      <c r="D668" s="294"/>
      <c r="E668" s="123"/>
      <c r="H668" s="54"/>
    </row>
    <row r="669" spans="1:8">
      <c r="A669" s="272"/>
      <c r="B669" s="245"/>
      <c r="C669" s="281" t="s">
        <v>483</v>
      </c>
      <c r="D669" s="282"/>
      <c r="E669" s="65">
        <v>1</v>
      </c>
      <c r="F669" s="15" t="s">
        <v>95</v>
      </c>
      <c r="G669" s="66"/>
      <c r="H669" s="16"/>
    </row>
    <row r="670" spans="1:8">
      <c r="A670" s="272"/>
      <c r="B670" s="245"/>
      <c r="C670" s="281" t="s">
        <v>484</v>
      </c>
      <c r="D670" s="282"/>
      <c r="E670" s="65">
        <v>3</v>
      </c>
      <c r="F670" s="15" t="s">
        <v>95</v>
      </c>
      <c r="G670" s="66"/>
      <c r="H670" s="16"/>
    </row>
    <row r="671" spans="1:8">
      <c r="A671" s="272"/>
      <c r="B671" s="245"/>
      <c r="C671" s="281" t="s">
        <v>485</v>
      </c>
      <c r="D671" s="282"/>
      <c r="E671" s="65">
        <v>8</v>
      </c>
      <c r="F671" s="15" t="s">
        <v>95</v>
      </c>
      <c r="G671" s="66"/>
      <c r="H671" s="16"/>
    </row>
    <row r="672" spans="1:8" ht="15.75" customHeight="1">
      <c r="A672" s="272"/>
      <c r="B672" s="245"/>
      <c r="C672" s="281" t="s">
        <v>202</v>
      </c>
      <c r="D672" s="282"/>
      <c r="E672" s="65">
        <v>316</v>
      </c>
      <c r="F672" s="15" t="s">
        <v>95</v>
      </c>
      <c r="G672" s="66"/>
      <c r="H672" s="16"/>
    </row>
    <row r="673" spans="1:8">
      <c r="A673" s="272"/>
      <c r="B673" s="245"/>
      <c r="C673" s="281" t="s">
        <v>486</v>
      </c>
      <c r="D673" s="282"/>
      <c r="E673" s="161">
        <f>IF(E672&gt;0,E669/E672,0)</f>
        <v>3.1645569620253164E-3</v>
      </c>
      <c r="G673" s="68"/>
      <c r="H673" s="16"/>
    </row>
    <row r="674" spans="1:8" ht="15.75" customHeight="1">
      <c r="A674" s="272"/>
      <c r="B674" s="245"/>
      <c r="C674" s="281" t="s">
        <v>487</v>
      </c>
      <c r="D674" s="282"/>
      <c r="E674" s="161">
        <f>IF(E672&gt;0,E670/E672,0)</f>
        <v>9.4936708860759497E-3</v>
      </c>
      <c r="G674" s="68"/>
      <c r="H674" s="16"/>
    </row>
    <row r="675" spans="1:8" ht="15.75" customHeight="1">
      <c r="A675" s="272"/>
      <c r="B675" s="245"/>
      <c r="C675" s="281" t="s">
        <v>488</v>
      </c>
      <c r="D675" s="282"/>
      <c r="E675" s="161">
        <f>IF(E672&gt;0,E671/E672,0)</f>
        <v>2.5316455696202531E-2</v>
      </c>
      <c r="G675" s="68"/>
      <c r="H675" s="16"/>
    </row>
    <row r="676" spans="1:8" ht="15.75" hidden="1" customHeight="1">
      <c r="A676" s="272"/>
      <c r="B676" s="245"/>
      <c r="C676" s="69" t="s">
        <v>100</v>
      </c>
      <c r="D676" s="162">
        <v>1E-3</v>
      </c>
      <c r="E676" s="70"/>
      <c r="G676" s="68"/>
      <c r="H676" s="16"/>
    </row>
    <row r="677" spans="1:8" ht="15.75" hidden="1" customHeight="1">
      <c r="A677" s="272"/>
      <c r="B677" s="245"/>
      <c r="C677" s="69" t="s">
        <v>101</v>
      </c>
      <c r="D677" s="162">
        <v>0.01</v>
      </c>
      <c r="E677" s="70"/>
      <c r="G677" s="68"/>
      <c r="H677" s="16"/>
    </row>
    <row r="678" spans="1:8" ht="15.75" hidden="1" customHeight="1">
      <c r="A678" s="272"/>
      <c r="B678" s="245"/>
      <c r="C678" s="69" t="s">
        <v>102</v>
      </c>
      <c r="D678" s="162">
        <v>0.02</v>
      </c>
      <c r="E678" s="70"/>
      <c r="G678" s="68"/>
      <c r="H678" s="16"/>
    </row>
    <row r="679" spans="1:8" ht="15.75" hidden="1" customHeight="1">
      <c r="A679" s="272"/>
      <c r="B679" s="245"/>
      <c r="C679" s="75"/>
      <c r="D679" s="76" t="s">
        <v>233</v>
      </c>
      <c r="E679" s="77" t="str">
        <f>IF(E673&gt;=D676,"YES","NO")</f>
        <v>YES</v>
      </c>
      <c r="G679" s="68"/>
      <c r="H679" s="16"/>
    </row>
    <row r="680" spans="1:8" ht="15.75" hidden="1" customHeight="1">
      <c r="A680" s="272"/>
      <c r="B680" s="245"/>
      <c r="C680" s="75"/>
      <c r="D680" s="76" t="s">
        <v>234</v>
      </c>
      <c r="E680" s="77" t="str">
        <f>IF(AND(E673&lt;D676,E674&gt;=D677),"YES","NO")</f>
        <v>NO</v>
      </c>
      <c r="G680" s="68"/>
      <c r="H680" s="16"/>
    </row>
    <row r="681" spans="1:8" ht="15.75" hidden="1" customHeight="1">
      <c r="A681" s="272"/>
      <c r="B681" s="245"/>
      <c r="C681" s="75"/>
      <c r="D681" s="76" t="s">
        <v>235</v>
      </c>
      <c r="E681" s="77" t="str">
        <f>IF(OR(AND(E673&gt;0,E673&lt;D676,E674=0),AND(E674&gt;0,E674&lt;D677,E673=0),AND(E673&gt;0,E673&lt;D676,E674&gt;0,E674&lt;D677)),"YES","NO")</f>
        <v>NO</v>
      </c>
      <c r="G681" s="68"/>
      <c r="H681" s="16"/>
    </row>
    <row r="682" spans="1:8" ht="15.75" hidden="1" customHeight="1">
      <c r="A682" s="272"/>
      <c r="B682" s="245"/>
      <c r="C682" s="75"/>
      <c r="D682" s="76" t="s">
        <v>489</v>
      </c>
      <c r="E682" s="77" t="str">
        <f>IF(AND(E673=0,E674=0,E675&gt;=D678),"YES","NO")</f>
        <v>NO</v>
      </c>
      <c r="G682" s="68"/>
      <c r="H682" s="16"/>
    </row>
    <row r="683" spans="1:8" ht="15.75" hidden="1" customHeight="1">
      <c r="A683" s="272"/>
      <c r="B683" s="245"/>
      <c r="C683" s="75"/>
      <c r="D683" s="76" t="s">
        <v>490</v>
      </c>
      <c r="E683" s="77" t="str">
        <f>IF(AND(E673=0,E674=0,E675&lt;D678),"YES","NO")</f>
        <v>NO</v>
      </c>
      <c r="G683" s="68"/>
      <c r="H683" s="16"/>
    </row>
    <row r="684" spans="1:8" ht="15" customHeight="1">
      <c r="A684" s="273"/>
      <c r="B684" s="246"/>
      <c r="C684" s="283" t="s">
        <v>35</v>
      </c>
      <c r="D684" s="284"/>
      <c r="E684" s="48">
        <f>IF(E679="YES",4,IF(E680="YES",3+E673/D676,IF(E681="YES",2+2*E673/D676+E674/D677-(E673*E674)/(D676*D677),IF(E682="YES",2,2*E675/D678))))</f>
        <v>4</v>
      </c>
      <c r="G684" s="71"/>
      <c r="H684" s="16"/>
    </row>
    <row r="685" spans="1:8" ht="15" customHeight="1">
      <c r="C685" s="8"/>
      <c r="D685" s="8"/>
      <c r="H685" s="81"/>
    </row>
    <row r="686" spans="1:8" ht="47.25" customHeight="1">
      <c r="A686" s="271">
        <v>55</v>
      </c>
      <c r="B686" s="244"/>
      <c r="C686" s="294" t="s">
        <v>491</v>
      </c>
      <c r="D686" s="294"/>
      <c r="E686" s="123"/>
      <c r="H686" s="54"/>
    </row>
    <row r="687" spans="1:8" ht="15" customHeight="1">
      <c r="A687" s="272"/>
      <c r="B687" s="245"/>
      <c r="C687" s="281" t="s">
        <v>492</v>
      </c>
      <c r="D687" s="282"/>
      <c r="E687" s="65">
        <v>0</v>
      </c>
      <c r="F687" s="15" t="s">
        <v>95</v>
      </c>
      <c r="G687" s="66"/>
      <c r="H687" s="16"/>
    </row>
    <row r="688" spans="1:8" ht="15" customHeight="1">
      <c r="A688" s="272"/>
      <c r="B688" s="245"/>
      <c r="C688" s="281" t="s">
        <v>493</v>
      </c>
      <c r="D688" s="282"/>
      <c r="E688" s="65">
        <v>0</v>
      </c>
      <c r="F688" s="15" t="s">
        <v>95</v>
      </c>
      <c r="G688" s="66"/>
      <c r="H688" s="16"/>
    </row>
    <row r="689" spans="1:8" ht="15" customHeight="1">
      <c r="A689" s="272"/>
      <c r="B689" s="245"/>
      <c r="C689" s="281" t="s">
        <v>494</v>
      </c>
      <c r="D689" s="282"/>
      <c r="E689" s="65">
        <v>2</v>
      </c>
      <c r="F689" s="15" t="s">
        <v>95</v>
      </c>
      <c r="G689" s="66"/>
      <c r="H689" s="16"/>
    </row>
    <row r="690" spans="1:8" ht="15.75" customHeight="1">
      <c r="A690" s="272"/>
      <c r="B690" s="245"/>
      <c r="C690" s="281" t="s">
        <v>202</v>
      </c>
      <c r="D690" s="282"/>
      <c r="E690" s="65">
        <v>316</v>
      </c>
      <c r="F690" s="15" t="s">
        <v>95</v>
      </c>
      <c r="G690" s="66"/>
      <c r="H690" s="16"/>
    </row>
    <row r="691" spans="1:8" ht="15" customHeight="1">
      <c r="A691" s="272"/>
      <c r="B691" s="245"/>
      <c r="C691" s="281" t="s">
        <v>486</v>
      </c>
      <c r="D691" s="282"/>
      <c r="E691" s="161">
        <f>IF(E690&gt;0,E687/E690,0)</f>
        <v>0</v>
      </c>
      <c r="G691" s="68"/>
      <c r="H691" s="16"/>
    </row>
    <row r="692" spans="1:8" ht="15.75" customHeight="1">
      <c r="A692" s="272"/>
      <c r="B692" s="245"/>
      <c r="C692" s="281" t="s">
        <v>487</v>
      </c>
      <c r="D692" s="282"/>
      <c r="E692" s="161">
        <f>IF(E690&gt;0,E688/E690,0)</f>
        <v>0</v>
      </c>
      <c r="G692" s="68"/>
      <c r="H692" s="16"/>
    </row>
    <row r="693" spans="1:8" ht="15.75" customHeight="1">
      <c r="A693" s="272"/>
      <c r="B693" s="245"/>
      <c r="C693" s="281" t="s">
        <v>488</v>
      </c>
      <c r="D693" s="282"/>
      <c r="E693" s="161">
        <f>IF(E690&gt;0,E689/E690,0)</f>
        <v>6.3291139240506328E-3</v>
      </c>
      <c r="G693" s="68"/>
      <c r="H693" s="16"/>
    </row>
    <row r="694" spans="1:8" ht="15.6" hidden="1" customHeight="1">
      <c r="A694" s="272"/>
      <c r="B694" s="245"/>
      <c r="C694" s="69" t="s">
        <v>100</v>
      </c>
      <c r="D694" s="162">
        <v>2E-3</v>
      </c>
      <c r="E694" s="70"/>
      <c r="G694" s="68"/>
      <c r="H694" s="16"/>
    </row>
    <row r="695" spans="1:8" ht="15.75" hidden="1" customHeight="1">
      <c r="A695" s="272"/>
      <c r="B695" s="245"/>
      <c r="C695" s="69" t="s">
        <v>101</v>
      </c>
      <c r="D695" s="162">
        <v>0.02</v>
      </c>
      <c r="E695" s="70"/>
      <c r="G695" s="68"/>
      <c r="H695" s="16"/>
    </row>
    <row r="696" spans="1:8" ht="15.75" hidden="1" customHeight="1">
      <c r="A696" s="272"/>
      <c r="B696" s="245"/>
      <c r="C696" s="69" t="s">
        <v>102</v>
      </c>
      <c r="D696" s="162">
        <v>0.04</v>
      </c>
      <c r="E696" s="70"/>
      <c r="G696" s="68"/>
      <c r="H696" s="16"/>
    </row>
    <row r="697" spans="1:8" ht="15.75" hidden="1" customHeight="1">
      <c r="A697" s="272"/>
      <c r="B697" s="245"/>
      <c r="C697" s="75"/>
      <c r="D697" s="76" t="s">
        <v>233</v>
      </c>
      <c r="E697" s="77" t="str">
        <f>IF(E691&gt;=D694,"YES","NO")</f>
        <v>NO</v>
      </c>
      <c r="G697" s="68"/>
      <c r="H697" s="16"/>
    </row>
    <row r="698" spans="1:8" ht="15.75" hidden="1" customHeight="1">
      <c r="A698" s="272"/>
      <c r="B698" s="245"/>
      <c r="C698" s="75"/>
      <c r="D698" s="76" t="s">
        <v>234</v>
      </c>
      <c r="E698" s="77" t="str">
        <f>IF(AND(E691&lt;D694,E692&gt;=D695),"YES","NO")</f>
        <v>NO</v>
      </c>
      <c r="G698" s="68"/>
      <c r="H698" s="16"/>
    </row>
    <row r="699" spans="1:8" ht="15.75" hidden="1" customHeight="1">
      <c r="A699" s="272"/>
      <c r="B699" s="245"/>
      <c r="C699" s="75"/>
      <c r="D699" s="76" t="s">
        <v>235</v>
      </c>
      <c r="E699" s="77" t="str">
        <f>IF(OR(AND(E691&gt;0,E691&lt;D694,E692=0),AND(E692&gt;0,E692&lt;D695,E691=0),AND(E691&gt;0,E691&lt;D694,E692&gt;0,E692&lt;D695)),"YES","NO")</f>
        <v>NO</v>
      </c>
      <c r="G699" s="68"/>
      <c r="H699" s="16"/>
    </row>
    <row r="700" spans="1:8" ht="15.75" hidden="1" customHeight="1">
      <c r="A700" s="272"/>
      <c r="B700" s="245"/>
      <c r="C700" s="75"/>
      <c r="D700" s="76" t="s">
        <v>489</v>
      </c>
      <c r="E700" s="77" t="str">
        <f>IF(AND(E691=0,E692=0,E693&gt;=D696),"YES","NO")</f>
        <v>NO</v>
      </c>
      <c r="G700" s="68"/>
      <c r="H700" s="16"/>
    </row>
    <row r="701" spans="1:8" ht="15.75" hidden="1" customHeight="1">
      <c r="A701" s="272"/>
      <c r="B701" s="245"/>
      <c r="C701" s="75"/>
      <c r="D701" s="76" t="s">
        <v>490</v>
      </c>
      <c r="E701" s="77" t="str">
        <f>IF(AND(E691=0,E692=0,E693&lt;D696),"YES","NO")</f>
        <v>YES</v>
      </c>
      <c r="G701" s="68"/>
      <c r="H701" s="16"/>
    </row>
    <row r="702" spans="1:8" ht="15" customHeight="1">
      <c r="A702" s="273"/>
      <c r="B702" s="246"/>
      <c r="C702" s="283" t="s">
        <v>35</v>
      </c>
      <c r="D702" s="284"/>
      <c r="E702" s="48">
        <f>IF(E697="YES",4,IF(E698="YES",3+E691/D694,IF(E699="YES",2+2*E691/D694+E692/D695-(E691*E692)/(D694*D695),IF(E700="YES",2,2*E693/D696))))</f>
        <v>0.31645569620253161</v>
      </c>
      <c r="G702" s="71"/>
      <c r="H702" s="16"/>
    </row>
    <row r="703" spans="1:8" ht="15" customHeight="1">
      <c r="C703" s="8"/>
      <c r="D703" s="8"/>
      <c r="H703" s="81"/>
    </row>
    <row r="704" spans="1:8" ht="40.5" customHeight="1">
      <c r="A704" s="271">
        <v>56</v>
      </c>
      <c r="B704" s="244"/>
      <c r="C704" s="277" t="s">
        <v>495</v>
      </c>
      <c r="D704" s="278"/>
      <c r="E704" s="64"/>
      <c r="H704" s="54"/>
    </row>
    <row r="705" spans="1:8" ht="15" customHeight="1">
      <c r="A705" s="272"/>
      <c r="B705" s="245"/>
      <c r="C705" s="302" t="s">
        <v>496</v>
      </c>
      <c r="D705" s="303"/>
      <c r="E705" s="153"/>
      <c r="F705" s="15" t="s">
        <v>95</v>
      </c>
      <c r="H705" s="16"/>
    </row>
    <row r="706" spans="1:8" ht="15" customHeight="1">
      <c r="A706" s="272"/>
      <c r="B706" s="245"/>
      <c r="C706" s="302" t="s">
        <v>497</v>
      </c>
      <c r="D706" s="303"/>
      <c r="E706" s="153"/>
      <c r="F706" s="15" t="s">
        <v>95</v>
      </c>
      <c r="H706" s="16"/>
    </row>
    <row r="707" spans="1:8" ht="14.65" customHeight="1">
      <c r="A707" s="272"/>
      <c r="B707" s="245"/>
      <c r="C707" s="302" t="s">
        <v>498</v>
      </c>
      <c r="D707" s="303"/>
      <c r="E707" s="153"/>
      <c r="F707" s="15" t="s">
        <v>95</v>
      </c>
      <c r="H707" s="16"/>
    </row>
    <row r="708" spans="1:8" ht="14.65" customHeight="1">
      <c r="A708" s="272"/>
      <c r="B708" s="245"/>
      <c r="C708" s="302" t="s">
        <v>499</v>
      </c>
      <c r="D708" s="303"/>
      <c r="E708" s="153"/>
      <c r="F708" s="15" t="s">
        <v>95</v>
      </c>
      <c r="H708" s="16"/>
    </row>
    <row r="709" spans="1:8" ht="14.65" customHeight="1">
      <c r="A709" s="272"/>
      <c r="B709" s="245"/>
      <c r="C709" s="302" t="s">
        <v>500</v>
      </c>
      <c r="D709" s="303"/>
      <c r="E709" s="153"/>
      <c r="F709" s="15" t="s">
        <v>95</v>
      </c>
      <c r="H709" s="16"/>
    </row>
    <row r="710" spans="1:8" ht="14.65" customHeight="1">
      <c r="A710" s="272"/>
      <c r="B710" s="245"/>
      <c r="C710" s="302" t="s">
        <v>501</v>
      </c>
      <c r="D710" s="303"/>
      <c r="E710" s="153"/>
      <c r="F710" s="15" t="s">
        <v>95</v>
      </c>
      <c r="H710" s="16"/>
    </row>
    <row r="711" spans="1:8" ht="15" customHeight="1">
      <c r="A711" s="272"/>
      <c r="B711" s="245"/>
      <c r="C711" s="302" t="s">
        <v>502</v>
      </c>
      <c r="D711" s="303"/>
      <c r="E711" s="153"/>
      <c r="F711" s="15" t="s">
        <v>95</v>
      </c>
      <c r="H711" s="16"/>
    </row>
    <row r="712" spans="1:8" ht="15.75" customHeight="1">
      <c r="A712" s="272"/>
      <c r="B712" s="245"/>
      <c r="C712" s="302" t="s">
        <v>503</v>
      </c>
      <c r="D712" s="303"/>
      <c r="E712" s="153"/>
      <c r="F712" s="15" t="s">
        <v>95</v>
      </c>
      <c r="G712" s="68"/>
      <c r="H712" s="16"/>
    </row>
    <row r="713" spans="1:8" ht="15.75" customHeight="1">
      <c r="A713" s="272"/>
      <c r="B713" s="245"/>
      <c r="C713" s="302" t="s">
        <v>504</v>
      </c>
      <c r="D713" s="303"/>
      <c r="E713" s="163">
        <f>IF(SUM(E705,E707,E709,E711)&gt;0,(E705*E706+E707*E708+E709*E710+E711*E712)/SUM(E705,E707,E709,E711),0)</f>
        <v>0</v>
      </c>
      <c r="G713" s="68"/>
      <c r="H713" s="16"/>
    </row>
    <row r="714" spans="1:8" ht="15.75" hidden="1" customHeight="1">
      <c r="A714" s="272"/>
      <c r="B714" s="245"/>
      <c r="C714" s="69" t="s">
        <v>186</v>
      </c>
      <c r="D714" s="164">
        <v>3</v>
      </c>
      <c r="E714" s="164">
        <v>3.5</v>
      </c>
      <c r="G714" s="68"/>
      <c r="H714" s="16"/>
    </row>
    <row r="715" spans="1:8" ht="15.75" hidden="1" customHeight="1">
      <c r="A715" s="272"/>
      <c r="B715" s="245"/>
      <c r="C715" s="69" t="s">
        <v>205</v>
      </c>
      <c r="D715" s="164">
        <v>4.5</v>
      </c>
      <c r="E715" s="164">
        <v>7</v>
      </c>
      <c r="G715" s="68"/>
      <c r="H715" s="16"/>
    </row>
    <row r="716" spans="1:8" ht="15" customHeight="1">
      <c r="A716" s="273"/>
      <c r="B716" s="246"/>
      <c r="C716" s="279" t="s">
        <v>35</v>
      </c>
      <c r="D716" s="304"/>
      <c r="E716" s="48">
        <f>IF(E713&gt;E715,0,IF(E713&gt;D715,-4/(E715-D715)*(E713-D715)+4,IF(E713&gt;E714,4,IF(E713&gt;D714,4/(E714-D714)*(E713-D714),0))))</f>
        <v>0</v>
      </c>
      <c r="H716" s="16"/>
    </row>
    <row r="717" spans="1:8" ht="15" customHeight="1">
      <c r="C717" s="8"/>
      <c r="D717" s="8"/>
      <c r="H717" s="81"/>
    </row>
    <row r="718" spans="1:8" ht="40.5" customHeight="1">
      <c r="A718" s="271">
        <v>57</v>
      </c>
      <c r="B718" s="244"/>
      <c r="C718" s="277" t="s">
        <v>505</v>
      </c>
      <c r="D718" s="278"/>
      <c r="E718" s="64"/>
      <c r="H718" s="54"/>
    </row>
    <row r="719" spans="1:8" ht="15" customHeight="1">
      <c r="A719" s="272"/>
      <c r="B719" s="245"/>
      <c r="C719" s="302" t="s">
        <v>506</v>
      </c>
      <c r="D719" s="303"/>
      <c r="E719" s="153"/>
      <c r="F719" s="15" t="s">
        <v>95</v>
      </c>
      <c r="H719" s="16"/>
    </row>
    <row r="720" spans="1:8" ht="15" customHeight="1">
      <c r="A720" s="272"/>
      <c r="B720" s="245"/>
      <c r="C720" s="302" t="s">
        <v>507</v>
      </c>
      <c r="D720" s="303"/>
      <c r="E720" s="153"/>
      <c r="F720" s="15" t="s">
        <v>95</v>
      </c>
      <c r="H720" s="16"/>
    </row>
    <row r="721" spans="1:8">
      <c r="A721" s="272"/>
      <c r="B721" s="245"/>
      <c r="C721" s="302" t="s">
        <v>508</v>
      </c>
      <c r="D721" s="303"/>
      <c r="E721" s="153"/>
      <c r="F721" s="15" t="s">
        <v>95</v>
      </c>
      <c r="H721" s="16"/>
    </row>
    <row r="722" spans="1:8" ht="15" customHeight="1">
      <c r="A722" s="272"/>
      <c r="B722" s="245"/>
      <c r="C722" s="302" t="s">
        <v>509</v>
      </c>
      <c r="D722" s="303"/>
      <c r="E722" s="153"/>
      <c r="F722" s="15" t="s">
        <v>95</v>
      </c>
      <c r="H722" s="16"/>
    </row>
    <row r="723" spans="1:8" ht="15" customHeight="1">
      <c r="A723" s="272"/>
      <c r="B723" s="245"/>
      <c r="C723" s="302" t="s">
        <v>510</v>
      </c>
      <c r="D723" s="303"/>
      <c r="E723" s="153"/>
      <c r="F723" s="15" t="s">
        <v>95</v>
      </c>
      <c r="H723" s="16"/>
    </row>
    <row r="724" spans="1:8" ht="14.65" customHeight="1">
      <c r="A724" s="272"/>
      <c r="B724" s="245"/>
      <c r="C724" s="302" t="s">
        <v>511</v>
      </c>
      <c r="D724" s="303"/>
      <c r="E724" s="153"/>
      <c r="F724" s="15" t="s">
        <v>95</v>
      </c>
      <c r="H724" s="16"/>
    </row>
    <row r="725" spans="1:8" ht="14.65" customHeight="1">
      <c r="A725" s="272"/>
      <c r="B725" s="245"/>
      <c r="C725" s="302" t="s">
        <v>512</v>
      </c>
      <c r="D725" s="303"/>
      <c r="E725" s="153"/>
      <c r="F725" s="15" t="s">
        <v>95</v>
      </c>
      <c r="H725" s="16"/>
    </row>
    <row r="726" spans="1:8" ht="14.65" customHeight="1">
      <c r="A726" s="272"/>
      <c r="B726" s="245"/>
      <c r="C726" s="302" t="s">
        <v>513</v>
      </c>
      <c r="D726" s="303"/>
      <c r="E726" s="153"/>
      <c r="F726" s="15" t="s">
        <v>95</v>
      </c>
      <c r="H726" s="16"/>
    </row>
    <row r="727" spans="1:8" ht="14.65" customHeight="1">
      <c r="A727" s="272"/>
      <c r="B727" s="245"/>
      <c r="C727" s="302" t="s">
        <v>514</v>
      </c>
      <c r="D727" s="303"/>
      <c r="E727" s="165">
        <f>IF(SUM(E719:E722)&gt;0,SUM(E723:E726)/SUM(E719:E722),0)</f>
        <v>0</v>
      </c>
      <c r="H727" s="16"/>
    </row>
    <row r="728" spans="1:8" ht="14.65" hidden="1" customHeight="1">
      <c r="A728" s="272"/>
      <c r="B728" s="245"/>
      <c r="C728" s="69"/>
      <c r="D728" s="166"/>
      <c r="E728" s="70"/>
      <c r="H728" s="16"/>
    </row>
    <row r="729" spans="1:8" ht="15" hidden="1" customHeight="1">
      <c r="A729" s="272"/>
      <c r="B729" s="245"/>
      <c r="C729" s="69"/>
      <c r="D729" s="166"/>
      <c r="E729" s="70"/>
      <c r="H729" s="16"/>
    </row>
    <row r="730" spans="1:8" ht="15.75" hidden="1" customHeight="1">
      <c r="A730" s="272"/>
      <c r="B730" s="245"/>
      <c r="C730" s="69" t="s">
        <v>153</v>
      </c>
      <c r="D730" s="166">
        <v>0.5</v>
      </c>
      <c r="E730" s="70"/>
      <c r="G730" s="68"/>
      <c r="H730" s="16"/>
    </row>
    <row r="731" spans="1:8" ht="15" customHeight="1">
      <c r="A731" s="273"/>
      <c r="B731" s="246"/>
      <c r="C731" s="279" t="s">
        <v>35</v>
      </c>
      <c r="D731" s="304"/>
      <c r="E731" s="48">
        <f>IF(E727&gt;=D730,4,1+3/D730*E727)</f>
        <v>1</v>
      </c>
      <c r="H731" s="16"/>
    </row>
    <row r="732" spans="1:8" ht="15" customHeight="1">
      <c r="C732" s="8"/>
      <c r="D732" s="8"/>
      <c r="H732" s="81"/>
    </row>
    <row r="733" spans="1:8" ht="40.5" customHeight="1">
      <c r="A733" s="271">
        <v>58</v>
      </c>
      <c r="B733" s="244"/>
      <c r="C733" s="277" t="s">
        <v>515</v>
      </c>
      <c r="D733" s="278"/>
      <c r="E733" s="64"/>
      <c r="H733" s="54"/>
    </row>
    <row r="734" spans="1:8" ht="15" customHeight="1">
      <c r="A734" s="272"/>
      <c r="B734" s="245"/>
      <c r="C734" s="302" t="s">
        <v>516</v>
      </c>
      <c r="D734" s="303"/>
      <c r="E734" s="153"/>
      <c r="F734" s="15" t="s">
        <v>95</v>
      </c>
      <c r="H734" s="16"/>
    </row>
    <row r="735" spans="1:8" ht="15" customHeight="1">
      <c r="A735" s="272"/>
      <c r="B735" s="245"/>
      <c r="C735" s="302" t="s">
        <v>517</v>
      </c>
      <c r="D735" s="303"/>
      <c r="E735" s="153">
        <v>0</v>
      </c>
      <c r="F735" s="15" t="s">
        <v>95</v>
      </c>
      <c r="H735" s="16"/>
    </row>
    <row r="736" spans="1:8" ht="14.65" customHeight="1">
      <c r="A736" s="272"/>
      <c r="B736" s="245"/>
      <c r="C736" s="302" t="s">
        <v>518</v>
      </c>
      <c r="D736" s="303"/>
      <c r="E736" s="153"/>
      <c r="F736" s="15" t="s">
        <v>95</v>
      </c>
      <c r="H736" s="16"/>
    </row>
    <row r="737" spans="1:8" ht="14.65" customHeight="1">
      <c r="A737" s="272"/>
      <c r="B737" s="245"/>
      <c r="C737" s="167" t="s">
        <v>519</v>
      </c>
      <c r="D737" s="168"/>
      <c r="E737" s="153"/>
      <c r="F737" s="15" t="s">
        <v>95</v>
      </c>
      <c r="H737" s="16"/>
    </row>
    <row r="738" spans="1:8" ht="15" customHeight="1">
      <c r="A738" s="272"/>
      <c r="B738" s="245"/>
      <c r="C738" s="167" t="s">
        <v>520</v>
      </c>
      <c r="D738" s="168"/>
      <c r="E738" s="153"/>
      <c r="F738" s="15" t="s">
        <v>95</v>
      </c>
      <c r="H738" s="16"/>
    </row>
    <row r="739" spans="1:8">
      <c r="A739" s="272"/>
      <c r="B739" s="245"/>
      <c r="C739" s="302" t="s">
        <v>521</v>
      </c>
      <c r="D739" s="303"/>
      <c r="E739" s="165">
        <f>IF(E734&gt;0,SUM(E735:E738)/E734,0)</f>
        <v>0</v>
      </c>
      <c r="H739" s="16"/>
    </row>
    <row r="740" spans="1:8" ht="14.65" hidden="1" customHeight="1">
      <c r="A740" s="272"/>
      <c r="B740" s="245"/>
      <c r="C740" s="69"/>
      <c r="D740" s="166"/>
      <c r="E740" s="70"/>
      <c r="H740" s="16"/>
    </row>
    <row r="741" spans="1:8" ht="15.75" hidden="1" customHeight="1">
      <c r="A741" s="272"/>
      <c r="B741" s="245"/>
      <c r="C741" s="69" t="s">
        <v>186</v>
      </c>
      <c r="D741" s="166">
        <v>0.3</v>
      </c>
      <c r="E741" s="70"/>
      <c r="G741" s="68"/>
      <c r="H741" s="16"/>
    </row>
    <row r="742" spans="1:8" ht="15.75" hidden="1" customHeight="1">
      <c r="A742" s="272"/>
      <c r="B742" s="245"/>
      <c r="C742" s="69" t="s">
        <v>187</v>
      </c>
      <c r="D742" s="166">
        <v>0.85</v>
      </c>
      <c r="E742" s="70"/>
      <c r="G742" s="68"/>
      <c r="H742" s="16"/>
    </row>
    <row r="743" spans="1:8" ht="15" customHeight="1">
      <c r="A743" s="273"/>
      <c r="B743" s="246"/>
      <c r="C743" s="279" t="s">
        <v>35</v>
      </c>
      <c r="D743" s="304"/>
      <c r="E743" s="48">
        <f>IF(E739&gt;=D742,4,IF(E739&gt;=D741,4/(D742-D741)*(E739-D741),0))</f>
        <v>0</v>
      </c>
      <c r="H743" s="16"/>
    </row>
    <row r="744" spans="1:8" ht="15" customHeight="1">
      <c r="C744" s="8"/>
      <c r="D744" s="8"/>
      <c r="H744" s="81"/>
    </row>
    <row r="745" spans="1:8" ht="120.6" customHeight="1">
      <c r="A745" s="271">
        <v>59</v>
      </c>
      <c r="B745" s="244"/>
      <c r="C745" s="277" t="s">
        <v>522</v>
      </c>
      <c r="D745" s="278"/>
      <c r="E745" s="42"/>
      <c r="F745" s="15" t="str">
        <f>IF(OR(ISBLANK(E745),E745&gt;4),"Salah isi","judge")</f>
        <v>Salah isi</v>
      </c>
      <c r="G745" s="218" t="s">
        <v>691</v>
      </c>
      <c r="H745" s="54"/>
    </row>
    <row r="746" spans="1:8">
      <c r="A746" s="272"/>
      <c r="B746" s="245"/>
      <c r="C746" s="44">
        <v>4</v>
      </c>
      <c r="D746" s="45" t="s">
        <v>523</v>
      </c>
      <c r="E746" s="46"/>
      <c r="H746" s="16"/>
    </row>
    <row r="747" spans="1:8">
      <c r="A747" s="272"/>
      <c r="B747" s="245"/>
      <c r="C747" s="44">
        <v>3</v>
      </c>
      <c r="D747" s="45" t="s">
        <v>524</v>
      </c>
      <c r="E747" s="46"/>
      <c r="H747" s="16"/>
    </row>
    <row r="748" spans="1:8">
      <c r="A748" s="272"/>
      <c r="B748" s="245"/>
      <c r="C748" s="44">
        <v>2</v>
      </c>
      <c r="D748" s="45" t="s">
        <v>525</v>
      </c>
      <c r="E748" s="46"/>
      <c r="H748" s="16"/>
    </row>
    <row r="749" spans="1:8">
      <c r="A749" s="272"/>
      <c r="B749" s="245"/>
      <c r="C749" s="44">
        <v>1</v>
      </c>
      <c r="D749" s="45" t="s">
        <v>526</v>
      </c>
      <c r="E749" s="46"/>
      <c r="H749" s="16"/>
    </row>
    <row r="750" spans="1:8">
      <c r="A750" s="272"/>
      <c r="B750" s="245"/>
      <c r="C750" s="44">
        <v>0</v>
      </c>
      <c r="D750" s="45" t="s">
        <v>527</v>
      </c>
      <c r="E750" s="47"/>
      <c r="H750" s="16"/>
    </row>
    <row r="751" spans="1:8" ht="15" customHeight="1">
      <c r="A751" s="273"/>
      <c r="B751" s="246"/>
      <c r="C751" s="279" t="s">
        <v>35</v>
      </c>
      <c r="D751" s="280"/>
      <c r="E751" s="48">
        <f>IF(F745="Salah isi",0,E745)</f>
        <v>0</v>
      </c>
      <c r="H751" s="16"/>
    </row>
    <row r="752" spans="1:8" ht="15" customHeight="1">
      <c r="A752" s="49"/>
      <c r="B752" s="49"/>
      <c r="C752" s="50"/>
      <c r="D752" s="50"/>
      <c r="E752" s="51"/>
      <c r="H752" s="16"/>
    </row>
    <row r="753" spans="1:8" ht="29.25" customHeight="1">
      <c r="A753" s="271">
        <v>60</v>
      </c>
      <c r="B753" s="259"/>
      <c r="C753" s="300" t="s">
        <v>528</v>
      </c>
      <c r="D753" s="301"/>
      <c r="E753" s="64"/>
      <c r="H753" s="54"/>
    </row>
    <row r="754" spans="1:8" ht="15" customHeight="1">
      <c r="A754" s="272"/>
      <c r="B754" s="260"/>
      <c r="C754" s="296" t="s">
        <v>529</v>
      </c>
      <c r="D754" s="297"/>
      <c r="E754" s="65"/>
      <c r="F754" s="15" t="s">
        <v>95</v>
      </c>
      <c r="H754" s="16"/>
    </row>
    <row r="755" spans="1:8" ht="15" customHeight="1">
      <c r="A755" s="272"/>
      <c r="B755" s="260"/>
      <c r="C755" s="296" t="s">
        <v>530</v>
      </c>
      <c r="D755" s="297"/>
      <c r="E755" s="65"/>
      <c r="F755" s="15" t="s">
        <v>95</v>
      </c>
      <c r="H755" s="16"/>
    </row>
    <row r="756" spans="1:8" ht="15" customHeight="1">
      <c r="A756" s="272"/>
      <c r="B756" s="260"/>
      <c r="C756" s="296" t="s">
        <v>531</v>
      </c>
      <c r="D756" s="297"/>
      <c r="E756" s="65"/>
      <c r="F756" s="15" t="s">
        <v>95</v>
      </c>
      <c r="H756" s="16"/>
    </row>
    <row r="757" spans="1:8" ht="15" customHeight="1">
      <c r="A757" s="272"/>
      <c r="B757" s="260"/>
      <c r="C757" s="296" t="s">
        <v>532</v>
      </c>
      <c r="D757" s="297"/>
      <c r="E757" s="65"/>
      <c r="F757" s="15" t="s">
        <v>95</v>
      </c>
      <c r="H757" s="16"/>
    </row>
    <row r="758" spans="1:8" ht="15" customHeight="1">
      <c r="A758" s="272"/>
      <c r="B758" s="260"/>
      <c r="C758" s="296" t="s">
        <v>533</v>
      </c>
      <c r="D758" s="297"/>
      <c r="E758" s="65"/>
      <c r="F758" s="15" t="s">
        <v>95</v>
      </c>
      <c r="H758" s="16"/>
    </row>
    <row r="759" spans="1:8" ht="15" customHeight="1">
      <c r="A759" s="272"/>
      <c r="B759" s="260"/>
      <c r="C759" s="296" t="s">
        <v>534</v>
      </c>
      <c r="D759" s="297"/>
      <c r="E759" s="65"/>
      <c r="F759" s="15" t="s">
        <v>95</v>
      </c>
      <c r="H759" s="16"/>
    </row>
    <row r="760" spans="1:8" ht="17.100000000000001" customHeight="1">
      <c r="A760" s="272"/>
      <c r="B760" s="260"/>
      <c r="C760" s="170" t="s">
        <v>535</v>
      </c>
      <c r="D760" s="169"/>
      <c r="E760" s="171">
        <f>IF(SUM(E754:E756)&gt;=300,1,2)</f>
        <v>2</v>
      </c>
      <c r="H760" s="16"/>
    </row>
    <row r="761" spans="1:8" ht="15" customHeight="1">
      <c r="A761" s="272"/>
      <c r="B761" s="260"/>
      <c r="C761" s="296" t="s">
        <v>536</v>
      </c>
      <c r="D761" s="297"/>
      <c r="E761" s="172">
        <f>IF(SUM(E754:E756)&gt;0,SUM(E757:E759)/SUM(E754:E756),0)</f>
        <v>0</v>
      </c>
      <c r="H761" s="16"/>
    </row>
    <row r="762" spans="1:8" ht="17.649999999999999" customHeight="1">
      <c r="A762" s="272"/>
      <c r="B762" s="260"/>
      <c r="C762" s="173" t="s">
        <v>537</v>
      </c>
      <c r="D762" s="174"/>
      <c r="E762" s="175">
        <f>IF(E760=1,30%,50%-SUM(E754:E756)/300*20%)</f>
        <v>0.5</v>
      </c>
      <c r="H762" s="16"/>
    </row>
    <row r="763" spans="1:8" ht="48.75" customHeight="1">
      <c r="A763" s="272"/>
      <c r="B763" s="245"/>
      <c r="C763" s="298" t="s">
        <v>538</v>
      </c>
      <c r="D763" s="298"/>
      <c r="E763" s="176"/>
      <c r="H763" s="16"/>
    </row>
    <row r="764" spans="1:8" ht="14.65" customHeight="1">
      <c r="A764" s="272"/>
      <c r="B764" s="245"/>
      <c r="C764" s="256" t="s">
        <v>539</v>
      </c>
      <c r="D764" s="177" t="s">
        <v>540</v>
      </c>
      <c r="E764" s="178"/>
      <c r="F764" s="15" t="s">
        <v>95</v>
      </c>
      <c r="H764" s="16"/>
    </row>
    <row r="765" spans="1:8" ht="15" customHeight="1">
      <c r="A765" s="272"/>
      <c r="B765" s="245"/>
      <c r="C765" s="257"/>
      <c r="D765" s="177" t="s">
        <v>541</v>
      </c>
      <c r="E765" s="178"/>
      <c r="F765" s="15" t="s">
        <v>95</v>
      </c>
      <c r="H765" s="16"/>
    </row>
    <row r="766" spans="1:8" ht="15" customHeight="1">
      <c r="A766" s="272"/>
      <c r="B766" s="245"/>
      <c r="C766" s="258"/>
      <c r="D766" s="177" t="s">
        <v>542</v>
      </c>
      <c r="E766" s="178"/>
      <c r="F766" s="15" t="s">
        <v>95</v>
      </c>
      <c r="H766" s="16"/>
    </row>
    <row r="767" spans="1:8" ht="14.65" customHeight="1">
      <c r="A767" s="272"/>
      <c r="B767" s="245"/>
      <c r="C767" s="256" t="s">
        <v>543</v>
      </c>
      <c r="D767" s="177" t="s">
        <v>540</v>
      </c>
      <c r="E767" s="178"/>
      <c r="F767" s="15" t="s">
        <v>95</v>
      </c>
      <c r="H767" s="16"/>
    </row>
    <row r="768" spans="1:8" ht="15" customHeight="1">
      <c r="A768" s="272"/>
      <c r="B768" s="245"/>
      <c r="C768" s="257"/>
      <c r="D768" s="177" t="s">
        <v>541</v>
      </c>
      <c r="E768" s="178"/>
      <c r="F768" s="15" t="s">
        <v>95</v>
      </c>
      <c r="H768" s="16"/>
    </row>
    <row r="769" spans="1:8" ht="15" customHeight="1">
      <c r="A769" s="272"/>
      <c r="B769" s="245"/>
      <c r="C769" s="258"/>
      <c r="D769" s="177" t="s">
        <v>542</v>
      </c>
      <c r="E769" s="178"/>
      <c r="F769" s="15" t="s">
        <v>95</v>
      </c>
      <c r="H769" s="16"/>
    </row>
    <row r="770" spans="1:8" ht="14.65" customHeight="1">
      <c r="A770" s="272"/>
      <c r="B770" s="245"/>
      <c r="C770" s="256" t="s">
        <v>544</v>
      </c>
      <c r="D770" s="177" t="s">
        <v>540</v>
      </c>
      <c r="E770" s="178"/>
      <c r="F770" s="15" t="s">
        <v>95</v>
      </c>
      <c r="H770" s="16"/>
    </row>
    <row r="771" spans="1:8" ht="15" customHeight="1">
      <c r="A771" s="272"/>
      <c r="B771" s="245"/>
      <c r="C771" s="257"/>
      <c r="D771" s="177" t="s">
        <v>541</v>
      </c>
      <c r="E771" s="178"/>
      <c r="F771" s="15" t="s">
        <v>95</v>
      </c>
      <c r="H771" s="16"/>
    </row>
    <row r="772" spans="1:8" ht="15" customHeight="1">
      <c r="A772" s="272"/>
      <c r="B772" s="245"/>
      <c r="C772" s="258"/>
      <c r="D772" s="177" t="s">
        <v>542</v>
      </c>
      <c r="E772" s="178">
        <v>0</v>
      </c>
      <c r="F772" s="15" t="s">
        <v>95</v>
      </c>
      <c r="H772" s="16"/>
    </row>
    <row r="773" spans="1:8" ht="14.65" hidden="1" customHeight="1">
      <c r="A773" s="272"/>
      <c r="B773" s="245"/>
      <c r="C773" s="69" t="s">
        <v>186</v>
      </c>
      <c r="D773" s="74">
        <v>3</v>
      </c>
      <c r="E773" s="70"/>
      <c r="H773" s="16"/>
    </row>
    <row r="774" spans="1:8" ht="14.65" hidden="1" customHeight="1">
      <c r="A774" s="272"/>
      <c r="B774" s="245"/>
      <c r="C774" s="69" t="s">
        <v>187</v>
      </c>
      <c r="D774" s="74">
        <v>6</v>
      </c>
      <c r="E774" s="70"/>
      <c r="H774" s="16"/>
    </row>
    <row r="775" spans="1:8" ht="14.65" hidden="1" customHeight="1">
      <c r="A775" s="272"/>
      <c r="B775" s="245"/>
      <c r="C775" s="69" t="s">
        <v>205</v>
      </c>
      <c r="D775" s="74">
        <v>12</v>
      </c>
      <c r="E775" s="70"/>
      <c r="H775" s="16"/>
    </row>
    <row r="776" spans="1:8" ht="29.1" hidden="1" customHeight="1">
      <c r="A776" s="272"/>
      <c r="B776" s="245"/>
      <c r="C776" s="93" t="s">
        <v>545</v>
      </c>
      <c r="D776" s="179">
        <f>AVERAGE(0,D773)</f>
        <v>1.5</v>
      </c>
      <c r="E776" s="95"/>
      <c r="H776" s="16"/>
    </row>
    <row r="777" spans="1:8" ht="29.1" hidden="1" customHeight="1">
      <c r="A777" s="272"/>
      <c r="B777" s="245"/>
      <c r="C777" s="93" t="s">
        <v>546</v>
      </c>
      <c r="D777" s="179">
        <f>AVERAGE(D773,D774)</f>
        <v>4.5</v>
      </c>
      <c r="E777" s="95"/>
      <c r="H777" s="16"/>
    </row>
    <row r="778" spans="1:8" ht="29.1" hidden="1" customHeight="1">
      <c r="A778" s="272"/>
      <c r="B778" s="245"/>
      <c r="C778" s="93" t="s">
        <v>547</v>
      </c>
      <c r="D778" s="179">
        <f>AVERAGE(D774,D775)</f>
        <v>9</v>
      </c>
      <c r="E778" s="95"/>
      <c r="H778" s="16"/>
    </row>
    <row r="779" spans="1:8" ht="15" customHeight="1">
      <c r="A779" s="272"/>
      <c r="B779" s="245"/>
      <c r="C779" s="281" t="s">
        <v>548</v>
      </c>
      <c r="D779" s="282"/>
      <c r="E779" s="180">
        <f>IF(SUM(E764:E772)&gt;0,((E764+E767+E770)*D776+(E765+E768+E771)*D777+(E766+E769+E772)*D778)/SUM(E764:E772),0)</f>
        <v>0</v>
      </c>
      <c r="H779" s="16"/>
    </row>
    <row r="780" spans="1:8" ht="15" customHeight="1">
      <c r="A780" s="272"/>
      <c r="B780" s="245"/>
      <c r="C780" s="281" t="s">
        <v>549</v>
      </c>
      <c r="D780" s="282"/>
      <c r="E780" s="67">
        <f>IF(E779&gt;=D774,0,IF(E779&gt;3,-4/(D774-D773)*(E779-D773)+4,4))</f>
        <v>4</v>
      </c>
      <c r="H780" s="16"/>
    </row>
    <row r="781" spans="1:8" ht="15" customHeight="1">
      <c r="A781" s="273"/>
      <c r="B781" s="246"/>
      <c r="C781" s="279" t="s">
        <v>35</v>
      </c>
      <c r="D781" s="280"/>
      <c r="E781" s="48">
        <f>IF(E761&gt;=E762,E780,E761/E762*E780)</f>
        <v>0</v>
      </c>
      <c r="H781" s="16"/>
    </row>
    <row r="782" spans="1:8" ht="15" customHeight="1">
      <c r="C782" s="8"/>
      <c r="D782" s="8"/>
      <c r="H782" s="81"/>
    </row>
    <row r="783" spans="1:8" ht="29.25" customHeight="1">
      <c r="A783" s="271">
        <v>61</v>
      </c>
      <c r="B783" s="259"/>
      <c r="C783" s="300" t="s">
        <v>550</v>
      </c>
      <c r="D783" s="301"/>
      <c r="E783" s="64"/>
      <c r="H783" s="54"/>
    </row>
    <row r="784" spans="1:8" ht="15" customHeight="1">
      <c r="A784" s="272"/>
      <c r="B784" s="260"/>
      <c r="C784" s="296" t="s">
        <v>529</v>
      </c>
      <c r="D784" s="297"/>
      <c r="E784" s="65"/>
      <c r="F784" s="15" t="s">
        <v>95</v>
      </c>
      <c r="H784" s="16"/>
    </row>
    <row r="785" spans="1:8" ht="15" customHeight="1">
      <c r="A785" s="272"/>
      <c r="B785" s="260"/>
      <c r="C785" s="296" t="s">
        <v>530</v>
      </c>
      <c r="D785" s="297"/>
      <c r="E785" s="65"/>
      <c r="F785" s="15" t="s">
        <v>95</v>
      </c>
      <c r="H785" s="16"/>
    </row>
    <row r="786" spans="1:8" ht="15" customHeight="1">
      <c r="A786" s="272"/>
      <c r="B786" s="260"/>
      <c r="C786" s="296" t="s">
        <v>531</v>
      </c>
      <c r="D786" s="297"/>
      <c r="E786" s="65"/>
      <c r="F786" s="15" t="s">
        <v>95</v>
      </c>
      <c r="H786" s="16"/>
    </row>
    <row r="787" spans="1:8" ht="15" customHeight="1">
      <c r="A787" s="272"/>
      <c r="B787" s="260"/>
      <c r="C787" s="296" t="s">
        <v>532</v>
      </c>
      <c r="D787" s="297"/>
      <c r="E787" s="65"/>
      <c r="F787" s="15" t="s">
        <v>95</v>
      </c>
      <c r="H787" s="16"/>
    </row>
    <row r="788" spans="1:8" ht="15" customHeight="1">
      <c r="A788" s="272"/>
      <c r="B788" s="260"/>
      <c r="C788" s="296" t="s">
        <v>533</v>
      </c>
      <c r="D788" s="297"/>
      <c r="E788" s="65"/>
      <c r="F788" s="15" t="s">
        <v>95</v>
      </c>
      <c r="H788" s="16"/>
    </row>
    <row r="789" spans="1:8" ht="15" customHeight="1">
      <c r="A789" s="272"/>
      <c r="B789" s="260"/>
      <c r="C789" s="296" t="s">
        <v>551</v>
      </c>
      <c r="D789" s="297"/>
      <c r="E789" s="65"/>
      <c r="F789" s="15" t="s">
        <v>95</v>
      </c>
      <c r="H789" s="16"/>
    </row>
    <row r="790" spans="1:8" ht="17.100000000000001" customHeight="1">
      <c r="A790" s="272"/>
      <c r="B790" s="260"/>
      <c r="C790" s="170" t="s">
        <v>535</v>
      </c>
      <c r="D790" s="169"/>
      <c r="E790" s="171">
        <f>IF(SUM(E784:E786)&gt;=300,1,2)</f>
        <v>2</v>
      </c>
      <c r="H790" s="16"/>
    </row>
    <row r="791" spans="1:8" ht="15" customHeight="1">
      <c r="A791" s="272"/>
      <c r="B791" s="260"/>
      <c r="C791" s="296" t="s">
        <v>536</v>
      </c>
      <c r="D791" s="297"/>
      <c r="E791" s="172">
        <f>IF(SUM(E784:E786)&gt;0,SUM(E787:E789)/SUM(E784:E786),0)</f>
        <v>0</v>
      </c>
      <c r="H791" s="16"/>
    </row>
    <row r="792" spans="1:8" ht="17.649999999999999" customHeight="1">
      <c r="A792" s="272"/>
      <c r="B792" s="260"/>
      <c r="C792" s="173" t="s">
        <v>537</v>
      </c>
      <c r="D792" s="174"/>
      <c r="E792" s="175">
        <f>IF(E790=1,30%,50%-SUM(E784:E786)/300*20%)</f>
        <v>0.5</v>
      </c>
      <c r="H792" s="16"/>
    </row>
    <row r="793" spans="1:8" ht="48.75" customHeight="1">
      <c r="A793" s="272"/>
      <c r="B793" s="245"/>
      <c r="C793" s="298" t="s">
        <v>552</v>
      </c>
      <c r="D793" s="298"/>
      <c r="E793" s="176"/>
      <c r="H793" s="16"/>
    </row>
    <row r="794" spans="1:8" ht="14.65" customHeight="1">
      <c r="A794" s="272"/>
      <c r="B794" s="245"/>
      <c r="C794" s="256" t="s">
        <v>539</v>
      </c>
      <c r="D794" s="177" t="s">
        <v>553</v>
      </c>
      <c r="E794" s="178"/>
      <c r="F794" s="15" t="s">
        <v>95</v>
      </c>
      <c r="H794" s="16"/>
    </row>
    <row r="795" spans="1:8" ht="15" customHeight="1">
      <c r="A795" s="272"/>
      <c r="B795" s="245"/>
      <c r="C795" s="257"/>
      <c r="D795" s="177" t="s">
        <v>554</v>
      </c>
      <c r="E795" s="178"/>
      <c r="F795" s="15" t="s">
        <v>95</v>
      </c>
      <c r="H795" s="16"/>
    </row>
    <row r="796" spans="1:8" ht="15" customHeight="1">
      <c r="A796" s="272"/>
      <c r="B796" s="245"/>
      <c r="C796" s="258"/>
      <c r="D796" s="177" t="s">
        <v>555</v>
      </c>
      <c r="E796" s="178"/>
      <c r="F796" s="15" t="s">
        <v>95</v>
      </c>
      <c r="H796" s="16"/>
    </row>
    <row r="797" spans="1:8" ht="14.65" customHeight="1">
      <c r="A797" s="272"/>
      <c r="B797" s="245"/>
      <c r="C797" s="256" t="s">
        <v>543</v>
      </c>
      <c r="D797" s="177" t="s">
        <v>553</v>
      </c>
      <c r="E797" s="178"/>
      <c r="F797" s="15" t="s">
        <v>95</v>
      </c>
      <c r="H797" s="16"/>
    </row>
    <row r="798" spans="1:8" ht="15" customHeight="1">
      <c r="A798" s="272"/>
      <c r="B798" s="245"/>
      <c r="C798" s="257"/>
      <c r="D798" s="177" t="s">
        <v>554</v>
      </c>
      <c r="E798" s="178"/>
      <c r="F798" s="15" t="s">
        <v>95</v>
      </c>
      <c r="H798" s="16"/>
    </row>
    <row r="799" spans="1:8" ht="15" customHeight="1">
      <c r="A799" s="272"/>
      <c r="B799" s="245"/>
      <c r="C799" s="258"/>
      <c r="D799" s="177" t="s">
        <v>555</v>
      </c>
      <c r="E799" s="178"/>
      <c r="F799" s="15" t="s">
        <v>95</v>
      </c>
      <c r="H799" s="16"/>
    </row>
    <row r="800" spans="1:8" ht="14.65" customHeight="1">
      <c r="A800" s="272"/>
      <c r="B800" s="245"/>
      <c r="C800" s="256" t="s">
        <v>544</v>
      </c>
      <c r="D800" s="177" t="s">
        <v>553</v>
      </c>
      <c r="E800" s="178"/>
      <c r="F800" s="15" t="s">
        <v>95</v>
      </c>
      <c r="H800" s="16"/>
    </row>
    <row r="801" spans="1:8" ht="15" customHeight="1">
      <c r="A801" s="272"/>
      <c r="B801" s="245"/>
      <c r="C801" s="257"/>
      <c r="D801" s="177" t="s">
        <v>554</v>
      </c>
      <c r="E801" s="178"/>
      <c r="F801" s="15" t="s">
        <v>95</v>
      </c>
      <c r="H801" s="16"/>
    </row>
    <row r="802" spans="1:8" ht="15" customHeight="1">
      <c r="A802" s="272"/>
      <c r="B802" s="245"/>
      <c r="C802" s="258"/>
      <c r="D802" s="177" t="s">
        <v>555</v>
      </c>
      <c r="E802" s="178"/>
      <c r="F802" s="15" t="s">
        <v>95</v>
      </c>
      <c r="H802" s="16"/>
    </row>
    <row r="803" spans="1:8" ht="14.65" hidden="1" customHeight="1">
      <c r="A803" s="272"/>
      <c r="B803" s="245"/>
      <c r="C803" s="69" t="s">
        <v>153</v>
      </c>
      <c r="D803" s="181">
        <v>0.6</v>
      </c>
      <c r="E803" s="70"/>
      <c r="H803" s="16"/>
    </row>
    <row r="804" spans="1:8" ht="14.65" hidden="1" customHeight="1">
      <c r="A804" s="272"/>
      <c r="B804" s="245"/>
      <c r="C804" s="93" t="s">
        <v>186</v>
      </c>
      <c r="D804" s="182">
        <v>0.3</v>
      </c>
      <c r="E804" s="95" t="s">
        <v>556</v>
      </c>
      <c r="H804" s="16"/>
    </row>
    <row r="805" spans="1:8" ht="14.65" hidden="1" customHeight="1">
      <c r="A805" s="272"/>
      <c r="B805" s="245"/>
      <c r="C805" s="93" t="s">
        <v>187</v>
      </c>
      <c r="D805" s="182">
        <v>0.7</v>
      </c>
      <c r="E805" s="95" t="s">
        <v>557</v>
      </c>
      <c r="H805" s="16"/>
    </row>
    <row r="806" spans="1:8" ht="14.65" hidden="1" customHeight="1">
      <c r="A806" s="272"/>
      <c r="B806" s="245"/>
      <c r="C806" s="93" t="s">
        <v>205</v>
      </c>
      <c r="D806" s="182">
        <v>1</v>
      </c>
      <c r="E806" s="95" t="s">
        <v>558</v>
      </c>
      <c r="H806" s="16"/>
    </row>
    <row r="807" spans="1:8" ht="15" customHeight="1">
      <c r="A807" s="272"/>
      <c r="B807" s="245"/>
      <c r="C807" s="281" t="s">
        <v>559</v>
      </c>
      <c r="D807" s="282"/>
      <c r="E807" s="103">
        <f>IF(SUM(E794:E802)&gt;0,((E794+E797+E800)*D804+(E795+E798+E801)*D805+(E796+E799+E802)*D806)/SUM(E794:E802),0)</f>
        <v>0</v>
      </c>
      <c r="H807" s="16"/>
    </row>
    <row r="808" spans="1:8" ht="15" customHeight="1">
      <c r="A808" s="272"/>
      <c r="B808" s="245"/>
      <c r="C808" s="281" t="s">
        <v>549</v>
      </c>
      <c r="D808" s="282"/>
      <c r="E808" s="67">
        <f>IF(E807&gt;=80%,4,5*E807)</f>
        <v>0</v>
      </c>
      <c r="H808" s="16"/>
    </row>
    <row r="809" spans="1:8" ht="15" customHeight="1">
      <c r="A809" s="273"/>
      <c r="B809" s="246"/>
      <c r="C809" s="279" t="s">
        <v>35</v>
      </c>
      <c r="D809" s="280"/>
      <c r="E809" s="48">
        <f>IF(E791&gt;=E792,E808,E791/E792*E808)</f>
        <v>0</v>
      </c>
      <c r="H809" s="16"/>
    </row>
    <row r="810" spans="1:8" ht="15" customHeight="1">
      <c r="C810" s="8"/>
      <c r="D810" s="8"/>
      <c r="H810" s="81"/>
    </row>
    <row r="811" spans="1:8" ht="29.25" customHeight="1">
      <c r="A811" s="271">
        <v>62</v>
      </c>
      <c r="B811" s="259"/>
      <c r="C811" s="300" t="s">
        <v>560</v>
      </c>
      <c r="D811" s="301"/>
      <c r="E811" s="64"/>
      <c r="H811" s="54"/>
    </row>
    <row r="812" spans="1:8" ht="15" customHeight="1">
      <c r="A812" s="272"/>
      <c r="B812" s="260"/>
      <c r="C812" s="296" t="s">
        <v>529</v>
      </c>
      <c r="D812" s="297"/>
      <c r="E812" s="65"/>
      <c r="F812" s="15" t="s">
        <v>95</v>
      </c>
      <c r="H812" s="16"/>
    </row>
    <row r="813" spans="1:8" ht="15" customHeight="1">
      <c r="A813" s="272"/>
      <c r="B813" s="260"/>
      <c r="C813" s="296" t="s">
        <v>530</v>
      </c>
      <c r="D813" s="297"/>
      <c r="E813" s="65"/>
      <c r="F813" s="15" t="s">
        <v>95</v>
      </c>
      <c r="H813" s="16"/>
    </row>
    <row r="814" spans="1:8" ht="15" customHeight="1">
      <c r="A814" s="272"/>
      <c r="B814" s="260"/>
      <c r="C814" s="296" t="s">
        <v>531</v>
      </c>
      <c r="D814" s="297"/>
      <c r="E814" s="65"/>
      <c r="F814" s="15" t="s">
        <v>95</v>
      </c>
      <c r="H814" s="16"/>
    </row>
    <row r="815" spans="1:8" ht="15" customHeight="1">
      <c r="A815" s="272"/>
      <c r="B815" s="260"/>
      <c r="C815" s="296" t="s">
        <v>561</v>
      </c>
      <c r="D815" s="297"/>
      <c r="E815" s="65"/>
      <c r="F815" s="15" t="s">
        <v>95</v>
      </c>
      <c r="H815" s="16"/>
    </row>
    <row r="816" spans="1:8" ht="15" customHeight="1">
      <c r="A816" s="272"/>
      <c r="B816" s="260"/>
      <c r="C816" s="296" t="s">
        <v>562</v>
      </c>
      <c r="D816" s="297"/>
      <c r="E816" s="65"/>
      <c r="F816" s="15" t="s">
        <v>95</v>
      </c>
      <c r="H816" s="16"/>
    </row>
    <row r="817" spans="1:8" ht="15" customHeight="1">
      <c r="A817" s="272"/>
      <c r="B817" s="260"/>
      <c r="C817" s="296" t="s">
        <v>563</v>
      </c>
      <c r="D817" s="297"/>
      <c r="E817" s="65"/>
      <c r="F817" s="15" t="s">
        <v>95</v>
      </c>
      <c r="H817" s="16"/>
    </row>
    <row r="818" spans="1:8" ht="17.100000000000001" customHeight="1">
      <c r="A818" s="272"/>
      <c r="B818" s="260"/>
      <c r="C818" s="170" t="s">
        <v>535</v>
      </c>
      <c r="D818" s="169"/>
      <c r="E818" s="171">
        <f>IF(SUM(E812:E814)&gt;=300,1,2)</f>
        <v>2</v>
      </c>
      <c r="H818" s="16"/>
    </row>
    <row r="819" spans="1:8" ht="15" customHeight="1">
      <c r="A819" s="272"/>
      <c r="B819" s="260"/>
      <c r="C819" s="296" t="s">
        <v>536</v>
      </c>
      <c r="D819" s="297"/>
      <c r="E819" s="172">
        <f>IF(SUM(E812:E814)&gt;0,SUM(E815:E817)/SUM(E812:E814),0)</f>
        <v>0</v>
      </c>
      <c r="H819" s="16"/>
    </row>
    <row r="820" spans="1:8" ht="17.649999999999999" customHeight="1">
      <c r="A820" s="272"/>
      <c r="B820" s="260"/>
      <c r="C820" s="173" t="s">
        <v>537</v>
      </c>
      <c r="D820" s="174"/>
      <c r="E820" s="175">
        <f>IF(E818=1,30%,50%-SUM(E812:E814)/300*20%)</f>
        <v>0.5</v>
      </c>
      <c r="H820" s="16"/>
    </row>
    <row r="821" spans="1:8" ht="48.75" customHeight="1">
      <c r="A821" s="272"/>
      <c r="B821" s="245"/>
      <c r="C821" s="298" t="s">
        <v>564</v>
      </c>
      <c r="D821" s="298"/>
      <c r="E821" s="176"/>
      <c r="H821" s="16"/>
    </row>
    <row r="822" spans="1:8" ht="30" customHeight="1">
      <c r="A822" s="272"/>
      <c r="B822" s="245"/>
      <c r="C822" s="256" t="s">
        <v>565</v>
      </c>
      <c r="D822" s="177" t="s">
        <v>566</v>
      </c>
      <c r="E822" s="178"/>
      <c r="F822" s="15" t="s">
        <v>95</v>
      </c>
      <c r="H822" s="16"/>
    </row>
    <row r="823" spans="1:8" ht="29.1" customHeight="1">
      <c r="A823" s="272"/>
      <c r="B823" s="245"/>
      <c r="C823" s="257"/>
      <c r="D823" s="177" t="s">
        <v>567</v>
      </c>
      <c r="E823" s="178"/>
      <c r="F823" s="15" t="s">
        <v>95</v>
      </c>
      <c r="H823" s="16"/>
    </row>
    <row r="824" spans="1:8" ht="29.1" customHeight="1">
      <c r="A824" s="272"/>
      <c r="B824" s="245"/>
      <c r="C824" s="258"/>
      <c r="D824" s="177" t="s">
        <v>568</v>
      </c>
      <c r="E824" s="178"/>
      <c r="F824" s="15" t="s">
        <v>95</v>
      </c>
      <c r="H824" s="16"/>
    </row>
    <row r="825" spans="1:8" ht="30" customHeight="1">
      <c r="A825" s="272"/>
      <c r="B825" s="245"/>
      <c r="C825" s="256" t="s">
        <v>569</v>
      </c>
      <c r="D825" s="177" t="s">
        <v>566</v>
      </c>
      <c r="E825" s="178"/>
      <c r="F825" s="15" t="s">
        <v>95</v>
      </c>
      <c r="H825" s="16"/>
    </row>
    <row r="826" spans="1:8" ht="29.1" customHeight="1">
      <c r="A826" s="272"/>
      <c r="B826" s="245"/>
      <c r="C826" s="257"/>
      <c r="D826" s="177" t="s">
        <v>567</v>
      </c>
      <c r="E826" s="178"/>
      <c r="F826" s="15" t="s">
        <v>95</v>
      </c>
      <c r="H826" s="16"/>
    </row>
    <row r="827" spans="1:8" ht="29.1" customHeight="1">
      <c r="A827" s="272"/>
      <c r="B827" s="245"/>
      <c r="C827" s="258"/>
      <c r="D827" s="177" t="s">
        <v>568</v>
      </c>
      <c r="E827" s="178"/>
      <c r="F827" s="15" t="s">
        <v>95</v>
      </c>
      <c r="H827" s="16"/>
    </row>
    <row r="828" spans="1:8" ht="30" customHeight="1">
      <c r="A828" s="272"/>
      <c r="B828" s="245"/>
      <c r="C828" s="256" t="s">
        <v>570</v>
      </c>
      <c r="D828" s="177" t="s">
        <v>566</v>
      </c>
      <c r="E828" s="178"/>
      <c r="F828" s="15" t="s">
        <v>95</v>
      </c>
      <c r="H828" s="16"/>
    </row>
    <row r="829" spans="1:8" ht="29.1" customHeight="1">
      <c r="A829" s="272"/>
      <c r="B829" s="245"/>
      <c r="C829" s="257"/>
      <c r="D829" s="177" t="s">
        <v>567</v>
      </c>
      <c r="E829" s="178"/>
      <c r="F829" s="15" t="s">
        <v>95</v>
      </c>
      <c r="H829" s="16"/>
    </row>
    <row r="830" spans="1:8" ht="29.1" customHeight="1">
      <c r="A830" s="272"/>
      <c r="B830" s="245"/>
      <c r="C830" s="258"/>
      <c r="D830" s="177" t="s">
        <v>568</v>
      </c>
      <c r="E830" s="178"/>
      <c r="F830" s="15" t="s">
        <v>95</v>
      </c>
      <c r="H830" s="16"/>
    </row>
    <row r="831" spans="1:8" ht="15" customHeight="1">
      <c r="A831" s="272"/>
      <c r="B831" s="245"/>
      <c r="C831" s="281" t="s">
        <v>571</v>
      </c>
      <c r="D831" s="282"/>
      <c r="E831" s="161">
        <f>IF(SUM(E822:E830)&gt;0,(E822+E825+E828)/SUM(E822:E830),0)</f>
        <v>0</v>
      </c>
      <c r="G831" s="68"/>
      <c r="H831" s="16"/>
    </row>
    <row r="832" spans="1:8" ht="15.75" customHeight="1">
      <c r="A832" s="272"/>
      <c r="B832" s="245"/>
      <c r="C832" s="281" t="s">
        <v>572</v>
      </c>
      <c r="D832" s="282"/>
      <c r="E832" s="161">
        <f>IF(SUM(E822:E830)&gt;0,(E823+E826+E829)/SUM(E822:E830),0)</f>
        <v>0</v>
      </c>
      <c r="G832" s="68"/>
      <c r="H832" s="16"/>
    </row>
    <row r="833" spans="1:8" ht="15.75" customHeight="1">
      <c r="A833" s="272"/>
      <c r="B833" s="245"/>
      <c r="C833" s="281" t="s">
        <v>573</v>
      </c>
      <c r="D833" s="282"/>
      <c r="E833" s="161">
        <f>IF(SUM(E822:E830)&gt;0,(E824+E827+E830)/SUM(E822:E830),0)</f>
        <v>0</v>
      </c>
      <c r="G833" s="68"/>
      <c r="H833" s="16"/>
    </row>
    <row r="834" spans="1:8" ht="15.75" hidden="1" customHeight="1">
      <c r="A834" s="272"/>
      <c r="B834" s="245"/>
      <c r="C834" s="69" t="s">
        <v>100</v>
      </c>
      <c r="D834" s="181">
        <v>0.05</v>
      </c>
      <c r="E834" s="70"/>
      <c r="G834" s="68"/>
      <c r="H834" s="16"/>
    </row>
    <row r="835" spans="1:8" ht="15.75" hidden="1" customHeight="1">
      <c r="A835" s="272"/>
      <c r="B835" s="245"/>
      <c r="C835" s="69" t="s">
        <v>101</v>
      </c>
      <c r="D835" s="181">
        <v>0.2</v>
      </c>
      <c r="E835" s="70"/>
      <c r="G835" s="68"/>
      <c r="H835" s="16"/>
    </row>
    <row r="836" spans="1:8" ht="15.75" hidden="1" customHeight="1">
      <c r="A836" s="272"/>
      <c r="B836" s="245"/>
      <c r="C836" s="69" t="s">
        <v>102</v>
      </c>
      <c r="D836" s="181">
        <v>0.9</v>
      </c>
      <c r="E836" s="70"/>
      <c r="G836" s="68"/>
      <c r="H836" s="16"/>
    </row>
    <row r="837" spans="1:8" ht="15.75" hidden="1" customHeight="1">
      <c r="A837" s="272"/>
      <c r="B837" s="245"/>
      <c r="C837" s="75"/>
      <c r="D837" s="76" t="s">
        <v>233</v>
      </c>
      <c r="E837" s="77" t="str">
        <f>IF(E831&gt;=D834,"YES","NO")</f>
        <v>NO</v>
      </c>
      <c r="G837" s="68"/>
      <c r="H837" s="16"/>
    </row>
    <row r="838" spans="1:8" ht="15.75" hidden="1" customHeight="1">
      <c r="A838" s="272"/>
      <c r="B838" s="245"/>
      <c r="C838" s="75"/>
      <c r="D838" s="76" t="s">
        <v>234</v>
      </c>
      <c r="E838" s="77" t="str">
        <f>IF(AND(E831&lt;D834,E832&gt;=D835),"YES","NO")</f>
        <v>NO</v>
      </c>
      <c r="G838" s="68"/>
      <c r="H838" s="16"/>
    </row>
    <row r="839" spans="1:8" ht="15.75" hidden="1" customHeight="1">
      <c r="A839" s="272"/>
      <c r="B839" s="245"/>
      <c r="C839" s="75"/>
      <c r="D839" s="76" t="s">
        <v>235</v>
      </c>
      <c r="E839" s="77" t="str">
        <f>IF(OR(AND(E831&gt;0,E831&lt;D834,E832=0),AND(E832&gt;0,E832&lt;D835,E831=0),AND(E831&gt;0,E831&lt;D834,E832&gt;0,E832&lt;D835)),"YES","NO")</f>
        <v>NO</v>
      </c>
      <c r="G839" s="68"/>
      <c r="H839" s="16"/>
    </row>
    <row r="840" spans="1:8" ht="15.75" hidden="1" customHeight="1">
      <c r="A840" s="272"/>
      <c r="B840" s="245"/>
      <c r="C840" s="75"/>
      <c r="D840" s="76" t="s">
        <v>489</v>
      </c>
      <c r="E840" s="77" t="str">
        <f>IF(AND(E831=0,E832=0,E833&gt;=D836),"YES","NO")</f>
        <v>NO</v>
      </c>
      <c r="G840" s="68"/>
      <c r="H840" s="16"/>
    </row>
    <row r="841" spans="1:8" ht="15.75" hidden="1" customHeight="1">
      <c r="A841" s="272"/>
      <c r="B841" s="245"/>
      <c r="C841" s="75"/>
      <c r="D841" s="76" t="s">
        <v>490</v>
      </c>
      <c r="E841" s="183" t="str">
        <f>IF(AND(E831=0,E832=0,E833&lt;D836),"YES","NO")</f>
        <v>YES</v>
      </c>
      <c r="G841" s="68"/>
      <c r="H841" s="16"/>
    </row>
    <row r="842" spans="1:8" ht="15" customHeight="1">
      <c r="A842" s="272"/>
      <c r="B842" s="260"/>
      <c r="C842" s="237" t="s">
        <v>549</v>
      </c>
      <c r="D842" s="237"/>
      <c r="E842" s="184">
        <f>IF(E837="YES",4,IF(E838="YES",3+E831/D834,IF(E839="YES",2+2*E831/D834+E832/D835-(E831*E832)/(D834*D835),IF(E840="YES",2,2*E833/D836))))</f>
        <v>0</v>
      </c>
      <c r="H842" s="16"/>
    </row>
    <row r="843" spans="1:8" ht="15" customHeight="1">
      <c r="A843" s="273"/>
      <c r="B843" s="261"/>
      <c r="C843" s="299" t="s">
        <v>35</v>
      </c>
      <c r="D843" s="299"/>
      <c r="E843" s="48">
        <f>IF(E819&gt;=E820,E842,E819/E820*E842)</f>
        <v>0</v>
      </c>
      <c r="G843" s="71"/>
      <c r="H843" s="16"/>
    </row>
    <row r="844" spans="1:8" ht="15" customHeight="1">
      <c r="C844" s="8"/>
      <c r="D844" s="8"/>
      <c r="H844" s="81"/>
    </row>
    <row r="845" spans="1:8" ht="29.25" customHeight="1">
      <c r="A845" s="271">
        <v>63</v>
      </c>
      <c r="B845" s="259"/>
      <c r="C845" s="300" t="s">
        <v>574</v>
      </c>
      <c r="D845" s="301"/>
      <c r="E845" s="64"/>
      <c r="H845" s="54"/>
    </row>
    <row r="846" spans="1:8" ht="14.65" customHeight="1">
      <c r="A846" s="272"/>
      <c r="B846" s="260"/>
      <c r="C846" s="296" t="s">
        <v>529</v>
      </c>
      <c r="D846" s="297"/>
      <c r="E846" s="65"/>
      <c r="F846" s="15" t="s">
        <v>95</v>
      </c>
      <c r="H846" s="16"/>
    </row>
    <row r="847" spans="1:8" ht="14.65" customHeight="1">
      <c r="A847" s="272"/>
      <c r="B847" s="260"/>
      <c r="C847" s="296" t="s">
        <v>530</v>
      </c>
      <c r="D847" s="297"/>
      <c r="E847" s="65"/>
      <c r="F847" s="15" t="s">
        <v>95</v>
      </c>
      <c r="H847" s="16"/>
    </row>
    <row r="848" spans="1:8" ht="14.65" customHeight="1">
      <c r="A848" s="272"/>
      <c r="B848" s="260"/>
      <c r="C848" s="296" t="s">
        <v>531</v>
      </c>
      <c r="D848" s="297"/>
      <c r="E848" s="65"/>
      <c r="F848" s="15" t="s">
        <v>95</v>
      </c>
      <c r="H848" s="16"/>
    </row>
    <row r="849" spans="1:8" ht="15" customHeight="1">
      <c r="A849" s="272"/>
      <c r="B849" s="260"/>
      <c r="C849" s="296" t="s">
        <v>575</v>
      </c>
      <c r="D849" s="297"/>
      <c r="E849" s="65"/>
      <c r="F849" s="15" t="s">
        <v>95</v>
      </c>
      <c r="H849" s="16"/>
    </row>
    <row r="850" spans="1:8" ht="15" customHeight="1">
      <c r="A850" s="272"/>
      <c r="B850" s="260"/>
      <c r="C850" s="296" t="s">
        <v>576</v>
      </c>
      <c r="D850" s="297"/>
      <c r="E850" s="65"/>
      <c r="F850" s="15" t="s">
        <v>95</v>
      </c>
      <c r="H850" s="16"/>
    </row>
    <row r="851" spans="1:8" ht="15" customHeight="1">
      <c r="A851" s="272"/>
      <c r="B851" s="260"/>
      <c r="C851" s="296" t="s">
        <v>577</v>
      </c>
      <c r="D851" s="297"/>
      <c r="E851" s="65"/>
      <c r="F851" s="15" t="s">
        <v>95</v>
      </c>
      <c r="H851" s="16"/>
    </row>
    <row r="852" spans="1:8" ht="17.100000000000001" customHeight="1">
      <c r="A852" s="272"/>
      <c r="B852" s="260"/>
      <c r="C852" s="170" t="s">
        <v>535</v>
      </c>
      <c r="D852" s="169"/>
      <c r="E852" s="171">
        <f>IF(SUM(E846:E848)&gt;=300,1,2)</f>
        <v>2</v>
      </c>
      <c r="H852" s="16"/>
    </row>
    <row r="853" spans="1:8" ht="15" customHeight="1">
      <c r="A853" s="272"/>
      <c r="B853" s="260"/>
      <c r="C853" s="296" t="s">
        <v>578</v>
      </c>
      <c r="D853" s="297"/>
      <c r="E853" s="172">
        <f>IF(SUM(E846:E848)&gt;0,SUM(E849:E851)/SUM(E846:E848),0)</f>
        <v>0</v>
      </c>
      <c r="H853" s="16"/>
    </row>
    <row r="854" spans="1:8" ht="17.649999999999999" customHeight="1">
      <c r="A854" s="272"/>
      <c r="B854" s="260"/>
      <c r="C854" s="173" t="s">
        <v>537</v>
      </c>
      <c r="D854" s="174"/>
      <c r="E854" s="175">
        <f>IF(E852=1,30%,50%-SUM(E846:E848)/300*20%)</f>
        <v>0.5</v>
      </c>
      <c r="H854" s="16"/>
    </row>
    <row r="855" spans="1:8" ht="44.65" customHeight="1">
      <c r="A855" s="272"/>
      <c r="B855" s="245"/>
      <c r="C855" s="294" t="s">
        <v>579</v>
      </c>
      <c r="D855" s="294"/>
      <c r="E855" s="64"/>
      <c r="H855" s="16"/>
    </row>
    <row r="856" spans="1:8" ht="15.75" customHeight="1">
      <c r="A856" s="272"/>
      <c r="B856" s="245"/>
      <c r="C856" s="250" t="s">
        <v>580</v>
      </c>
      <c r="D856" s="146" t="s">
        <v>423</v>
      </c>
      <c r="E856" s="65"/>
      <c r="F856" s="15" t="s">
        <v>95</v>
      </c>
      <c r="H856" s="16"/>
    </row>
    <row r="857" spans="1:8" ht="15" customHeight="1">
      <c r="A857" s="272"/>
      <c r="B857" s="245"/>
      <c r="C857" s="251"/>
      <c r="D857" s="146" t="s">
        <v>424</v>
      </c>
      <c r="E857" s="65"/>
      <c r="F857" s="15" t="s">
        <v>95</v>
      </c>
      <c r="H857" s="16"/>
    </row>
    <row r="858" spans="1:8" ht="15" customHeight="1">
      <c r="A858" s="272"/>
      <c r="B858" s="245"/>
      <c r="C858" s="251"/>
      <c r="D858" s="146" t="s">
        <v>425</v>
      </c>
      <c r="E858" s="65">
        <v>0</v>
      </c>
      <c r="F858" s="15" t="s">
        <v>95</v>
      </c>
      <c r="H858" s="16"/>
    </row>
    <row r="859" spans="1:8" ht="15" customHeight="1">
      <c r="A859" s="272"/>
      <c r="B859" s="245"/>
      <c r="C859" s="251"/>
      <c r="D859" s="146" t="s">
        <v>426</v>
      </c>
      <c r="E859" s="65">
        <v>0</v>
      </c>
      <c r="F859" s="15" t="s">
        <v>95</v>
      </c>
      <c r="H859" s="16"/>
    </row>
    <row r="860" spans="1:8" ht="15" customHeight="1">
      <c r="A860" s="272"/>
      <c r="B860" s="245"/>
      <c r="C860" s="252"/>
      <c r="D860" s="147" t="s">
        <v>581</v>
      </c>
      <c r="E860" s="67">
        <f>IF((4*E856+3*E857+2*E858+E859)&gt;4,0,4*E856+3*E857+2*E858+E859)</f>
        <v>0</v>
      </c>
      <c r="H860" s="16"/>
    </row>
    <row r="861" spans="1:8" ht="15.75" customHeight="1">
      <c r="A861" s="272"/>
      <c r="B861" s="245"/>
      <c r="C861" s="250" t="s">
        <v>582</v>
      </c>
      <c r="D861" s="146" t="s">
        <v>423</v>
      </c>
      <c r="E861" s="65"/>
      <c r="F861" s="15" t="s">
        <v>95</v>
      </c>
      <c r="H861" s="16"/>
    </row>
    <row r="862" spans="1:8" ht="15" customHeight="1">
      <c r="A862" s="272"/>
      <c r="B862" s="245"/>
      <c r="C862" s="251"/>
      <c r="D862" s="146" t="s">
        <v>424</v>
      </c>
      <c r="E862" s="65"/>
      <c r="F862" s="15" t="s">
        <v>95</v>
      </c>
      <c r="H862" s="16"/>
    </row>
    <row r="863" spans="1:8" ht="15" customHeight="1">
      <c r="A863" s="272"/>
      <c r="B863" s="245"/>
      <c r="C863" s="251"/>
      <c r="D863" s="146" t="s">
        <v>425</v>
      </c>
      <c r="E863" s="65"/>
      <c r="F863" s="15" t="s">
        <v>95</v>
      </c>
      <c r="H863" s="16"/>
    </row>
    <row r="864" spans="1:8" ht="15" customHeight="1">
      <c r="A864" s="272"/>
      <c r="B864" s="245"/>
      <c r="C864" s="251"/>
      <c r="D864" s="146" t="s">
        <v>426</v>
      </c>
      <c r="E864" s="65"/>
      <c r="F864" s="15" t="s">
        <v>95</v>
      </c>
      <c r="H864" s="16"/>
    </row>
    <row r="865" spans="1:8" ht="15" customHeight="1">
      <c r="A865" s="272"/>
      <c r="B865" s="245"/>
      <c r="C865" s="252"/>
      <c r="D865" s="147" t="s">
        <v>583</v>
      </c>
      <c r="E865" s="67">
        <f>IF((4*E861+3*E862+2*E863+E864)&gt;4,0,4*E861+3*E862+2*E863+E864)</f>
        <v>0</v>
      </c>
      <c r="H865" s="16"/>
    </row>
    <row r="866" spans="1:8" ht="15.75" customHeight="1">
      <c r="A866" s="272"/>
      <c r="B866" s="245"/>
      <c r="C866" s="250" t="s">
        <v>584</v>
      </c>
      <c r="D866" s="146" t="s">
        <v>423</v>
      </c>
      <c r="E866" s="65"/>
      <c r="F866" s="15" t="s">
        <v>95</v>
      </c>
      <c r="H866" s="16"/>
    </row>
    <row r="867" spans="1:8" ht="15" customHeight="1">
      <c r="A867" s="272"/>
      <c r="B867" s="245"/>
      <c r="C867" s="251"/>
      <c r="D867" s="146" t="s">
        <v>424</v>
      </c>
      <c r="E867" s="65"/>
      <c r="F867" s="15" t="s">
        <v>95</v>
      </c>
      <c r="H867" s="16"/>
    </row>
    <row r="868" spans="1:8" ht="15" customHeight="1">
      <c r="A868" s="272"/>
      <c r="B868" s="245"/>
      <c r="C868" s="251"/>
      <c r="D868" s="146" t="s">
        <v>425</v>
      </c>
      <c r="E868" s="65"/>
      <c r="F868" s="15" t="s">
        <v>95</v>
      </c>
      <c r="H868" s="16"/>
    </row>
    <row r="869" spans="1:8" ht="15" customHeight="1">
      <c r="A869" s="272"/>
      <c r="B869" s="245"/>
      <c r="C869" s="251"/>
      <c r="D869" s="146" t="s">
        <v>426</v>
      </c>
      <c r="E869" s="65"/>
      <c r="F869" s="15" t="s">
        <v>95</v>
      </c>
      <c r="H869" s="16"/>
    </row>
    <row r="870" spans="1:8" ht="15" customHeight="1">
      <c r="A870" s="272"/>
      <c r="B870" s="245"/>
      <c r="C870" s="252"/>
      <c r="D870" s="147" t="s">
        <v>585</v>
      </c>
      <c r="E870" s="67">
        <f>IF((4*E866+3*E867+2*E868+E869)&gt;4,0,4*E866+3*E867+2*E868+E869)</f>
        <v>0</v>
      </c>
      <c r="H870" s="16"/>
    </row>
    <row r="871" spans="1:8" ht="15.75" customHeight="1">
      <c r="A871" s="272"/>
      <c r="B871" s="245"/>
      <c r="C871" s="253" t="s">
        <v>586</v>
      </c>
      <c r="D871" s="146" t="s">
        <v>423</v>
      </c>
      <c r="E871" s="65"/>
      <c r="F871" s="15" t="s">
        <v>95</v>
      </c>
      <c r="H871" s="16"/>
    </row>
    <row r="872" spans="1:8" ht="15" customHeight="1">
      <c r="A872" s="272"/>
      <c r="B872" s="245"/>
      <c r="C872" s="254"/>
      <c r="D872" s="146" t="s">
        <v>424</v>
      </c>
      <c r="E872" s="65"/>
      <c r="F872" s="15" t="s">
        <v>95</v>
      </c>
      <c r="H872" s="16"/>
    </row>
    <row r="873" spans="1:8" ht="15" customHeight="1">
      <c r="A873" s="272"/>
      <c r="B873" s="245"/>
      <c r="C873" s="254"/>
      <c r="D873" s="146" t="s">
        <v>425</v>
      </c>
      <c r="E873" s="65"/>
      <c r="F873" s="15" t="s">
        <v>95</v>
      </c>
      <c r="H873" s="16"/>
    </row>
    <row r="874" spans="1:8" ht="15" customHeight="1">
      <c r="A874" s="272"/>
      <c r="B874" s="245"/>
      <c r="C874" s="254"/>
      <c r="D874" s="146" t="s">
        <v>426</v>
      </c>
      <c r="E874" s="65">
        <v>0</v>
      </c>
      <c r="F874" s="15" t="s">
        <v>95</v>
      </c>
      <c r="H874" s="16"/>
    </row>
    <row r="875" spans="1:8" ht="15" customHeight="1">
      <c r="A875" s="272"/>
      <c r="B875" s="245"/>
      <c r="C875" s="255"/>
      <c r="D875" s="147" t="s">
        <v>587</v>
      </c>
      <c r="E875" s="67">
        <f>IF((4*E871+3*E872+2*E873+E874)&gt;4,0,4*E871+3*E872+2*E873+E874)</f>
        <v>0</v>
      </c>
      <c r="H875" s="16"/>
    </row>
    <row r="876" spans="1:8" ht="15.75" customHeight="1">
      <c r="A876" s="272"/>
      <c r="B876" s="245"/>
      <c r="C876" s="250" t="s">
        <v>588</v>
      </c>
      <c r="D876" s="146" t="s">
        <v>423</v>
      </c>
      <c r="E876" s="65"/>
      <c r="F876" s="15" t="s">
        <v>95</v>
      </c>
      <c r="H876" s="16"/>
    </row>
    <row r="877" spans="1:8" ht="15" customHeight="1">
      <c r="A877" s="272"/>
      <c r="B877" s="245"/>
      <c r="C877" s="251"/>
      <c r="D877" s="146" t="s">
        <v>424</v>
      </c>
      <c r="E877" s="65"/>
      <c r="F877" s="15" t="s">
        <v>95</v>
      </c>
      <c r="H877" s="16"/>
    </row>
    <row r="878" spans="1:8" ht="15" customHeight="1">
      <c r="A878" s="272"/>
      <c r="B878" s="245"/>
      <c r="C878" s="251"/>
      <c r="D878" s="146" t="s">
        <v>425</v>
      </c>
      <c r="E878" s="65"/>
      <c r="F878" s="15" t="s">
        <v>95</v>
      </c>
      <c r="H878" s="16"/>
    </row>
    <row r="879" spans="1:8" ht="15" customHeight="1">
      <c r="A879" s="272"/>
      <c r="B879" s="245"/>
      <c r="C879" s="251"/>
      <c r="D879" s="146" t="s">
        <v>426</v>
      </c>
      <c r="E879" s="65">
        <v>0</v>
      </c>
      <c r="F879" s="15" t="s">
        <v>95</v>
      </c>
      <c r="H879" s="16"/>
    </row>
    <row r="880" spans="1:8" ht="15" customHeight="1">
      <c r="A880" s="272"/>
      <c r="B880" s="245"/>
      <c r="C880" s="252"/>
      <c r="D880" s="147" t="s">
        <v>589</v>
      </c>
      <c r="E880" s="67">
        <f>IF((4*E876+3*E877+2*E878+E879)&gt;4,0,4*E876+3*E877+2*E878+E879)</f>
        <v>0</v>
      </c>
      <c r="H880" s="16"/>
    </row>
    <row r="881" spans="1:8" ht="15.75" customHeight="1">
      <c r="A881" s="272"/>
      <c r="B881" s="245"/>
      <c r="C881" s="250" t="s">
        <v>590</v>
      </c>
      <c r="D881" s="146" t="s">
        <v>423</v>
      </c>
      <c r="E881" s="65"/>
      <c r="F881" s="15" t="s">
        <v>95</v>
      </c>
      <c r="H881" s="16"/>
    </row>
    <row r="882" spans="1:8" ht="15" customHeight="1">
      <c r="A882" s="272"/>
      <c r="B882" s="245"/>
      <c r="C882" s="251"/>
      <c r="D882" s="146" t="s">
        <v>424</v>
      </c>
      <c r="E882" s="65"/>
      <c r="F882" s="15" t="s">
        <v>95</v>
      </c>
      <c r="H882" s="16"/>
    </row>
    <row r="883" spans="1:8" ht="15" customHeight="1">
      <c r="A883" s="272"/>
      <c r="B883" s="245"/>
      <c r="C883" s="251"/>
      <c r="D883" s="146" t="s">
        <v>425</v>
      </c>
      <c r="E883" s="65"/>
      <c r="F883" s="15" t="s">
        <v>95</v>
      </c>
      <c r="H883" s="16"/>
    </row>
    <row r="884" spans="1:8" ht="15" customHeight="1">
      <c r="A884" s="272"/>
      <c r="B884" s="245"/>
      <c r="C884" s="251"/>
      <c r="D884" s="146" t="s">
        <v>426</v>
      </c>
      <c r="E884" s="65"/>
      <c r="F884" s="15" t="s">
        <v>95</v>
      </c>
      <c r="H884" s="16"/>
    </row>
    <row r="885" spans="1:8" ht="15" customHeight="1">
      <c r="A885" s="272"/>
      <c r="B885" s="245"/>
      <c r="C885" s="252"/>
      <c r="D885" s="147" t="s">
        <v>591</v>
      </c>
      <c r="E885" s="67">
        <f>IF((4*E881+3*E882+2*E883+E884)&gt;4,0,4*E881+3*E882+2*E883+E884)</f>
        <v>0</v>
      </c>
      <c r="H885" s="16"/>
    </row>
    <row r="886" spans="1:8" ht="15.75" customHeight="1">
      <c r="A886" s="272"/>
      <c r="B886" s="245"/>
      <c r="C886" s="253" t="s">
        <v>592</v>
      </c>
      <c r="D886" s="146" t="s">
        <v>423</v>
      </c>
      <c r="E886" s="65"/>
      <c r="F886" s="15" t="s">
        <v>95</v>
      </c>
      <c r="H886" s="16"/>
    </row>
    <row r="887" spans="1:8" ht="15" customHeight="1">
      <c r="A887" s="272"/>
      <c r="B887" s="245"/>
      <c r="C887" s="254"/>
      <c r="D887" s="146" t="s">
        <v>424</v>
      </c>
      <c r="E887" s="65"/>
      <c r="F887" s="15" t="s">
        <v>95</v>
      </c>
      <c r="H887" s="16"/>
    </row>
    <row r="888" spans="1:8" ht="15" customHeight="1">
      <c r="A888" s="272"/>
      <c r="B888" s="245"/>
      <c r="C888" s="254"/>
      <c r="D888" s="146" t="s">
        <v>425</v>
      </c>
      <c r="E888" s="65">
        <v>0</v>
      </c>
      <c r="F888" s="15" t="s">
        <v>95</v>
      </c>
      <c r="H888" s="16"/>
    </row>
    <row r="889" spans="1:8" ht="15" customHeight="1">
      <c r="A889" s="272"/>
      <c r="B889" s="245"/>
      <c r="C889" s="254"/>
      <c r="D889" s="146" t="s">
        <v>426</v>
      </c>
      <c r="E889" s="65"/>
      <c r="F889" s="15" t="s">
        <v>95</v>
      </c>
      <c r="H889" s="16"/>
    </row>
    <row r="890" spans="1:8" ht="15" customHeight="1">
      <c r="A890" s="272"/>
      <c r="B890" s="245"/>
      <c r="C890" s="255"/>
      <c r="D890" s="147" t="s">
        <v>593</v>
      </c>
      <c r="E890" s="67">
        <f>IF((4*E886+3*E887+2*E888+E889)&gt;4,0,4*E886+3*E887+2*E888+E889)</f>
        <v>0</v>
      </c>
      <c r="H890" s="16"/>
    </row>
    <row r="891" spans="1:8" ht="15" customHeight="1">
      <c r="A891" s="272"/>
      <c r="B891" s="245"/>
      <c r="C891" s="281" t="s">
        <v>549</v>
      </c>
      <c r="D891" s="282"/>
      <c r="E891" s="67">
        <f>(E860+E865+E870+E875+E880+E885+E890)/7</f>
        <v>0</v>
      </c>
      <c r="H891" s="16"/>
    </row>
    <row r="892" spans="1:8" ht="15" customHeight="1">
      <c r="A892" s="273"/>
      <c r="B892" s="246"/>
      <c r="C892" s="279" t="s">
        <v>35</v>
      </c>
      <c r="D892" s="280"/>
      <c r="E892" s="48">
        <f>IF(E853&gt;=E854,E891,E853/E854*E891)</f>
        <v>0</v>
      </c>
      <c r="H892" s="16"/>
    </row>
    <row r="893" spans="1:8" ht="15" customHeight="1">
      <c r="C893" s="8"/>
      <c r="D893" s="8"/>
      <c r="H893" s="81"/>
    </row>
    <row r="894" spans="1:8" ht="65.650000000000006" customHeight="1">
      <c r="A894" s="271">
        <v>64</v>
      </c>
      <c r="B894" s="244" t="s">
        <v>594</v>
      </c>
      <c r="C894" s="294" t="s">
        <v>595</v>
      </c>
      <c r="D894" s="294"/>
      <c r="E894" s="123"/>
      <c r="H894" s="54"/>
    </row>
    <row r="895" spans="1:8" ht="15" customHeight="1">
      <c r="A895" s="272"/>
      <c r="B895" s="245"/>
      <c r="C895" s="281" t="s">
        <v>243</v>
      </c>
      <c r="D895" s="282"/>
      <c r="E895" s="65"/>
      <c r="F895" s="15" t="s">
        <v>95</v>
      </c>
      <c r="G895" s="66"/>
      <c r="H895" s="16"/>
    </row>
    <row r="896" spans="1:8" ht="15" customHeight="1">
      <c r="A896" s="272"/>
      <c r="B896" s="245"/>
      <c r="C896" s="281" t="s">
        <v>244</v>
      </c>
      <c r="D896" s="282"/>
      <c r="E896" s="65"/>
      <c r="F896" s="15" t="s">
        <v>95</v>
      </c>
      <c r="G896" s="66"/>
      <c r="H896" s="16"/>
    </row>
    <row r="897" spans="1:8" ht="15" customHeight="1">
      <c r="A897" s="272"/>
      <c r="B897" s="245"/>
      <c r="C897" s="281" t="s">
        <v>245</v>
      </c>
      <c r="D897" s="282"/>
      <c r="E897" s="65"/>
      <c r="F897" s="15" t="s">
        <v>95</v>
      </c>
      <c r="G897" s="66"/>
      <c r="H897" s="16"/>
    </row>
    <row r="898" spans="1:8" ht="15" customHeight="1">
      <c r="A898" s="272"/>
      <c r="B898" s="245"/>
      <c r="C898" s="281" t="s">
        <v>246</v>
      </c>
      <c r="D898" s="282"/>
      <c r="E898" s="65"/>
      <c r="F898" s="15" t="s">
        <v>95</v>
      </c>
      <c r="G898" s="66"/>
      <c r="H898" s="16"/>
    </row>
    <row r="899" spans="1:8" ht="15" customHeight="1">
      <c r="A899" s="272"/>
      <c r="B899" s="245"/>
      <c r="C899" s="281" t="s">
        <v>247</v>
      </c>
      <c r="D899" s="282"/>
      <c r="E899" s="65"/>
      <c r="F899" s="15" t="s">
        <v>95</v>
      </c>
      <c r="G899" s="66"/>
      <c r="H899" s="16"/>
    </row>
    <row r="900" spans="1:8" ht="15" customHeight="1">
      <c r="A900" s="272"/>
      <c r="B900" s="245"/>
      <c r="C900" s="281" t="s">
        <v>248</v>
      </c>
      <c r="D900" s="282"/>
      <c r="E900" s="65"/>
      <c r="F900" s="15" t="s">
        <v>95</v>
      </c>
      <c r="G900" s="66"/>
      <c r="H900" s="16"/>
    </row>
    <row r="901" spans="1:8" ht="15" customHeight="1">
      <c r="A901" s="272"/>
      <c r="B901" s="245"/>
      <c r="C901" s="281" t="s">
        <v>249</v>
      </c>
      <c r="D901" s="282"/>
      <c r="E901" s="65"/>
      <c r="F901" s="15" t="s">
        <v>95</v>
      </c>
      <c r="G901" s="66"/>
      <c r="H901" s="16"/>
    </row>
    <row r="902" spans="1:8" ht="15" customHeight="1">
      <c r="A902" s="272"/>
      <c r="B902" s="245"/>
      <c r="C902" s="281" t="s">
        <v>250</v>
      </c>
      <c r="D902" s="282"/>
      <c r="E902" s="65"/>
      <c r="F902" s="15" t="s">
        <v>95</v>
      </c>
      <c r="G902" s="66"/>
      <c r="H902" s="16"/>
    </row>
    <row r="903" spans="1:8" ht="15" customHeight="1">
      <c r="A903" s="272"/>
      <c r="B903" s="245"/>
      <c r="C903" s="281" t="s">
        <v>251</v>
      </c>
      <c r="D903" s="282"/>
      <c r="E903" s="65"/>
      <c r="F903" s="15" t="s">
        <v>95</v>
      </c>
      <c r="G903" s="66"/>
      <c r="H903" s="16"/>
    </row>
    <row r="904" spans="1:8" ht="15" customHeight="1">
      <c r="A904" s="272"/>
      <c r="B904" s="245"/>
      <c r="C904" s="281" t="s">
        <v>252</v>
      </c>
      <c r="D904" s="282"/>
      <c r="E904" s="65">
        <v>0</v>
      </c>
      <c r="F904" s="15" t="s">
        <v>95</v>
      </c>
      <c r="G904" s="66"/>
      <c r="H904" s="16"/>
    </row>
    <row r="905" spans="1:8" ht="15" customHeight="1">
      <c r="A905" s="272"/>
      <c r="B905" s="245"/>
      <c r="C905" s="281" t="s">
        <v>596</v>
      </c>
      <c r="D905" s="282"/>
      <c r="E905" s="65"/>
      <c r="F905" s="15" t="s">
        <v>95</v>
      </c>
      <c r="G905" s="66"/>
      <c r="H905" s="16"/>
    </row>
    <row r="906" spans="1:8" ht="15" customHeight="1">
      <c r="A906" s="272"/>
      <c r="B906" s="245"/>
      <c r="C906" s="281" t="s">
        <v>253</v>
      </c>
      <c r="D906" s="282"/>
      <c r="E906" s="103">
        <f>IF(E905&gt;0,(E898+E901+E904)/E905,0)</f>
        <v>0</v>
      </c>
      <c r="G906" s="68"/>
      <c r="H906" s="16"/>
    </row>
    <row r="907" spans="1:8" ht="15.75" customHeight="1">
      <c r="A907" s="272"/>
      <c r="B907" s="245"/>
      <c r="C907" s="281" t="s">
        <v>254</v>
      </c>
      <c r="D907" s="282"/>
      <c r="E907" s="103">
        <f>IF(E905&gt;0,(E896+E897+E900+E903)/E905,0)</f>
        <v>0</v>
      </c>
      <c r="G907" s="68"/>
      <c r="H907" s="16"/>
    </row>
    <row r="908" spans="1:8" ht="15.75" customHeight="1">
      <c r="A908" s="272"/>
      <c r="B908" s="245"/>
      <c r="C908" s="281" t="s">
        <v>255</v>
      </c>
      <c r="D908" s="282"/>
      <c r="E908" s="103">
        <f>IF(E905&gt;0,(E895+E899+E902)/E905,0)</f>
        <v>0</v>
      </c>
      <c r="G908" s="68"/>
      <c r="H908" s="16"/>
    </row>
    <row r="909" spans="1:8" ht="15.75" hidden="1" customHeight="1">
      <c r="A909" s="272"/>
      <c r="B909" s="245"/>
      <c r="C909" s="69" t="s">
        <v>100</v>
      </c>
      <c r="D909" s="181">
        <v>0.01</v>
      </c>
      <c r="E909" s="70"/>
      <c r="G909" s="68"/>
      <c r="H909" s="16"/>
    </row>
    <row r="910" spans="1:8" ht="15.75" hidden="1" customHeight="1">
      <c r="A910" s="272"/>
      <c r="B910" s="245"/>
      <c r="C910" s="69" t="s">
        <v>101</v>
      </c>
      <c r="D910" s="181">
        <v>0.1</v>
      </c>
      <c r="E910" s="70"/>
      <c r="G910" s="68"/>
      <c r="H910" s="16"/>
    </row>
    <row r="911" spans="1:8" ht="15.75" hidden="1" customHeight="1">
      <c r="A911" s="272"/>
      <c r="B911" s="245"/>
      <c r="C911" s="69" t="s">
        <v>102</v>
      </c>
      <c r="D911" s="181">
        <v>0.5</v>
      </c>
      <c r="E911" s="70"/>
      <c r="G911" s="68"/>
      <c r="H911" s="16"/>
    </row>
    <row r="912" spans="1:8" ht="15.75" hidden="1" customHeight="1">
      <c r="A912" s="272"/>
      <c r="B912" s="245"/>
      <c r="C912" s="75"/>
      <c r="D912" s="76" t="s">
        <v>233</v>
      </c>
      <c r="E912" s="77" t="str">
        <f>IF(E906&gt;=D909,"YES","NO")</f>
        <v>NO</v>
      </c>
      <c r="G912" s="68"/>
      <c r="H912" s="16"/>
    </row>
    <row r="913" spans="1:8" ht="15.75" hidden="1" customHeight="1">
      <c r="A913" s="272"/>
      <c r="B913" s="245"/>
      <c r="C913" s="75"/>
      <c r="D913" s="76" t="s">
        <v>234</v>
      </c>
      <c r="E913" s="77" t="str">
        <f>IF(AND(E906&lt;D909,E907&gt;=D910),"YES","NO")</f>
        <v>NO</v>
      </c>
      <c r="G913" s="68"/>
      <c r="H913" s="16"/>
    </row>
    <row r="914" spans="1:8" ht="15.75" hidden="1" customHeight="1">
      <c r="A914" s="272"/>
      <c r="B914" s="245"/>
      <c r="C914" s="75"/>
      <c r="D914" s="76" t="s">
        <v>235</v>
      </c>
      <c r="E914" s="77" t="str">
        <f>IF(OR(AND(E906&gt;0,E906&lt;D909,E907=0),AND(E907&gt;0,E907&lt;D910,E906=0),AND(E906&gt;0,E906&lt;D909,E907&gt;0,E907&lt;D910)),"YES","NO")</f>
        <v>NO</v>
      </c>
      <c r="G914" s="68"/>
      <c r="H914" s="16"/>
    </row>
    <row r="915" spans="1:8" ht="15.75" hidden="1" customHeight="1">
      <c r="A915" s="272"/>
      <c r="B915" s="245"/>
      <c r="C915" s="75"/>
      <c r="D915" s="76" t="s">
        <v>236</v>
      </c>
      <c r="E915" s="77" t="str">
        <f>IF(AND(E906=0,E907=0,E908&gt;=D911),"YES","NO")</f>
        <v>NO</v>
      </c>
      <c r="G915" s="68"/>
      <c r="H915" s="16"/>
    </row>
    <row r="916" spans="1:8" ht="15.75" hidden="1" customHeight="1">
      <c r="A916" s="272"/>
      <c r="B916" s="245"/>
      <c r="C916" s="75"/>
      <c r="D916" s="76" t="s">
        <v>237</v>
      </c>
      <c r="E916" s="77" t="str">
        <f>IF(AND(E906=0,E907=0,E908&lt;D911),"YES","NO")</f>
        <v>YES</v>
      </c>
      <c r="G916" s="68"/>
      <c r="H916" s="16"/>
    </row>
    <row r="917" spans="1:8" ht="15" customHeight="1">
      <c r="A917" s="273"/>
      <c r="B917" s="246"/>
      <c r="C917" s="283" t="s">
        <v>35</v>
      </c>
      <c r="D917" s="284"/>
      <c r="E917" s="48">
        <f>IF(E912="YES",4,IF(E913="YES",3+E906/D909,IF(E914="YES",2+2*E906/D909+E907/D910-(E906*E907)/(D909*D910),IF(E915="YES",2,2*E908/D911))))</f>
        <v>0</v>
      </c>
      <c r="G917" s="71"/>
      <c r="H917" s="16"/>
    </row>
    <row r="918" spans="1:8" ht="15" customHeight="1">
      <c r="C918" s="8"/>
      <c r="D918" s="8"/>
      <c r="H918" s="81"/>
    </row>
    <row r="919" spans="1:8" ht="50.65" hidden="1" customHeight="1">
      <c r="A919" s="274"/>
      <c r="B919" s="262"/>
      <c r="C919" s="295"/>
      <c r="D919" s="295"/>
      <c r="E919" s="185"/>
      <c r="H919" s="54"/>
    </row>
    <row r="920" spans="1:8" ht="15" hidden="1" customHeight="1">
      <c r="A920" s="275"/>
      <c r="B920" s="263"/>
      <c r="C920" s="285"/>
      <c r="D920" s="286"/>
      <c r="E920" s="186"/>
      <c r="G920" s="66"/>
      <c r="H920" s="16"/>
    </row>
    <row r="921" spans="1:8" ht="15" hidden="1" customHeight="1">
      <c r="A921" s="275"/>
      <c r="B921" s="263"/>
      <c r="C921" s="75"/>
      <c r="D921" s="76"/>
      <c r="E921" s="187"/>
      <c r="G921" s="66"/>
      <c r="H921" s="16"/>
    </row>
    <row r="922" spans="1:8" ht="15" hidden="1" customHeight="1">
      <c r="A922" s="276"/>
      <c r="B922" s="264"/>
      <c r="C922" s="287"/>
      <c r="D922" s="288"/>
      <c r="E922" s="188"/>
      <c r="G922" s="71"/>
      <c r="H922" s="16"/>
    </row>
    <row r="923" spans="1:8" ht="15" hidden="1" customHeight="1">
      <c r="C923" s="8"/>
      <c r="D923" s="8"/>
      <c r="H923" s="81"/>
    </row>
    <row r="924" spans="1:8" ht="63.6" hidden="1" customHeight="1">
      <c r="A924" s="274"/>
      <c r="B924" s="262"/>
      <c r="C924" s="289"/>
      <c r="D924" s="289"/>
      <c r="E924" s="110"/>
      <c r="H924" s="54"/>
    </row>
    <row r="925" spans="1:8" ht="34.35" hidden="1" customHeight="1">
      <c r="A925" s="275"/>
      <c r="B925" s="263"/>
      <c r="C925" s="290"/>
      <c r="D925" s="291"/>
      <c r="E925" s="111"/>
      <c r="G925" s="66"/>
      <c r="H925" s="16"/>
    </row>
    <row r="926" spans="1:8" ht="14.65" hidden="1" customHeight="1">
      <c r="A926" s="275"/>
      <c r="B926" s="263"/>
      <c r="C926" s="189"/>
      <c r="D926" s="190"/>
      <c r="E926" s="191"/>
      <c r="G926" s="66"/>
      <c r="H926" s="16"/>
    </row>
    <row r="927" spans="1:8" ht="15" hidden="1" customHeight="1">
      <c r="A927" s="276"/>
      <c r="B927" s="264"/>
      <c r="C927" s="292"/>
      <c r="D927" s="293"/>
      <c r="E927" s="113"/>
      <c r="G927" s="71"/>
      <c r="H927" s="16"/>
    </row>
    <row r="928" spans="1:8" ht="15" hidden="1" customHeight="1">
      <c r="C928" s="8"/>
      <c r="D928" s="8"/>
      <c r="H928" s="81"/>
    </row>
    <row r="929" spans="1:8" ht="48.75" customHeight="1">
      <c r="A929" s="271">
        <v>65</v>
      </c>
      <c r="B929" s="244"/>
      <c r="C929" s="294" t="s">
        <v>597</v>
      </c>
      <c r="D929" s="294"/>
      <c r="E929" s="64"/>
      <c r="H929" s="54"/>
    </row>
    <row r="930" spans="1:8" ht="29.25" customHeight="1">
      <c r="A930" s="272"/>
      <c r="B930" s="245"/>
      <c r="C930" s="281" t="s">
        <v>260</v>
      </c>
      <c r="D930" s="282"/>
      <c r="E930" s="65"/>
      <c r="F930" s="15" t="s">
        <v>95</v>
      </c>
      <c r="G930" s="66"/>
      <c r="H930" s="16"/>
    </row>
    <row r="931" spans="1:8" ht="44.25" customHeight="1">
      <c r="A931" s="272"/>
      <c r="B931" s="245"/>
      <c r="C931" s="281" t="s">
        <v>261</v>
      </c>
      <c r="D931" s="282"/>
      <c r="E931" s="65"/>
      <c r="F931" s="15" t="s">
        <v>95</v>
      </c>
      <c r="G931" s="66"/>
      <c r="H931" s="16"/>
    </row>
    <row r="932" spans="1:8" ht="43.5" customHeight="1">
      <c r="A932" s="272"/>
      <c r="B932" s="245"/>
      <c r="C932" s="281" t="s">
        <v>262</v>
      </c>
      <c r="D932" s="282"/>
      <c r="E932" s="65"/>
      <c r="F932" s="15" t="s">
        <v>95</v>
      </c>
      <c r="G932" s="66"/>
      <c r="H932" s="16"/>
    </row>
    <row r="933" spans="1:8" ht="29.25" customHeight="1">
      <c r="A933" s="272"/>
      <c r="B933" s="245"/>
      <c r="C933" s="281" t="s">
        <v>263</v>
      </c>
      <c r="D933" s="282"/>
      <c r="E933" s="65"/>
      <c r="F933" s="15" t="s">
        <v>95</v>
      </c>
      <c r="G933" s="66"/>
      <c r="H933" s="16"/>
    </row>
    <row r="934" spans="1:8" ht="15" customHeight="1">
      <c r="A934" s="272"/>
      <c r="B934" s="245"/>
      <c r="C934" s="281" t="s">
        <v>598</v>
      </c>
      <c r="D934" s="282"/>
      <c r="E934" s="67">
        <f>2*(E930+E931+E932)+E933</f>
        <v>0</v>
      </c>
      <c r="G934" s="66"/>
      <c r="H934" s="16"/>
    </row>
    <row r="935" spans="1:8" ht="14.65" hidden="1" customHeight="1">
      <c r="A935" s="272"/>
      <c r="B935" s="245"/>
      <c r="C935" s="75" t="s">
        <v>153</v>
      </c>
      <c r="D935" s="76">
        <v>1</v>
      </c>
      <c r="E935" s="125"/>
      <c r="G935" s="66"/>
      <c r="H935" s="16"/>
    </row>
    <row r="936" spans="1:8" ht="15" customHeight="1">
      <c r="A936" s="273"/>
      <c r="B936" s="246"/>
      <c r="C936" s="283" t="s">
        <v>35</v>
      </c>
      <c r="D936" s="284"/>
      <c r="E936" s="48">
        <f>IF(E934&gt;=D935,4,2+2/D935*E934)</f>
        <v>2</v>
      </c>
      <c r="G936" s="71"/>
      <c r="H936" s="16"/>
    </row>
    <row r="937" spans="1:8" ht="15" customHeight="1">
      <c r="C937" s="8"/>
      <c r="D937" s="8"/>
      <c r="H937" s="81"/>
    </row>
    <row r="938" spans="1:8" ht="50.25" customHeight="1">
      <c r="A938" s="271">
        <v>66</v>
      </c>
      <c r="B938" s="247" t="s">
        <v>599</v>
      </c>
      <c r="C938" s="277" t="s">
        <v>600</v>
      </c>
      <c r="D938" s="278"/>
      <c r="E938" s="42">
        <v>2</v>
      </c>
      <c r="F938" s="15" t="str">
        <f>IF(OR(ISBLANK(E938),E938&gt;4),"Salah isi","judge")</f>
        <v>judge</v>
      </c>
      <c r="H938" s="54"/>
    </row>
    <row r="939" spans="1:8" ht="145.9" customHeight="1">
      <c r="A939" s="272"/>
      <c r="B939" s="248"/>
      <c r="C939" s="44">
        <v>4</v>
      </c>
      <c r="D939" s="45" t="s">
        <v>601</v>
      </c>
      <c r="E939" s="46"/>
      <c r="H939" s="16"/>
    </row>
    <row r="940" spans="1:8" ht="160.15" customHeight="1">
      <c r="A940" s="272"/>
      <c r="B940" s="248"/>
      <c r="C940" s="44">
        <v>3</v>
      </c>
      <c r="D940" s="45" t="s">
        <v>602</v>
      </c>
      <c r="E940" s="46"/>
      <c r="H940" s="16"/>
    </row>
    <row r="941" spans="1:8" ht="145.9" customHeight="1">
      <c r="A941" s="272"/>
      <c r="B941" s="248"/>
      <c r="C941" s="44">
        <v>2</v>
      </c>
      <c r="D941" s="45" t="s">
        <v>603</v>
      </c>
      <c r="E941" s="46"/>
      <c r="H941" s="16"/>
    </row>
    <row r="942" spans="1:8" ht="131.1" customHeight="1">
      <c r="A942" s="272"/>
      <c r="B942" s="248"/>
      <c r="C942" s="44">
        <v>1</v>
      </c>
      <c r="D942" s="45" t="s">
        <v>604</v>
      </c>
      <c r="E942" s="46"/>
      <c r="H942" s="16"/>
    </row>
    <row r="943" spans="1:8">
      <c r="A943" s="272"/>
      <c r="B943" s="248"/>
      <c r="C943" s="44">
        <v>0</v>
      </c>
      <c r="D943" s="45" t="s">
        <v>605</v>
      </c>
      <c r="E943" s="47"/>
      <c r="H943" s="16"/>
    </row>
    <row r="944" spans="1:8" ht="15" customHeight="1">
      <c r="A944" s="273"/>
      <c r="B944" s="249"/>
      <c r="C944" s="279" t="s">
        <v>35</v>
      </c>
      <c r="D944" s="280"/>
      <c r="E944" s="48">
        <f>IF(F938="Salah isi",0,E938)</f>
        <v>2</v>
      </c>
      <c r="H944" s="16"/>
    </row>
    <row r="945" spans="1:8" ht="15" customHeight="1">
      <c r="A945" s="49"/>
      <c r="B945" s="49"/>
      <c r="C945" s="50"/>
      <c r="D945" s="50"/>
      <c r="E945" s="51"/>
      <c r="H945" s="16"/>
    </row>
    <row r="946" spans="1:8" ht="50.25" customHeight="1">
      <c r="A946" s="271">
        <v>67</v>
      </c>
      <c r="B946" s="247" t="s">
        <v>606</v>
      </c>
      <c r="C946" s="277" t="s">
        <v>607</v>
      </c>
      <c r="D946" s="278"/>
      <c r="E946" s="42">
        <v>3</v>
      </c>
      <c r="F946" s="15" t="str">
        <f>IF(OR(ISBLANK(E946),E946&gt;4),"Salah isi","judge")</f>
        <v>judge</v>
      </c>
      <c r="H946" s="54"/>
    </row>
    <row r="947" spans="1:8" ht="145.9" customHeight="1">
      <c r="A947" s="272"/>
      <c r="B947" s="248"/>
      <c r="C947" s="44">
        <v>4</v>
      </c>
      <c r="D947" s="45" t="s">
        <v>608</v>
      </c>
      <c r="E947" s="46"/>
      <c r="H947" s="16"/>
    </row>
    <row r="948" spans="1:8" ht="102" customHeight="1">
      <c r="A948" s="272"/>
      <c r="B948" s="248"/>
      <c r="C948" s="44">
        <v>3</v>
      </c>
      <c r="D948" s="45" t="s">
        <v>609</v>
      </c>
      <c r="E948" s="46"/>
      <c r="H948" s="16"/>
    </row>
    <row r="949" spans="1:8" ht="87.4" customHeight="1">
      <c r="A949" s="272"/>
      <c r="B949" s="248"/>
      <c r="C949" s="44">
        <v>2</v>
      </c>
      <c r="D949" s="45" t="s">
        <v>610</v>
      </c>
      <c r="E949" s="46"/>
      <c r="H949" s="16"/>
    </row>
    <row r="950" spans="1:8" ht="102" customHeight="1">
      <c r="A950" s="272"/>
      <c r="B950" s="248"/>
      <c r="C950" s="44">
        <v>1</v>
      </c>
      <c r="D950" s="45" t="s">
        <v>611</v>
      </c>
      <c r="E950" s="46"/>
      <c r="H950" s="16"/>
    </row>
    <row r="951" spans="1:8">
      <c r="A951" s="272"/>
      <c r="B951" s="248"/>
      <c r="C951" s="44">
        <v>0</v>
      </c>
      <c r="D951" s="45" t="s">
        <v>612</v>
      </c>
      <c r="E951" s="47"/>
      <c r="H951" s="16"/>
    </row>
    <row r="952" spans="1:8" ht="15" customHeight="1">
      <c r="A952" s="273"/>
      <c r="B952" s="249"/>
      <c r="C952" s="279" t="s">
        <v>35</v>
      </c>
      <c r="D952" s="280"/>
      <c r="E952" s="48">
        <f>IF(F946="Salah isi",0,E946)</f>
        <v>3</v>
      </c>
      <c r="H952" s="16"/>
    </row>
    <row r="953" spans="1:8" ht="15" customHeight="1">
      <c r="H953" s="8"/>
    </row>
    <row r="954" spans="1:8" ht="50.25" customHeight="1">
      <c r="A954" s="271">
        <v>68</v>
      </c>
      <c r="B954" s="247" t="s">
        <v>613</v>
      </c>
      <c r="C954" s="277" t="s">
        <v>614</v>
      </c>
      <c r="D954" s="278"/>
      <c r="E954" s="42">
        <v>2</v>
      </c>
      <c r="F954" s="15" t="str">
        <f>IF(OR(ISBLANK(E954),E954&gt;4),"Salah isi","judge")</f>
        <v>judge</v>
      </c>
      <c r="H954" s="54"/>
    </row>
    <row r="955" spans="1:8" ht="116.65" customHeight="1">
      <c r="A955" s="272"/>
      <c r="B955" s="248"/>
      <c r="C955" s="44">
        <v>4</v>
      </c>
      <c r="D955" s="45" t="s">
        <v>615</v>
      </c>
      <c r="E955" s="46"/>
      <c r="H955" s="16"/>
    </row>
    <row r="956" spans="1:8" ht="102" customHeight="1">
      <c r="A956" s="272"/>
      <c r="B956" s="248"/>
      <c r="C956" s="44">
        <v>3</v>
      </c>
      <c r="D956" s="45" t="s">
        <v>616</v>
      </c>
      <c r="E956" s="46"/>
      <c r="H956" s="16"/>
    </row>
    <row r="957" spans="1:8" ht="87.4" customHeight="1">
      <c r="A957" s="272"/>
      <c r="B957" s="248"/>
      <c r="C957" s="44">
        <v>2</v>
      </c>
      <c r="D957" s="45" t="s">
        <v>617</v>
      </c>
      <c r="E957" s="46"/>
      <c r="H957" s="16"/>
    </row>
    <row r="958" spans="1:8" ht="72.95" customHeight="1">
      <c r="A958" s="272"/>
      <c r="B958" s="248"/>
      <c r="C958" s="44">
        <v>1</v>
      </c>
      <c r="D958" s="45" t="s">
        <v>618</v>
      </c>
      <c r="E958" s="46"/>
      <c r="H958" s="16"/>
    </row>
    <row r="959" spans="1:8">
      <c r="A959" s="272"/>
      <c r="B959" s="248"/>
      <c r="C959" s="44">
        <v>0</v>
      </c>
      <c r="D959" s="45" t="s">
        <v>619</v>
      </c>
      <c r="E959" s="47"/>
      <c r="H959" s="16"/>
    </row>
    <row r="960" spans="1:8" ht="15" customHeight="1">
      <c r="A960" s="273"/>
      <c r="B960" s="249"/>
      <c r="C960" s="279" t="s">
        <v>35</v>
      </c>
      <c r="D960" s="280"/>
      <c r="E960" s="48">
        <f>IF(F954="Salah isi",0,E954)</f>
        <v>2</v>
      </c>
      <c r="H960" s="16"/>
    </row>
    <row r="961" spans="1:8" ht="15" customHeight="1">
      <c r="H961" s="8"/>
    </row>
    <row r="962" spans="1:8" ht="50.25" customHeight="1">
      <c r="A962" s="271">
        <v>69</v>
      </c>
      <c r="B962" s="247" t="s">
        <v>620</v>
      </c>
      <c r="C962" s="277" t="s">
        <v>621</v>
      </c>
      <c r="D962" s="278"/>
      <c r="E962" s="42">
        <v>3</v>
      </c>
      <c r="F962" s="15" t="str">
        <f>IF(OR(ISBLANK(E962),E962&gt;4),"Salah isi","judge")</f>
        <v>judge</v>
      </c>
      <c r="H962" s="54"/>
    </row>
    <row r="963" spans="1:8" ht="102" customHeight="1">
      <c r="A963" s="272"/>
      <c r="B963" s="248"/>
      <c r="C963" s="44">
        <v>4</v>
      </c>
      <c r="D963" s="45" t="s">
        <v>622</v>
      </c>
      <c r="E963" s="46"/>
      <c r="H963" s="192"/>
    </row>
    <row r="964" spans="1:8" ht="87.4" customHeight="1">
      <c r="A964" s="272"/>
      <c r="B964" s="248"/>
      <c r="C964" s="44">
        <v>3</v>
      </c>
      <c r="D964" s="45" t="s">
        <v>623</v>
      </c>
      <c r="E964" s="46"/>
      <c r="H964" s="192"/>
    </row>
    <row r="965" spans="1:8" ht="72.95" customHeight="1">
      <c r="A965" s="272"/>
      <c r="B965" s="248"/>
      <c r="C965" s="44">
        <v>2</v>
      </c>
      <c r="D965" s="45" t="s">
        <v>624</v>
      </c>
      <c r="E965" s="46"/>
      <c r="H965" s="192"/>
    </row>
    <row r="966" spans="1:8" ht="29.1" customHeight="1">
      <c r="A966" s="272"/>
      <c r="B966" s="248"/>
      <c r="C966" s="44">
        <v>1</v>
      </c>
      <c r="D966" s="45" t="s">
        <v>625</v>
      </c>
      <c r="E966" s="46"/>
      <c r="H966" s="192"/>
    </row>
    <row r="967" spans="1:8" ht="29.1" customHeight="1">
      <c r="A967" s="272"/>
      <c r="B967" s="248"/>
      <c r="C967" s="44">
        <v>0</v>
      </c>
      <c r="D967" s="45" t="s">
        <v>626</v>
      </c>
      <c r="E967" s="47"/>
      <c r="H967" s="192"/>
    </row>
    <row r="968" spans="1:8" ht="15" customHeight="1">
      <c r="A968" s="273"/>
      <c r="B968" s="249"/>
      <c r="C968" s="279" t="s">
        <v>35</v>
      </c>
      <c r="D968" s="280"/>
      <c r="E968" s="48">
        <f>IF(F962="Salah isi",0,E962)</f>
        <v>3</v>
      </c>
      <c r="H968" s="192"/>
    </row>
  </sheetData>
  <sheetProtection formatCells="0" formatColumns="0" formatRows="0" insertColumns="0" insertRows="0" insertHyperlinks="0" deleteColumns="0" deleteRows="0" sort="0" autoFilter="0" pivotTables="0"/>
  <mergeCells count="576">
    <mergeCell ref="A1:F1"/>
    <mergeCell ref="A2:F2"/>
    <mergeCell ref="C6:D6"/>
    <mergeCell ref="C7:D7"/>
    <mergeCell ref="C13:D13"/>
    <mergeCell ref="C15:D15"/>
    <mergeCell ref="C21:D21"/>
    <mergeCell ref="C23:D23"/>
    <mergeCell ref="C29:D29"/>
    <mergeCell ref="C31:D31"/>
    <mergeCell ref="C37:D37"/>
    <mergeCell ref="C39:D39"/>
    <mergeCell ref="C45:D45"/>
    <mergeCell ref="C47:D47"/>
    <mergeCell ref="C53:D53"/>
    <mergeCell ref="C59:D59"/>
    <mergeCell ref="C61:D61"/>
    <mergeCell ref="C67:D67"/>
    <mergeCell ref="D65:D66"/>
    <mergeCell ref="C73:D73"/>
    <mergeCell ref="C75:D75"/>
    <mergeCell ref="C81:D81"/>
    <mergeCell ref="C83:D83"/>
    <mergeCell ref="C84:D84"/>
    <mergeCell ref="C85:D85"/>
    <mergeCell ref="C86:D86"/>
    <mergeCell ref="C87:D87"/>
    <mergeCell ref="C88:D88"/>
    <mergeCell ref="C93:D93"/>
    <mergeCell ref="C94:D94"/>
    <mergeCell ref="C95:D95"/>
    <mergeCell ref="C96:D96"/>
    <mergeCell ref="C97:D97"/>
    <mergeCell ref="C106:D106"/>
    <mergeCell ref="C107:D107"/>
    <mergeCell ref="C108:D108"/>
    <mergeCell ref="C110:D110"/>
    <mergeCell ref="C116:D116"/>
    <mergeCell ref="C118:D118"/>
    <mergeCell ref="C124:D124"/>
    <mergeCell ref="C126:D126"/>
    <mergeCell ref="C132:D132"/>
    <mergeCell ref="C134:D134"/>
    <mergeCell ref="C140:D140"/>
    <mergeCell ref="C142:D142"/>
    <mergeCell ref="C148:D148"/>
    <mergeCell ref="C149:D149"/>
    <mergeCell ref="C150:D150"/>
    <mergeCell ref="C151:D151"/>
    <mergeCell ref="C153:D153"/>
    <mergeCell ref="C154:D154"/>
    <mergeCell ref="C160:D160"/>
    <mergeCell ref="C162:D162"/>
    <mergeCell ref="C168:D168"/>
    <mergeCell ref="C169:D169"/>
    <mergeCell ref="C170:D170"/>
    <mergeCell ref="C171:D171"/>
    <mergeCell ref="C172:D172"/>
    <mergeCell ref="C174:D174"/>
    <mergeCell ref="C175:D175"/>
    <mergeCell ref="C177:D177"/>
    <mergeCell ref="C183:D183"/>
    <mergeCell ref="C189:D189"/>
    <mergeCell ref="C191:D191"/>
    <mergeCell ref="C192:D192"/>
    <mergeCell ref="C195:D195"/>
    <mergeCell ref="C197:D197"/>
    <mergeCell ref="C198:D198"/>
    <mergeCell ref="C199:D199"/>
    <mergeCell ref="C200:D200"/>
    <mergeCell ref="C202:D202"/>
    <mergeCell ref="C204:D204"/>
    <mergeCell ref="C205:D205"/>
    <mergeCell ref="C206:D206"/>
    <mergeCell ref="C207:D207"/>
    <mergeCell ref="C209:D209"/>
    <mergeCell ref="C211:D211"/>
    <mergeCell ref="C212:D212"/>
    <mergeCell ref="C213:D213"/>
    <mergeCell ref="C214:D214"/>
    <mergeCell ref="C215:D215"/>
    <mergeCell ref="C216:D216"/>
    <mergeCell ref="C218:D218"/>
    <mergeCell ref="C220:D220"/>
    <mergeCell ref="C226:D226"/>
    <mergeCell ref="C227:D227"/>
    <mergeCell ref="C228:D228"/>
    <mergeCell ref="C229:D229"/>
    <mergeCell ref="C233:D233"/>
    <mergeCell ref="C237:D237"/>
    <mergeCell ref="C238:E238"/>
    <mergeCell ref="C239:D239"/>
    <mergeCell ref="C241:D241"/>
    <mergeCell ref="C242:D242"/>
    <mergeCell ref="C243:D243"/>
    <mergeCell ref="C244:D244"/>
    <mergeCell ref="C247:D247"/>
    <mergeCell ref="C249:D249"/>
    <mergeCell ref="C250:D250"/>
    <mergeCell ref="C251:D251"/>
    <mergeCell ref="C252:D252"/>
    <mergeCell ref="C257:D257"/>
    <mergeCell ref="C259:D259"/>
    <mergeCell ref="C260:D260"/>
    <mergeCell ref="C261:D261"/>
    <mergeCell ref="C262:D262"/>
    <mergeCell ref="C265:D265"/>
    <mergeCell ref="C267:D267"/>
    <mergeCell ref="C268:D268"/>
    <mergeCell ref="C269:D269"/>
    <mergeCell ref="C270:D270"/>
    <mergeCell ref="C272:D272"/>
    <mergeCell ref="C274:D274"/>
    <mergeCell ref="C275:D275"/>
    <mergeCell ref="C276:D276"/>
    <mergeCell ref="C277:D277"/>
    <mergeCell ref="C279:D279"/>
    <mergeCell ref="C281:D281"/>
    <mergeCell ref="C282:D282"/>
    <mergeCell ref="C283:D283"/>
    <mergeCell ref="C284:D284"/>
    <mergeCell ref="C285:D285"/>
    <mergeCell ref="C286:D286"/>
    <mergeCell ref="C287:D287"/>
    <mergeCell ref="C288:D288"/>
    <mergeCell ref="C297:D297"/>
    <mergeCell ref="C299:D299"/>
    <mergeCell ref="C300:D300"/>
    <mergeCell ref="C301:D301"/>
    <mergeCell ref="C302:D302"/>
    <mergeCell ref="C303:D303"/>
    <mergeCell ref="C304:D304"/>
    <mergeCell ref="C305:D305"/>
    <mergeCell ref="C306:D306"/>
    <mergeCell ref="C315:D315"/>
    <mergeCell ref="C317:D317"/>
    <mergeCell ref="C318:D318"/>
    <mergeCell ref="C319:D319"/>
    <mergeCell ref="C320:D320"/>
    <mergeCell ref="C321:D321"/>
    <mergeCell ref="C322:D322"/>
    <mergeCell ref="C323:D323"/>
    <mergeCell ref="C324:D324"/>
    <mergeCell ref="C325:D325"/>
    <mergeCell ref="C326:D326"/>
    <mergeCell ref="C327:D327"/>
    <mergeCell ref="C328:D328"/>
    <mergeCell ref="C329:D329"/>
    <mergeCell ref="C330:D330"/>
    <mergeCell ref="C331:D331"/>
    <mergeCell ref="C340:D340"/>
    <mergeCell ref="C342:D342"/>
    <mergeCell ref="C343:D343"/>
    <mergeCell ref="C344:D344"/>
    <mergeCell ref="C345:D345"/>
    <mergeCell ref="C347:D347"/>
    <mergeCell ref="C349:D349"/>
    <mergeCell ref="C350:D350"/>
    <mergeCell ref="C351:D351"/>
    <mergeCell ref="C352:D352"/>
    <mergeCell ref="C354:D354"/>
    <mergeCell ref="C356:D356"/>
    <mergeCell ref="C357:D357"/>
    <mergeCell ref="C358:D358"/>
    <mergeCell ref="C359:D359"/>
    <mergeCell ref="C360:D360"/>
    <mergeCell ref="C361:D361"/>
    <mergeCell ref="C362:D362"/>
    <mergeCell ref="C364:D364"/>
    <mergeCell ref="C366:D366"/>
    <mergeCell ref="C367:D367"/>
    <mergeCell ref="C373:D373"/>
    <mergeCell ref="C375:D375"/>
    <mergeCell ref="C381:D381"/>
    <mergeCell ref="C387:D387"/>
    <mergeCell ref="C389:D389"/>
    <mergeCell ref="C390:D390"/>
    <mergeCell ref="C391:D391"/>
    <mergeCell ref="C392:D392"/>
    <mergeCell ref="C394:D394"/>
    <mergeCell ref="C396:D396"/>
    <mergeCell ref="C397:D397"/>
    <mergeCell ref="C398:D398"/>
    <mergeCell ref="C399:D399"/>
    <mergeCell ref="C401:D401"/>
    <mergeCell ref="C403:D403"/>
    <mergeCell ref="C404:D404"/>
    <mergeCell ref="C405:D405"/>
    <mergeCell ref="C406:D406"/>
    <mergeCell ref="C408:D408"/>
    <mergeCell ref="C410:D410"/>
    <mergeCell ref="C411:D411"/>
    <mergeCell ref="C417:D417"/>
    <mergeCell ref="C419:D419"/>
    <mergeCell ref="C425:D425"/>
    <mergeCell ref="C427:D427"/>
    <mergeCell ref="C433:D433"/>
    <mergeCell ref="C435:D435"/>
    <mergeCell ref="C441:D441"/>
    <mergeCell ref="C447:D447"/>
    <mergeCell ref="C453:D453"/>
    <mergeCell ref="C455:D455"/>
    <mergeCell ref="C461:D461"/>
    <mergeCell ref="C463:D463"/>
    <mergeCell ref="C469:D469"/>
    <mergeCell ref="C475:D475"/>
    <mergeCell ref="C477:D477"/>
    <mergeCell ref="C483:D483"/>
    <mergeCell ref="C489:D489"/>
    <mergeCell ref="C495:D495"/>
    <mergeCell ref="C501:D501"/>
    <mergeCell ref="C507:D507"/>
    <mergeCell ref="C509:D509"/>
    <mergeCell ref="C510:D510"/>
    <mergeCell ref="C511:D511"/>
    <mergeCell ref="C512:D512"/>
    <mergeCell ref="C514:D514"/>
    <mergeCell ref="C516:D516"/>
    <mergeCell ref="C522:D522"/>
    <mergeCell ref="C524:D524"/>
    <mergeCell ref="C530:D530"/>
    <mergeCell ref="C536:D536"/>
    <mergeCell ref="C542:D542"/>
    <mergeCell ref="C548:D548"/>
    <mergeCell ref="C554:D554"/>
    <mergeCell ref="C556:D556"/>
    <mergeCell ref="C557:D557"/>
    <mergeCell ref="C562:D562"/>
    <mergeCell ref="C564:D564"/>
    <mergeCell ref="C570:D570"/>
    <mergeCell ref="C572:D572"/>
    <mergeCell ref="C598:D598"/>
    <mergeCell ref="C601:D601"/>
    <mergeCell ref="C602:D602"/>
    <mergeCell ref="C608:D608"/>
    <mergeCell ref="C609:D609"/>
    <mergeCell ref="C611:D611"/>
    <mergeCell ref="C617:D617"/>
    <mergeCell ref="C619:D619"/>
    <mergeCell ref="C620:D620"/>
    <mergeCell ref="C621:D621"/>
    <mergeCell ref="C622:D622"/>
    <mergeCell ref="C624:D624"/>
    <mergeCell ref="C626:D626"/>
    <mergeCell ref="C627:D627"/>
    <mergeCell ref="C628:D628"/>
    <mergeCell ref="C629:D629"/>
    <mergeCell ref="C631:D631"/>
    <mergeCell ref="C633:D633"/>
    <mergeCell ref="C639:D639"/>
    <mergeCell ref="C641:D641"/>
    <mergeCell ref="C642:D642"/>
    <mergeCell ref="C643:D643"/>
    <mergeCell ref="C644:D644"/>
    <mergeCell ref="C646:D646"/>
    <mergeCell ref="C648:D648"/>
    <mergeCell ref="C654:D654"/>
    <mergeCell ref="C656:D656"/>
    <mergeCell ref="C657:D657"/>
    <mergeCell ref="C658:D658"/>
    <mergeCell ref="C659:D659"/>
    <mergeCell ref="C660:D660"/>
    <mergeCell ref="C661:D661"/>
    <mergeCell ref="C662:D662"/>
    <mergeCell ref="C666:D666"/>
    <mergeCell ref="C668:D668"/>
    <mergeCell ref="C669:D669"/>
    <mergeCell ref="C670:D670"/>
    <mergeCell ref="C671:D671"/>
    <mergeCell ref="C672:D672"/>
    <mergeCell ref="C673:D673"/>
    <mergeCell ref="C674:D674"/>
    <mergeCell ref="C675:D675"/>
    <mergeCell ref="C684:D684"/>
    <mergeCell ref="C686:D686"/>
    <mergeCell ref="C687:D687"/>
    <mergeCell ref="C688:D688"/>
    <mergeCell ref="C689:D689"/>
    <mergeCell ref="C690:D690"/>
    <mergeCell ref="C691:D691"/>
    <mergeCell ref="C692:D692"/>
    <mergeCell ref="C693:D693"/>
    <mergeCell ref="C702:D702"/>
    <mergeCell ref="C704:D704"/>
    <mergeCell ref="C705:D705"/>
    <mergeCell ref="C706:D706"/>
    <mergeCell ref="C707:D707"/>
    <mergeCell ref="C708:D708"/>
    <mergeCell ref="C709:D709"/>
    <mergeCell ref="C710:D710"/>
    <mergeCell ref="C711:D711"/>
    <mergeCell ref="C712:D712"/>
    <mergeCell ref="C713:D713"/>
    <mergeCell ref="C716:D716"/>
    <mergeCell ref="C718:D718"/>
    <mergeCell ref="C719:D719"/>
    <mergeCell ref="C720:D720"/>
    <mergeCell ref="C721:D721"/>
    <mergeCell ref="C722:D722"/>
    <mergeCell ref="C723:D723"/>
    <mergeCell ref="C724:D724"/>
    <mergeCell ref="C725:D725"/>
    <mergeCell ref="C726:D726"/>
    <mergeCell ref="C727:D727"/>
    <mergeCell ref="C731:D731"/>
    <mergeCell ref="C733:D733"/>
    <mergeCell ref="C734:D734"/>
    <mergeCell ref="C735:D735"/>
    <mergeCell ref="C736:D736"/>
    <mergeCell ref="C739:D739"/>
    <mergeCell ref="C743:D743"/>
    <mergeCell ref="C745:D745"/>
    <mergeCell ref="C751:D751"/>
    <mergeCell ref="C753:D753"/>
    <mergeCell ref="C754:D754"/>
    <mergeCell ref="C755:D755"/>
    <mergeCell ref="C756:D756"/>
    <mergeCell ref="C757:D757"/>
    <mergeCell ref="C758:D758"/>
    <mergeCell ref="C759:D759"/>
    <mergeCell ref="C761:D761"/>
    <mergeCell ref="C763:D763"/>
    <mergeCell ref="C779:D779"/>
    <mergeCell ref="C780:D780"/>
    <mergeCell ref="C781:D781"/>
    <mergeCell ref="C783:D783"/>
    <mergeCell ref="C784:D784"/>
    <mergeCell ref="C785:D785"/>
    <mergeCell ref="C786:D786"/>
    <mergeCell ref="C787:D787"/>
    <mergeCell ref="C788:D788"/>
    <mergeCell ref="C789:D789"/>
    <mergeCell ref="C791:D791"/>
    <mergeCell ref="C793:D793"/>
    <mergeCell ref="C807:D807"/>
    <mergeCell ref="C808:D808"/>
    <mergeCell ref="C809:D809"/>
    <mergeCell ref="C811:D811"/>
    <mergeCell ref="C812:D812"/>
    <mergeCell ref="C813:D813"/>
    <mergeCell ref="C814:D814"/>
    <mergeCell ref="C815:D815"/>
    <mergeCell ref="C816:D816"/>
    <mergeCell ref="C817:D817"/>
    <mergeCell ref="C819:D819"/>
    <mergeCell ref="C821:D821"/>
    <mergeCell ref="C831:D831"/>
    <mergeCell ref="C832:D832"/>
    <mergeCell ref="C833:D833"/>
    <mergeCell ref="C842:D842"/>
    <mergeCell ref="C843:D843"/>
    <mergeCell ref="C845:D845"/>
    <mergeCell ref="C846:D846"/>
    <mergeCell ref="C847:D847"/>
    <mergeCell ref="C848:D848"/>
    <mergeCell ref="C849:D849"/>
    <mergeCell ref="C850:D850"/>
    <mergeCell ref="C851:D851"/>
    <mergeCell ref="C853:D853"/>
    <mergeCell ref="C855:D855"/>
    <mergeCell ref="C891:D891"/>
    <mergeCell ref="C881:C885"/>
    <mergeCell ref="C886:C890"/>
    <mergeCell ref="C892:D892"/>
    <mergeCell ref="C894:D894"/>
    <mergeCell ref="C895:D895"/>
    <mergeCell ref="C896:D896"/>
    <mergeCell ref="C897:D897"/>
    <mergeCell ref="C898:D898"/>
    <mergeCell ref="C899:D899"/>
    <mergeCell ref="C900:D900"/>
    <mergeCell ref="C901:D901"/>
    <mergeCell ref="C902:D902"/>
    <mergeCell ref="C903:D903"/>
    <mergeCell ref="C904:D904"/>
    <mergeCell ref="C905:D905"/>
    <mergeCell ref="C906:D906"/>
    <mergeCell ref="C907:D907"/>
    <mergeCell ref="C908:D908"/>
    <mergeCell ref="C917:D917"/>
    <mergeCell ref="C919:D919"/>
    <mergeCell ref="C920:D920"/>
    <mergeCell ref="C922:D922"/>
    <mergeCell ref="C924:D924"/>
    <mergeCell ref="C925:D925"/>
    <mergeCell ref="C927:D927"/>
    <mergeCell ref="C929:D929"/>
    <mergeCell ref="C930:D930"/>
    <mergeCell ref="C931:D931"/>
    <mergeCell ref="C932:D932"/>
    <mergeCell ref="C933:D933"/>
    <mergeCell ref="C934:D934"/>
    <mergeCell ref="C936:D936"/>
    <mergeCell ref="C938:D938"/>
    <mergeCell ref="C944:D944"/>
    <mergeCell ref="C946:D946"/>
    <mergeCell ref="C952:D952"/>
    <mergeCell ref="C954:D954"/>
    <mergeCell ref="C960:D960"/>
    <mergeCell ref="C962:D962"/>
    <mergeCell ref="C968:D968"/>
    <mergeCell ref="A7:A13"/>
    <mergeCell ref="A15:A21"/>
    <mergeCell ref="A23:A29"/>
    <mergeCell ref="A31:A37"/>
    <mergeCell ref="A39:A45"/>
    <mergeCell ref="A47:A59"/>
    <mergeCell ref="A61:A73"/>
    <mergeCell ref="A75:A81"/>
    <mergeCell ref="A83:A108"/>
    <mergeCell ref="A110:A116"/>
    <mergeCell ref="A118:A124"/>
    <mergeCell ref="A126:A132"/>
    <mergeCell ref="A134:A140"/>
    <mergeCell ref="A142:A160"/>
    <mergeCell ref="A162:A175"/>
    <mergeCell ref="A177:A189"/>
    <mergeCell ref="A191:A195"/>
    <mergeCell ref="A197:A202"/>
    <mergeCell ref="A204:A209"/>
    <mergeCell ref="A211:A218"/>
    <mergeCell ref="A220:A239"/>
    <mergeCell ref="A241:A247"/>
    <mergeCell ref="A249:A257"/>
    <mergeCell ref="A259:A265"/>
    <mergeCell ref="A267:A272"/>
    <mergeCell ref="A274:A279"/>
    <mergeCell ref="A281:A297"/>
    <mergeCell ref="A299:A315"/>
    <mergeCell ref="A317:A340"/>
    <mergeCell ref="A342:A347"/>
    <mergeCell ref="A349:A354"/>
    <mergeCell ref="A356:A364"/>
    <mergeCell ref="A366:A373"/>
    <mergeCell ref="A375:A387"/>
    <mergeCell ref="A389:A394"/>
    <mergeCell ref="A396:A401"/>
    <mergeCell ref="A403:A408"/>
    <mergeCell ref="A410:A417"/>
    <mergeCell ref="A419:A425"/>
    <mergeCell ref="A427:A433"/>
    <mergeCell ref="A435:A453"/>
    <mergeCell ref="A455:A461"/>
    <mergeCell ref="A463:A475"/>
    <mergeCell ref="A477:A507"/>
    <mergeCell ref="A509:A514"/>
    <mergeCell ref="A516:A522"/>
    <mergeCell ref="A524:A554"/>
    <mergeCell ref="A556:A562"/>
    <mergeCell ref="A564:A570"/>
    <mergeCell ref="A572:A609"/>
    <mergeCell ref="A611:A617"/>
    <mergeCell ref="A619:A624"/>
    <mergeCell ref="A626:A631"/>
    <mergeCell ref="A633:A639"/>
    <mergeCell ref="A641:A646"/>
    <mergeCell ref="A648:A654"/>
    <mergeCell ref="A656:A666"/>
    <mergeCell ref="A668:A684"/>
    <mergeCell ref="A686:A702"/>
    <mergeCell ref="A704:A716"/>
    <mergeCell ref="A718:A731"/>
    <mergeCell ref="A733:A743"/>
    <mergeCell ref="A745:A751"/>
    <mergeCell ref="A753:A781"/>
    <mergeCell ref="A783:A809"/>
    <mergeCell ref="A811:A843"/>
    <mergeCell ref="A845:A892"/>
    <mergeCell ref="A894:A917"/>
    <mergeCell ref="A919:A922"/>
    <mergeCell ref="A924:A927"/>
    <mergeCell ref="A929:A936"/>
    <mergeCell ref="A938:A944"/>
    <mergeCell ref="A946:A952"/>
    <mergeCell ref="A954:A960"/>
    <mergeCell ref="A962:A968"/>
    <mergeCell ref="B7:B13"/>
    <mergeCell ref="B15:B21"/>
    <mergeCell ref="B23:B29"/>
    <mergeCell ref="B31:B37"/>
    <mergeCell ref="B39:B45"/>
    <mergeCell ref="B47:B59"/>
    <mergeCell ref="B61:B73"/>
    <mergeCell ref="B75:B81"/>
    <mergeCell ref="B83:B108"/>
    <mergeCell ref="B110:B116"/>
    <mergeCell ref="B118:B124"/>
    <mergeCell ref="B126:B132"/>
    <mergeCell ref="B134:B140"/>
    <mergeCell ref="B142:B160"/>
    <mergeCell ref="B162:B175"/>
    <mergeCell ref="B177:B189"/>
    <mergeCell ref="B191:B195"/>
    <mergeCell ref="B197:B202"/>
    <mergeCell ref="B204:B209"/>
    <mergeCell ref="B211:B218"/>
    <mergeCell ref="B220:B239"/>
    <mergeCell ref="B241:B247"/>
    <mergeCell ref="B249:B257"/>
    <mergeCell ref="B259:B265"/>
    <mergeCell ref="B267:B272"/>
    <mergeCell ref="B274:B279"/>
    <mergeCell ref="B281:B297"/>
    <mergeCell ref="B299:B315"/>
    <mergeCell ref="B317:B340"/>
    <mergeCell ref="B342:B347"/>
    <mergeCell ref="B349:B354"/>
    <mergeCell ref="B356:B364"/>
    <mergeCell ref="B366:B373"/>
    <mergeCell ref="B375:B387"/>
    <mergeCell ref="B389:B394"/>
    <mergeCell ref="B396:B401"/>
    <mergeCell ref="B403:B408"/>
    <mergeCell ref="B410:B417"/>
    <mergeCell ref="B419:B425"/>
    <mergeCell ref="B427:B433"/>
    <mergeCell ref="B435:B453"/>
    <mergeCell ref="B455:B461"/>
    <mergeCell ref="B463:B475"/>
    <mergeCell ref="B477:B507"/>
    <mergeCell ref="B509:B514"/>
    <mergeCell ref="B516:B522"/>
    <mergeCell ref="B524:B554"/>
    <mergeCell ref="B556:B562"/>
    <mergeCell ref="B564:B570"/>
    <mergeCell ref="B572:B609"/>
    <mergeCell ref="B611:B617"/>
    <mergeCell ref="B619:B624"/>
    <mergeCell ref="B954:B960"/>
    <mergeCell ref="B962:B968"/>
    <mergeCell ref="C573:C577"/>
    <mergeCell ref="C578:C582"/>
    <mergeCell ref="C583:C587"/>
    <mergeCell ref="C588:C592"/>
    <mergeCell ref="C593:C597"/>
    <mergeCell ref="C764:C766"/>
    <mergeCell ref="C767:C769"/>
    <mergeCell ref="C770:C772"/>
    <mergeCell ref="C794:C796"/>
    <mergeCell ref="C797:C799"/>
    <mergeCell ref="C800:C802"/>
    <mergeCell ref="C822:C824"/>
    <mergeCell ref="C825:C827"/>
    <mergeCell ref="C828:C830"/>
    <mergeCell ref="C856:C860"/>
    <mergeCell ref="C861:C865"/>
    <mergeCell ref="C866:C870"/>
    <mergeCell ref="C871:C875"/>
    <mergeCell ref="C876:C880"/>
    <mergeCell ref="B733:B743"/>
    <mergeCell ref="B745:B751"/>
    <mergeCell ref="B753:B781"/>
    <mergeCell ref="D114:D115"/>
    <mergeCell ref="D493:D494"/>
    <mergeCell ref="D499:D500"/>
    <mergeCell ref="E65:E66"/>
    <mergeCell ref="E493:E494"/>
    <mergeCell ref="E499:E500"/>
    <mergeCell ref="B929:B936"/>
    <mergeCell ref="B938:B944"/>
    <mergeCell ref="B946:B952"/>
    <mergeCell ref="B783:B809"/>
    <mergeCell ref="B811:B843"/>
    <mergeCell ref="B845:B892"/>
    <mergeCell ref="B894:B917"/>
    <mergeCell ref="B919:B922"/>
    <mergeCell ref="B924:B927"/>
    <mergeCell ref="B626:B631"/>
    <mergeCell ref="B633:B639"/>
    <mergeCell ref="B641:B646"/>
    <mergeCell ref="B648:B654"/>
    <mergeCell ref="B656:B666"/>
    <mergeCell ref="B668:B684"/>
    <mergeCell ref="B686:B702"/>
    <mergeCell ref="B704:B716"/>
    <mergeCell ref="B718:B731"/>
  </mergeCells>
  <conditionalFormatting sqref="F7">
    <cfRule type="containsText" dxfId="91" priority="10" operator="containsText" text="Salah isi">
      <formula>NOT(ISERROR(SEARCH("Salah isi",F7)))</formula>
    </cfRule>
  </conditionalFormatting>
  <conditionalFormatting sqref="F15">
    <cfRule type="containsText" dxfId="90" priority="11" operator="containsText" text="Salah isi">
      <formula>NOT(ISERROR(SEARCH("Salah isi",F15)))</formula>
    </cfRule>
  </conditionalFormatting>
  <conditionalFormatting sqref="F23">
    <cfRule type="containsText" dxfId="89" priority="9" operator="containsText" text="Salah isi">
      <formula>NOT(ISERROR(SEARCH("Salah isi",F23)))</formula>
    </cfRule>
  </conditionalFormatting>
  <conditionalFormatting sqref="F31">
    <cfRule type="containsText" dxfId="88" priority="8" operator="containsText" text="Salah isi">
      <formula>NOT(ISERROR(SEARCH("Salah isi",F31)))</formula>
    </cfRule>
  </conditionalFormatting>
  <conditionalFormatting sqref="F39">
    <cfRule type="containsText" dxfId="87" priority="7" operator="containsText" text="Salah isi">
      <formula>NOT(ISERROR(SEARCH("Salah isi",F39)))</formula>
    </cfRule>
  </conditionalFormatting>
  <conditionalFormatting sqref="F47">
    <cfRule type="containsText" dxfId="86" priority="6" operator="containsText" text="Salah isi">
      <formula>NOT(ISERROR(SEARCH("Salah isi",F47)))</formula>
    </cfRule>
  </conditionalFormatting>
  <conditionalFormatting sqref="F53">
    <cfRule type="containsText" dxfId="85" priority="12" operator="containsText" text="Salah isi">
      <formula>NOT(ISERROR(SEARCH("Salah isi",F53)))</formula>
    </cfRule>
  </conditionalFormatting>
  <conditionalFormatting sqref="F61">
    <cfRule type="containsText" dxfId="84" priority="13" operator="containsText" text="Salah isi">
      <formula>NOT(ISERROR(SEARCH("Salah isi",F61)))</formula>
    </cfRule>
  </conditionalFormatting>
  <conditionalFormatting sqref="F67">
    <cfRule type="containsText" dxfId="83" priority="14" operator="containsText" text="Salah isi">
      <formula>NOT(ISERROR(SEARCH("Salah isi",F67)))</formula>
    </cfRule>
  </conditionalFormatting>
  <conditionalFormatting sqref="F75">
    <cfRule type="containsText" dxfId="82" priority="15" operator="containsText" text="Salah isi">
      <formula>NOT(ISERROR(SEARCH("Salah isi",F75)))</formula>
    </cfRule>
  </conditionalFormatting>
  <conditionalFormatting sqref="G101">
    <cfRule type="cellIs" dxfId="81" priority="3" operator="equal">
      <formula>"Tidak dinilai"</formula>
    </cfRule>
  </conditionalFormatting>
  <conditionalFormatting sqref="F110">
    <cfRule type="containsText" dxfId="80" priority="16" operator="containsText" text="Salah isi">
      <formula>NOT(ISERROR(SEARCH("Salah isi",F110)))</formula>
    </cfRule>
  </conditionalFormatting>
  <conditionalFormatting sqref="F118">
    <cfRule type="containsText" dxfId="79" priority="5" operator="containsText" text="Salah isi">
      <formula>NOT(ISERROR(SEARCH("Salah isi",F118)))</formula>
    </cfRule>
  </conditionalFormatting>
  <conditionalFormatting sqref="F126">
    <cfRule type="containsText" dxfId="78" priority="1" operator="containsText" text="Salah isi">
      <formula>NOT(ISERROR(SEARCH("Salah isi",F126)))</formula>
    </cfRule>
  </conditionalFormatting>
  <conditionalFormatting sqref="F134">
    <cfRule type="containsText" dxfId="77" priority="4" operator="containsText" text="Salah isi">
      <formula>NOT(ISERROR(SEARCH("Salah isi",F134)))</formula>
    </cfRule>
  </conditionalFormatting>
  <conditionalFormatting sqref="F154">
    <cfRule type="containsText" dxfId="76" priority="52" operator="containsText" text="Salah isi">
      <formula>NOT(ISERROR(SEARCH("Salah isi",F154)))</formula>
    </cfRule>
  </conditionalFormatting>
  <conditionalFormatting sqref="F155">
    <cfRule type="containsText" dxfId="75" priority="49" operator="containsText" text="Salah isi">
      <formula>NOT(ISERROR(SEARCH("Salah isi",F155)))</formula>
    </cfRule>
  </conditionalFormatting>
  <conditionalFormatting sqref="F162">
    <cfRule type="containsText" dxfId="74" priority="50" operator="containsText" text="Salah isi">
      <formula>NOT(ISERROR(SEARCH("Salah isi",F162)))</formula>
    </cfRule>
  </conditionalFormatting>
  <conditionalFormatting sqref="F177">
    <cfRule type="containsText" dxfId="73" priority="20" operator="containsText" text="Salah isi">
      <formula>NOT(ISERROR(SEARCH("Salah isi",F177)))</formula>
    </cfRule>
  </conditionalFormatting>
  <conditionalFormatting sqref="F183">
    <cfRule type="containsText" dxfId="72" priority="19" operator="containsText" text="Salah isi">
      <formula>NOT(ISERROR(SEARCH("Salah isi",F183)))</formula>
    </cfRule>
  </conditionalFormatting>
  <conditionalFormatting sqref="F375">
    <cfRule type="containsText" dxfId="71" priority="23" operator="containsText" text="Salah isi">
      <formula>NOT(ISERROR(SEARCH("Salah isi",F375)))</formula>
    </cfRule>
  </conditionalFormatting>
  <conditionalFormatting sqref="F381">
    <cfRule type="containsText" dxfId="70" priority="22" operator="containsText" text="Salah isi">
      <formula>NOT(ISERROR(SEARCH("Salah isi",F381)))</formula>
    </cfRule>
  </conditionalFormatting>
  <conditionalFormatting sqref="F419">
    <cfRule type="containsText" dxfId="69" priority="25" operator="containsText" text="Salah isi">
      <formula>NOT(ISERROR(SEARCH("Salah isi",F419)))</formula>
    </cfRule>
  </conditionalFormatting>
  <conditionalFormatting sqref="F427">
    <cfRule type="containsText" dxfId="68" priority="26" operator="containsText" text="Salah isi">
      <formula>NOT(ISERROR(SEARCH("Salah isi",F427)))</formula>
    </cfRule>
  </conditionalFormatting>
  <conditionalFormatting sqref="F435">
    <cfRule type="containsText" dxfId="67" priority="27" operator="containsText" text="Salah isi">
      <formula>NOT(ISERROR(SEARCH("Salah isi",F435)))</formula>
    </cfRule>
  </conditionalFormatting>
  <conditionalFormatting sqref="F441">
    <cfRule type="containsText" dxfId="66" priority="28" operator="containsText" text="Salah isi">
      <formula>NOT(ISERROR(SEARCH("Salah isi",F441)))</formula>
    </cfRule>
  </conditionalFormatting>
  <conditionalFormatting sqref="F447">
    <cfRule type="containsText" dxfId="65" priority="29" operator="containsText" text="Salah isi">
      <formula>NOT(ISERROR(SEARCH("Salah isi",F447)))</formula>
    </cfRule>
  </conditionalFormatting>
  <conditionalFormatting sqref="F455">
    <cfRule type="containsText" dxfId="64" priority="30" operator="containsText" text="Salah isi">
      <formula>NOT(ISERROR(SEARCH("Salah isi",F455)))</formula>
    </cfRule>
  </conditionalFormatting>
  <conditionalFormatting sqref="F463">
    <cfRule type="containsText" dxfId="63" priority="17" operator="containsText" text="Salah isi">
      <formula>NOT(ISERROR(SEARCH("Salah isi",F463)))</formula>
    </cfRule>
  </conditionalFormatting>
  <conditionalFormatting sqref="F469">
    <cfRule type="containsText" dxfId="62" priority="33" operator="containsText" text="Salah isi">
      <formula>NOT(ISERROR(SEARCH("Salah isi",F469)))</formula>
    </cfRule>
  </conditionalFormatting>
  <conditionalFormatting sqref="F477">
    <cfRule type="containsText" dxfId="61" priority="32" operator="containsText" text="Salah isi">
      <formula>NOT(ISERROR(SEARCH("Salah isi",F477)))</formula>
    </cfRule>
  </conditionalFormatting>
  <conditionalFormatting sqref="F483">
    <cfRule type="containsText" dxfId="60" priority="35" operator="containsText" text="Salah isi">
      <formula>NOT(ISERROR(SEARCH("Salah isi",F483)))</formula>
    </cfRule>
  </conditionalFormatting>
  <conditionalFormatting sqref="F489">
    <cfRule type="containsText" dxfId="59" priority="51" operator="containsText" text="Salah isi">
      <formula>NOT(ISERROR(SEARCH("Salah isi",F489)))</formula>
    </cfRule>
  </conditionalFormatting>
  <conditionalFormatting sqref="F495">
    <cfRule type="containsText" dxfId="58" priority="31" operator="containsText" text="Salah isi">
      <formula>NOT(ISERROR(SEARCH("Salah isi",F495)))</formula>
    </cfRule>
  </conditionalFormatting>
  <conditionalFormatting sqref="F501">
    <cfRule type="containsText" dxfId="57" priority="34" operator="containsText" text="Salah isi">
      <formula>NOT(ISERROR(SEARCH("Salah isi",F501)))</formula>
    </cfRule>
  </conditionalFormatting>
  <conditionalFormatting sqref="F516">
    <cfRule type="containsText" dxfId="56" priority="36" operator="containsText" text="Salah isi">
      <formula>NOT(ISERROR(SEARCH("Salah isi",F516)))</formula>
    </cfRule>
  </conditionalFormatting>
  <conditionalFormatting sqref="F524">
    <cfRule type="containsText" dxfId="55" priority="37" operator="containsText" text="Salah isi">
      <formula>NOT(ISERROR(SEARCH("Salah isi",F524)))</formula>
    </cfRule>
  </conditionalFormatting>
  <conditionalFormatting sqref="F530">
    <cfRule type="containsText" dxfId="54" priority="38" operator="containsText" text="Salah isi">
      <formula>NOT(ISERROR(SEARCH("Salah isi",F530)))</formula>
    </cfRule>
  </conditionalFormatting>
  <conditionalFormatting sqref="F536">
    <cfRule type="containsText" dxfId="53" priority="39" operator="containsText" text="Salah isi">
      <formula>NOT(ISERROR(SEARCH("Salah isi",F536)))</formula>
    </cfRule>
  </conditionalFormatting>
  <conditionalFormatting sqref="F564">
    <cfRule type="containsText" dxfId="52" priority="40" operator="containsText" text="Salah isi">
      <formula>NOT(ISERROR(SEARCH("Salah isi",F564)))</formula>
    </cfRule>
  </conditionalFormatting>
  <conditionalFormatting sqref="F572">
    <cfRule type="containsText" dxfId="51" priority="2" operator="containsText" text="Salah isi">
      <formula>NOT(ISERROR(SEARCH("Salah isi",F572)))</formula>
    </cfRule>
  </conditionalFormatting>
  <conditionalFormatting sqref="F602">
    <cfRule type="containsText" dxfId="50" priority="41" operator="containsText" text="Salah isi">
      <formula>NOT(ISERROR(SEARCH("Salah isi",F602)))</formula>
    </cfRule>
  </conditionalFormatting>
  <conditionalFormatting sqref="F611">
    <cfRule type="containsText" dxfId="49" priority="18" operator="containsText" text="Salah isi">
      <formula>NOT(ISERROR(SEARCH("Salah isi",F611)))</formula>
    </cfRule>
  </conditionalFormatting>
  <conditionalFormatting sqref="F633">
    <cfRule type="containsText" dxfId="48" priority="43" operator="containsText" text="Salah isi">
      <formula>NOT(ISERROR(SEARCH("Salah isi",F633)))</formula>
    </cfRule>
  </conditionalFormatting>
  <conditionalFormatting sqref="F648">
    <cfRule type="containsText" dxfId="47" priority="44" operator="containsText" text="Salah isi">
      <formula>NOT(ISERROR(SEARCH("Salah isi",F648)))</formula>
    </cfRule>
  </conditionalFormatting>
  <conditionalFormatting sqref="F745">
    <cfRule type="containsText" dxfId="46" priority="45" operator="containsText" text="Salah isi">
      <formula>NOT(ISERROR(SEARCH("Salah isi",F745)))</formula>
    </cfRule>
  </conditionalFormatting>
  <conditionalFormatting sqref="F938">
    <cfRule type="containsText" dxfId="45" priority="42" operator="containsText" text="Salah isi">
      <formula>NOT(ISERROR(SEARCH("Salah isi",F938)))</formula>
    </cfRule>
  </conditionalFormatting>
  <conditionalFormatting sqref="F946">
    <cfRule type="containsText" dxfId="44" priority="46" operator="containsText" text="Salah isi">
      <formula>NOT(ISERROR(SEARCH("Salah isi",F946)))</formula>
    </cfRule>
  </conditionalFormatting>
  <conditionalFormatting sqref="F954">
    <cfRule type="containsText" dxfId="43" priority="47" operator="containsText" text="Salah isi">
      <formula>NOT(ISERROR(SEARCH("Salah isi",F954)))</formula>
    </cfRule>
  </conditionalFormatting>
  <conditionalFormatting sqref="F962">
    <cfRule type="containsText" dxfId="42" priority="48" operator="containsText" text="Salah isi">
      <formula>NOT(ISERROR(SEARCH("Salah isi",F962)))</formula>
    </cfRule>
  </conditionalFormatting>
  <conditionalFormatting sqref="F366:F367">
    <cfRule type="containsText" dxfId="41" priority="21" operator="containsText" text="Salah isi">
      <formula>NOT(ISERROR(SEARCH("Salah isi",F366)))</formula>
    </cfRule>
  </conditionalFormatting>
  <conditionalFormatting sqref="F410:F411">
    <cfRule type="containsText" dxfId="40" priority="24" operator="containsText" text="Salah isi">
      <formula>NOT(ISERROR(SEARCH("Salah isi",F410)))</formula>
    </cfRule>
  </conditionalFormatting>
  <dataValidations count="4">
    <dataValidation type="list" allowBlank="1" showInputMessage="1" showErrorMessage="1" sqref="E143" xr:uid="{00000000-0002-0000-0100-000000000000}">
      <formula1>$E$144:$E$145</formula1>
    </dataValidation>
    <dataValidation type="list" allowBlank="1" showInputMessage="1" showErrorMessage="1" sqref="E83 E191 E204 E211 E249 E919 E924 E929" xr:uid="{00000000-0002-0000-0100-000001000000}">
      <formula1>#REF!</formula1>
    </dataValidation>
    <dataValidation allowBlank="1" showInputMessage="1" showErrorMessage="1" sqref="E197 E342" xr:uid="{00000000-0002-0000-0100-000002000000}"/>
    <dataValidation type="list" allowBlank="1" showInputMessage="1" showErrorMessage="1" sqref="E221" xr:uid="{00000000-0002-0000-0100-000003000000}">
      <formula1>$E$222:$E$223</formula1>
    </dataValidation>
  </dataValidations>
  <pageMargins left="0.7" right="0.7" top="0.75" bottom="0.75" header="0.3" footer="0.3"/>
  <pageSetup paperSize="9" orientation="portrait"/>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O96"/>
  <sheetViews>
    <sheetView workbookViewId="0">
      <pane xSplit="2" ySplit="12" topLeftCell="C92" activePane="bottomRight" state="frozen"/>
      <selection pane="topRight"/>
      <selection pane="bottomLeft"/>
      <selection pane="bottomRight" activeCell="D59" sqref="D59"/>
    </sheetView>
  </sheetViews>
  <sheetFormatPr defaultColWidth="8.5703125" defaultRowHeight="15.75"/>
  <cols>
    <col min="1" max="1" width="5.7109375" style="3" hidden="1" customWidth="1"/>
    <col min="2" max="2" width="5.7109375" style="4" customWidth="1"/>
    <col min="3" max="3" width="28" style="5" customWidth="1"/>
    <col min="4" max="4" width="37" style="5" customWidth="1"/>
    <col min="5" max="5" width="8.5703125" style="6"/>
    <col min="6" max="6" width="9" style="3" customWidth="1"/>
    <col min="7" max="8" width="8.7109375" style="3" customWidth="1"/>
    <col min="9" max="11" width="8.5703125" style="5"/>
    <col min="12" max="15" width="8.5703125" style="3"/>
  </cols>
  <sheetData>
    <row r="1" spans="1:14" customFormat="1" ht="14.65" customHeight="1">
      <c r="B1" s="344" t="s">
        <v>627</v>
      </c>
      <c r="C1" s="344"/>
      <c r="D1" s="344"/>
      <c r="E1" s="344"/>
      <c r="G1" s="344" t="s">
        <v>628</v>
      </c>
      <c r="H1" s="344"/>
      <c r="I1" s="344"/>
      <c r="J1" s="344"/>
      <c r="K1" s="344"/>
      <c r="L1" s="30"/>
    </row>
    <row r="2" spans="1:14" customFormat="1" ht="14.65" customHeight="1">
      <c r="B2" s="344" t="s">
        <v>1</v>
      </c>
      <c r="C2" s="344"/>
      <c r="D2" s="344"/>
      <c r="E2" s="344"/>
      <c r="G2" s="344" t="s">
        <v>1</v>
      </c>
      <c r="H2" s="344"/>
      <c r="I2" s="344"/>
      <c r="J2" s="344"/>
      <c r="K2" s="344"/>
      <c r="L2" s="30"/>
    </row>
    <row r="3" spans="1:14" customFormat="1" ht="14.65" customHeight="1">
      <c r="B3" s="344" t="str">
        <f>Menu!A5</f>
        <v>PROGRAM SARJANA</v>
      </c>
      <c r="C3" s="344"/>
      <c r="D3" s="344"/>
      <c r="E3" s="344"/>
      <c r="G3" s="344" t="str">
        <f>Menu!A5</f>
        <v>PROGRAM SARJANA</v>
      </c>
      <c r="H3" s="344"/>
      <c r="I3" s="344"/>
      <c r="J3" s="344"/>
      <c r="K3" s="344"/>
      <c r="L3" s="30"/>
    </row>
    <row r="4" spans="1:14" customFormat="1" ht="14.65" customHeight="1">
      <c r="B4" s="7"/>
      <c r="C4" s="7"/>
      <c r="D4" s="7"/>
      <c r="E4" s="7"/>
      <c r="I4" s="10"/>
      <c r="J4" s="10"/>
      <c r="K4" s="10"/>
      <c r="L4" s="10"/>
      <c r="M4" s="10"/>
    </row>
    <row r="5" spans="1:14" customFormat="1" ht="14.65" customHeight="1">
      <c r="B5" s="337" t="s">
        <v>629</v>
      </c>
      <c r="C5" s="337"/>
      <c r="D5" s="337"/>
      <c r="E5" s="337"/>
      <c r="G5" s="342" t="s">
        <v>630</v>
      </c>
      <c r="H5" s="342"/>
      <c r="I5" s="342"/>
      <c r="J5" s="8"/>
      <c r="K5" s="343">
        <f>SUM(H13:H87)</f>
        <v>232.97627462882653</v>
      </c>
      <c r="L5" s="343"/>
      <c r="M5" s="10"/>
      <c r="N5" s="10"/>
    </row>
    <row r="6" spans="1:14" customFormat="1" ht="14.65" customHeight="1">
      <c r="B6" s="9"/>
      <c r="C6" s="10"/>
      <c r="D6" s="11"/>
      <c r="E6" s="12"/>
      <c r="G6" s="342"/>
      <c r="H6" s="342"/>
      <c r="I6" s="342"/>
      <c r="J6" s="8"/>
      <c r="K6" s="343"/>
      <c r="L6" s="343"/>
      <c r="M6" s="10"/>
      <c r="N6" s="10"/>
    </row>
    <row r="7" spans="1:14" customFormat="1" ht="14.65" customHeight="1">
      <c r="B7" s="13" t="s">
        <v>7</v>
      </c>
      <c r="C7" s="10"/>
      <c r="D7" s="14" t="str">
        <f>Menu!H11</f>
        <v>Teknik Pertambangan</v>
      </c>
      <c r="E7" s="14"/>
      <c r="M7" s="10"/>
      <c r="N7" s="10"/>
    </row>
    <row r="8" spans="1:14" customFormat="1" ht="14.65" customHeight="1">
      <c r="B8" s="13" t="s">
        <v>631</v>
      </c>
      <c r="C8" s="10"/>
      <c r="D8" s="14">
        <f>Menu!P20</f>
        <v>0</v>
      </c>
      <c r="E8" s="14"/>
      <c r="G8" t="s">
        <v>632</v>
      </c>
      <c r="H8" s="15"/>
      <c r="K8" s="338" t="str">
        <f>IF(AND(J24="TERPENUHI",J29="TERPENUHI",J53="TERPENUHI"),"TERPENUHI","TIDAK TERPENUHI")</f>
        <v>TERPENUHI</v>
      </c>
      <c r="L8" s="338"/>
      <c r="M8" s="338"/>
      <c r="N8" s="338"/>
    </row>
    <row r="9" spans="1:14" customFormat="1" ht="14.65" customHeight="1">
      <c r="B9" s="13" t="s">
        <v>633</v>
      </c>
      <c r="C9" s="10"/>
      <c r="D9" s="16">
        <f>Menu!H12</f>
        <v>0</v>
      </c>
      <c r="E9" s="14"/>
      <c r="G9" t="s">
        <v>634</v>
      </c>
      <c r="H9" s="15"/>
      <c r="K9" s="338" t="str">
        <f>IF(AND(L30="TERPENUHI",L32="TERPENUHI",L76="TERPENUHI",L77="TERPENUHI"),"TERPENUHI","TIDAK TERPENUHI")</f>
        <v>TIDAK TERPENUHI</v>
      </c>
      <c r="L9" s="338"/>
      <c r="M9" s="338"/>
      <c r="N9" s="338"/>
    </row>
    <row r="10" spans="1:14" customFormat="1" ht="14.65" customHeight="1">
      <c r="B10" s="13" t="s">
        <v>635</v>
      </c>
      <c r="C10" s="10"/>
      <c r="D10" s="17">
        <f>Menu!P24</f>
        <v>0</v>
      </c>
      <c r="E10" s="14"/>
      <c r="G10" t="s">
        <v>636</v>
      </c>
      <c r="K10" s="338" t="str">
        <f>IF(AND(N30="TERPENUHI",N32="TERPENUHI",N76="TERPENUHI",N77="TERPENUHI"),"TERPENUHI","TIDAK TERPENUHI")</f>
        <v>TIDAK TERPENUHI</v>
      </c>
      <c r="L10" s="338"/>
      <c r="M10" s="338"/>
      <c r="N10" s="338"/>
    </row>
    <row r="11" spans="1:14" customFormat="1" ht="14.65" customHeight="1">
      <c r="B11" s="18"/>
      <c r="C11" s="11"/>
      <c r="D11" s="11"/>
      <c r="E11" s="12"/>
    </row>
    <row r="12" spans="1:14" s="1" customFormat="1" ht="38.65" customHeight="1">
      <c r="A12" s="19" t="s">
        <v>637</v>
      </c>
      <c r="B12" s="19" t="s">
        <v>637</v>
      </c>
      <c r="C12" s="19" t="s">
        <v>638</v>
      </c>
      <c r="D12" s="19" t="s">
        <v>27</v>
      </c>
      <c r="E12" s="19" t="s">
        <v>26</v>
      </c>
      <c r="G12" s="19" t="s">
        <v>639</v>
      </c>
      <c r="H12" s="19" t="s">
        <v>640</v>
      </c>
      <c r="I12" s="339" t="s">
        <v>641</v>
      </c>
      <c r="J12" s="340"/>
      <c r="K12" s="339" t="s">
        <v>642</v>
      </c>
      <c r="L12" s="340"/>
      <c r="M12" s="341" t="s">
        <v>643</v>
      </c>
      <c r="N12" s="341"/>
    </row>
    <row r="13" spans="1:14" s="2" customFormat="1" ht="48" customHeight="1">
      <c r="A13" s="20">
        <v>1</v>
      </c>
      <c r="B13" s="20">
        <f>'Kertas Kerja'!A7</f>
        <v>1</v>
      </c>
      <c r="C13" s="21" t="s">
        <v>644</v>
      </c>
      <c r="D13" s="22">
        <f>'Kertas Kerja'!H7</f>
        <v>0</v>
      </c>
      <c r="E13" s="23">
        <f>'Kertas Kerja'!E13</f>
        <v>3</v>
      </c>
      <c r="F13" s="24"/>
      <c r="G13" s="23">
        <v>1</v>
      </c>
      <c r="H13" s="23">
        <f t="shared" ref="H13:H44" si="0">E13*G13</f>
        <v>3</v>
      </c>
      <c r="I13" s="22"/>
      <c r="J13" s="22"/>
      <c r="K13" s="22"/>
      <c r="L13" s="22"/>
      <c r="M13" s="22"/>
      <c r="N13" s="22"/>
    </row>
    <row r="14" spans="1:14" s="2" customFormat="1" ht="96" customHeight="1">
      <c r="A14" s="20">
        <v>2</v>
      </c>
      <c r="B14" s="20">
        <f>'Kertas Kerja'!A15</f>
        <v>2</v>
      </c>
      <c r="C14" s="21" t="s">
        <v>645</v>
      </c>
      <c r="D14" s="22">
        <f>'Kertas Kerja'!H15</f>
        <v>0</v>
      </c>
      <c r="E14" s="23">
        <f>'Kertas Kerja'!E21</f>
        <v>3</v>
      </c>
      <c r="F14" s="24"/>
      <c r="G14" s="23">
        <v>1</v>
      </c>
      <c r="H14" s="23">
        <f t="shared" si="0"/>
        <v>3</v>
      </c>
      <c r="I14" s="22"/>
      <c r="J14" s="22"/>
      <c r="K14" s="22"/>
      <c r="L14" s="22"/>
      <c r="M14" s="22"/>
      <c r="N14" s="22"/>
    </row>
    <row r="15" spans="1:14" s="2" customFormat="1" ht="96" customHeight="1">
      <c r="A15" s="20">
        <v>3</v>
      </c>
      <c r="B15" s="20">
        <f>'Kertas Kerja'!A23</f>
        <v>3</v>
      </c>
      <c r="C15" s="25" t="s">
        <v>646</v>
      </c>
      <c r="D15" s="22">
        <f>'Kertas Kerja'!H23</f>
        <v>0</v>
      </c>
      <c r="E15" s="23">
        <f>'Kertas Kerja'!E29</f>
        <v>3</v>
      </c>
      <c r="F15" s="24"/>
      <c r="G15" s="23">
        <v>0.51111111111110996</v>
      </c>
      <c r="H15" s="23">
        <f t="shared" si="0"/>
        <v>1.5333333333333299</v>
      </c>
      <c r="I15" s="22"/>
      <c r="J15" s="22"/>
      <c r="K15" s="22"/>
      <c r="L15" s="22"/>
      <c r="M15" s="22"/>
      <c r="N15" s="22"/>
    </row>
    <row r="16" spans="1:14" s="2" customFormat="1" ht="36" customHeight="1">
      <c r="A16" s="20">
        <v>4</v>
      </c>
      <c r="B16" s="20">
        <f>'Kertas Kerja'!A31</f>
        <v>4</v>
      </c>
      <c r="C16" s="25" t="s">
        <v>50</v>
      </c>
      <c r="D16" s="22">
        <f>'Kertas Kerja'!H31</f>
        <v>0</v>
      </c>
      <c r="E16" s="23">
        <f>'Kertas Kerja'!E37</f>
        <v>4</v>
      </c>
      <c r="F16" s="24"/>
      <c r="G16" s="23">
        <v>1.0222222222221999</v>
      </c>
      <c r="H16" s="23">
        <f t="shared" si="0"/>
        <v>4.0888888888887998</v>
      </c>
      <c r="I16" s="22"/>
      <c r="J16" s="22"/>
      <c r="K16" s="22"/>
      <c r="L16" s="22"/>
      <c r="M16" s="22"/>
      <c r="N16" s="22"/>
    </row>
    <row r="17" spans="1:14" s="2" customFormat="1" ht="60" customHeight="1">
      <c r="A17" s="20">
        <v>5</v>
      </c>
      <c r="B17" s="20">
        <f>'Kertas Kerja'!A39</f>
        <v>5</v>
      </c>
      <c r="C17" s="26" t="s">
        <v>56</v>
      </c>
      <c r="D17" s="22">
        <f>'Kertas Kerja'!H39</f>
        <v>0</v>
      </c>
      <c r="E17" s="23">
        <f>'Kertas Kerja'!E45</f>
        <v>3</v>
      </c>
      <c r="F17" s="24"/>
      <c r="G17" s="23">
        <v>1.5333333333332999</v>
      </c>
      <c r="H17" s="23">
        <f t="shared" si="0"/>
        <v>4.5999999999999002</v>
      </c>
      <c r="I17" s="22"/>
      <c r="J17" s="22"/>
      <c r="K17" s="22"/>
      <c r="L17" s="22"/>
      <c r="M17" s="22"/>
      <c r="N17" s="22"/>
    </row>
    <row r="18" spans="1:14" s="2" customFormat="1" ht="132" customHeight="1">
      <c r="A18" s="20">
        <v>6</v>
      </c>
      <c r="B18" s="20">
        <f>'Kertas Kerja'!A47</f>
        <v>6</v>
      </c>
      <c r="C18" s="26" t="s">
        <v>647</v>
      </c>
      <c r="D18" s="22">
        <f>'Kertas Kerja'!H47</f>
        <v>0</v>
      </c>
      <c r="E18" s="23">
        <f>'Kertas Kerja'!E59</f>
        <v>4</v>
      </c>
      <c r="F18" s="24"/>
      <c r="G18" s="23">
        <v>0.34074074074074001</v>
      </c>
      <c r="H18" s="23">
        <f t="shared" si="0"/>
        <v>1.36296296296296</v>
      </c>
      <c r="I18" s="22"/>
      <c r="J18" s="22"/>
      <c r="K18" s="22"/>
      <c r="L18" s="22"/>
      <c r="M18" s="22"/>
      <c r="N18" s="22"/>
    </row>
    <row r="19" spans="1:14" s="2" customFormat="1" ht="120" customHeight="1">
      <c r="A19" s="20">
        <v>7</v>
      </c>
      <c r="B19" s="20">
        <f>'Kertas Kerja'!A61</f>
        <v>7</v>
      </c>
      <c r="C19" s="26" t="s">
        <v>648</v>
      </c>
      <c r="D19" s="22">
        <f>'Kertas Kerja'!H61</f>
        <v>0</v>
      </c>
      <c r="E19" s="23">
        <f>'Kertas Kerja'!E73</f>
        <v>2.6666666666666665</v>
      </c>
      <c r="F19" s="24"/>
      <c r="G19" s="23">
        <v>0.34074074074074001</v>
      </c>
      <c r="H19" s="23">
        <f t="shared" si="0"/>
        <v>0.90864197530863999</v>
      </c>
      <c r="I19" s="22"/>
      <c r="J19" s="22"/>
      <c r="K19" s="22"/>
      <c r="L19" s="22"/>
      <c r="M19" s="22"/>
      <c r="N19" s="22"/>
    </row>
    <row r="20" spans="1:14" s="2" customFormat="1" ht="192" customHeight="1">
      <c r="A20" s="20">
        <v>8</v>
      </c>
      <c r="B20" s="20">
        <f>'Kertas Kerja'!A75</f>
        <v>8</v>
      </c>
      <c r="C20" s="26" t="s">
        <v>649</v>
      </c>
      <c r="D20" s="22">
        <f>'Kertas Kerja'!H75</f>
        <v>0</v>
      </c>
      <c r="E20" s="23">
        <f>'Kertas Kerja'!E81</f>
        <v>3</v>
      </c>
      <c r="F20" s="24"/>
      <c r="G20" s="23">
        <v>0.68148148148148002</v>
      </c>
      <c r="H20" s="23">
        <f t="shared" si="0"/>
        <v>2.0444444444444398</v>
      </c>
      <c r="I20" s="26"/>
      <c r="J20" s="26"/>
      <c r="K20" s="26"/>
      <c r="L20" s="26"/>
      <c r="M20" s="26"/>
      <c r="N20" s="26"/>
    </row>
    <row r="21" spans="1:14" s="2" customFormat="1" ht="108" customHeight="1">
      <c r="A21" s="20">
        <v>9</v>
      </c>
      <c r="B21" s="20">
        <f>'Kertas Kerja'!A83</f>
        <v>9</v>
      </c>
      <c r="C21" s="26" t="s">
        <v>650</v>
      </c>
      <c r="D21" s="22">
        <f>'Kertas Kerja'!H83</f>
        <v>0</v>
      </c>
      <c r="E21" s="23">
        <f>'Kertas Kerja'!E108</f>
        <v>4</v>
      </c>
      <c r="F21" s="24"/>
      <c r="G21" s="23">
        <v>0.34074074074074001</v>
      </c>
      <c r="H21" s="23">
        <f t="shared" si="0"/>
        <v>1.36296296296296</v>
      </c>
      <c r="I21" s="26"/>
      <c r="J21" s="26"/>
      <c r="K21" s="26"/>
      <c r="L21" s="26"/>
      <c r="M21" s="26"/>
      <c r="N21" s="26"/>
    </row>
    <row r="22" spans="1:14" s="2" customFormat="1" ht="48" customHeight="1">
      <c r="A22" s="20">
        <v>10</v>
      </c>
      <c r="B22" s="20">
        <f>'Kertas Kerja'!A110</f>
        <v>10</v>
      </c>
      <c r="C22" s="26" t="s">
        <v>651</v>
      </c>
      <c r="D22" s="22">
        <f>'Kertas Kerja'!H110</f>
        <v>0</v>
      </c>
      <c r="E22" s="23">
        <f>'Kertas Kerja'!E116</f>
        <v>2</v>
      </c>
      <c r="F22" s="24"/>
      <c r="G22" s="23">
        <v>0.68148148148148002</v>
      </c>
      <c r="H22" s="23">
        <f t="shared" si="0"/>
        <v>1.36296296296296</v>
      </c>
      <c r="I22" s="26"/>
      <c r="J22" s="26"/>
      <c r="K22" s="26"/>
      <c r="L22" s="26"/>
      <c r="M22" s="26"/>
      <c r="N22" s="26"/>
    </row>
    <row r="23" spans="1:14" s="2" customFormat="1" ht="168" customHeight="1">
      <c r="A23" s="20">
        <v>11</v>
      </c>
      <c r="B23" s="20">
        <f>'Kertas Kerja'!A118</f>
        <v>11</v>
      </c>
      <c r="C23" s="26" t="s">
        <v>652</v>
      </c>
      <c r="D23" s="22">
        <f>'Kertas Kerja'!H118</f>
        <v>0</v>
      </c>
      <c r="E23" s="23">
        <f>'Kertas Kerja'!E124</f>
        <v>3</v>
      </c>
      <c r="F23" s="24"/>
      <c r="G23" s="23">
        <v>1.0222222222221999</v>
      </c>
      <c r="H23" s="23">
        <f t="shared" si="0"/>
        <v>3.0666666666665998</v>
      </c>
      <c r="I23" s="26"/>
      <c r="J23" s="26"/>
      <c r="K23" s="26"/>
      <c r="L23" s="26"/>
      <c r="M23" s="26"/>
      <c r="N23" s="26"/>
    </row>
    <row r="24" spans="1:14" s="2" customFormat="1" ht="168" customHeight="1">
      <c r="A24" s="20">
        <v>12</v>
      </c>
      <c r="B24" s="20">
        <f>'Kertas Kerja'!A126</f>
        <v>12</v>
      </c>
      <c r="C24" s="26" t="s">
        <v>653</v>
      </c>
      <c r="D24" s="22">
        <f>'Kertas Kerja'!H126</f>
        <v>0</v>
      </c>
      <c r="E24" s="23">
        <f>'Kertas Kerja'!E132</f>
        <v>4</v>
      </c>
      <c r="F24" s="24"/>
      <c r="G24" s="23">
        <v>1.362962962963</v>
      </c>
      <c r="H24" s="23">
        <f t="shared" si="0"/>
        <v>5.4518518518520001</v>
      </c>
      <c r="I24" s="26" t="s">
        <v>654</v>
      </c>
      <c r="J24" s="26" t="str">
        <f>IF(E24&gt;=2,"TERPENUHI","TIDAK TERPENUHI")</f>
        <v>TERPENUHI</v>
      </c>
      <c r="K24" s="26"/>
      <c r="L24" s="26"/>
      <c r="M24" s="26"/>
      <c r="N24" s="26"/>
    </row>
    <row r="25" spans="1:14" s="2" customFormat="1" ht="264" customHeight="1">
      <c r="A25" s="20">
        <v>13</v>
      </c>
      <c r="B25" s="20">
        <f>'Kertas Kerja'!A134</f>
        <v>13</v>
      </c>
      <c r="C25" s="26" t="s">
        <v>655</v>
      </c>
      <c r="D25" s="22">
        <f>'Kertas Kerja'!H134</f>
        <v>0</v>
      </c>
      <c r="E25" s="23">
        <f>'Kertas Kerja'!E140</f>
        <v>3</v>
      </c>
      <c r="F25" s="24"/>
      <c r="G25" s="23">
        <v>1.362962962963</v>
      </c>
      <c r="H25" s="23">
        <f t="shared" si="0"/>
        <v>4.0888888888890005</v>
      </c>
      <c r="I25" s="26"/>
      <c r="J25" s="26"/>
      <c r="K25" s="26"/>
      <c r="L25" s="26"/>
      <c r="M25" s="26"/>
      <c r="N25" s="26"/>
    </row>
    <row r="26" spans="1:14" s="2" customFormat="1" ht="84" customHeight="1">
      <c r="A26" s="20">
        <v>14</v>
      </c>
      <c r="B26" s="20">
        <f>'Kertas Kerja'!A142</f>
        <v>14</v>
      </c>
      <c r="C26" s="26" t="s">
        <v>656</v>
      </c>
      <c r="D26" s="22">
        <f>'Kertas Kerja'!H142</f>
        <v>0</v>
      </c>
      <c r="E26" s="23">
        <f>'Kertas Kerja'!E160</f>
        <v>4</v>
      </c>
      <c r="F26" s="24"/>
      <c r="G26" s="23">
        <v>4.5999999999999996</v>
      </c>
      <c r="H26" s="23">
        <f t="shared" si="0"/>
        <v>18.399999999999999</v>
      </c>
      <c r="I26" s="26"/>
      <c r="J26" s="26"/>
      <c r="K26" s="26"/>
      <c r="L26" s="26"/>
      <c r="M26" s="26"/>
      <c r="N26" s="26"/>
    </row>
    <row r="27" spans="1:14" s="2" customFormat="1" ht="60" customHeight="1">
      <c r="A27" s="20">
        <v>15</v>
      </c>
      <c r="B27" s="20">
        <f>'Kertas Kerja'!A162</f>
        <v>15</v>
      </c>
      <c r="C27" s="26" t="s">
        <v>657</v>
      </c>
      <c r="D27" s="22">
        <f>'Kertas Kerja'!H162</f>
        <v>0</v>
      </c>
      <c r="E27" s="23">
        <f>'Kertas Kerja'!E175</f>
        <v>2.6666666666666665</v>
      </c>
      <c r="F27" s="24"/>
      <c r="G27" s="23">
        <v>3.0666666666667002</v>
      </c>
      <c r="H27" s="23">
        <f t="shared" si="0"/>
        <v>8.177777777777866</v>
      </c>
      <c r="I27" s="26"/>
      <c r="J27" s="26"/>
      <c r="K27" s="26"/>
      <c r="L27" s="26"/>
      <c r="M27" s="26"/>
      <c r="N27" s="26"/>
    </row>
    <row r="28" spans="1:14" s="2" customFormat="1" ht="108" customHeight="1">
      <c r="A28" s="20">
        <v>16</v>
      </c>
      <c r="B28" s="20">
        <f>'Kertas Kerja'!A177</f>
        <v>16</v>
      </c>
      <c r="C28" s="26" t="s">
        <v>658</v>
      </c>
      <c r="D28" s="22">
        <f>'Kertas Kerja'!H177</f>
        <v>0</v>
      </c>
      <c r="E28" s="23">
        <f>'Kertas Kerja'!E189</f>
        <v>4</v>
      </c>
      <c r="F28" s="24"/>
      <c r="G28" s="23">
        <v>1.5333333333332999</v>
      </c>
      <c r="H28" s="23">
        <f t="shared" si="0"/>
        <v>6.1333333333331996</v>
      </c>
      <c r="I28" s="26"/>
      <c r="J28" s="26"/>
      <c r="K28" s="26"/>
      <c r="L28" s="26"/>
      <c r="M28" s="26"/>
      <c r="N28" s="26"/>
    </row>
    <row r="29" spans="1:14" s="2" customFormat="1" ht="60" customHeight="1">
      <c r="A29" s="20">
        <v>17</v>
      </c>
      <c r="B29" s="20">
        <f>'Kertas Kerja'!A191</f>
        <v>17</v>
      </c>
      <c r="C29" s="26" t="s">
        <v>659</v>
      </c>
      <c r="D29" s="22">
        <f>'Kertas Kerja'!H191</f>
        <v>0</v>
      </c>
      <c r="E29" s="23">
        <f>'Kertas Kerja'!E195</f>
        <v>3.7777777777777777</v>
      </c>
      <c r="F29" s="24"/>
      <c r="G29" s="23">
        <v>0.74343434343434001</v>
      </c>
      <c r="H29" s="23">
        <f t="shared" si="0"/>
        <v>2.8085297418630621</v>
      </c>
      <c r="I29" s="26" t="s">
        <v>654</v>
      </c>
      <c r="J29" s="26" t="str">
        <f>IF(E29&gt;=2,"TERPENUHI","TIDAK TERPENUHI")</f>
        <v>TERPENUHI</v>
      </c>
      <c r="K29" s="26"/>
      <c r="L29" s="26"/>
      <c r="M29" s="26"/>
      <c r="N29" s="26"/>
    </row>
    <row r="30" spans="1:14" s="2" customFormat="1" ht="24" customHeight="1">
      <c r="A30" s="20">
        <v>18</v>
      </c>
      <c r="B30" s="20">
        <f>'Kertas Kerja'!A197</f>
        <v>18</v>
      </c>
      <c r="C30" s="26" t="s">
        <v>188</v>
      </c>
      <c r="D30" s="22">
        <f>'Kertas Kerja'!H197</f>
        <v>0</v>
      </c>
      <c r="E30" s="23">
        <f>'Kertas Kerja'!E202</f>
        <v>2</v>
      </c>
      <c r="F30" s="24"/>
      <c r="G30" s="23">
        <v>0.99124579124579004</v>
      </c>
      <c r="H30" s="23">
        <f t="shared" si="0"/>
        <v>1.9824915824915801</v>
      </c>
      <c r="I30" s="26"/>
      <c r="J30" s="26"/>
      <c r="K30" s="26" t="s">
        <v>660</v>
      </c>
      <c r="L30" s="26" t="str">
        <f>IF(E30&gt;=3.5,"TERPENUHI","TIDAK TERPENUHI")</f>
        <v>TIDAK TERPENUHI</v>
      </c>
      <c r="M30" s="26" t="s">
        <v>661</v>
      </c>
      <c r="N30" s="26" t="str">
        <f>IF(E30&gt;=3,"TERPENUHI","TIDAK TERPENUHI")</f>
        <v>TIDAK TERPENUHI</v>
      </c>
    </row>
    <row r="31" spans="1:14" s="2" customFormat="1" ht="12" hidden="1" customHeight="1">
      <c r="A31" s="20">
        <v>19</v>
      </c>
      <c r="B31" s="20">
        <f>'Kertas Kerja'!A204</f>
        <v>0</v>
      </c>
      <c r="C31" s="27"/>
      <c r="D31" s="22">
        <f>'Kertas Kerja'!H204</f>
        <v>0</v>
      </c>
      <c r="E31" s="23">
        <f>'Kertas Kerja'!E209</f>
        <v>0</v>
      </c>
      <c r="F31" s="24"/>
      <c r="G31" s="23"/>
      <c r="H31" s="23">
        <f t="shared" si="0"/>
        <v>0</v>
      </c>
      <c r="I31" s="26"/>
      <c r="J31" s="26"/>
      <c r="K31" s="26"/>
      <c r="L31" s="26"/>
      <c r="M31" s="26"/>
      <c r="N31" s="26"/>
    </row>
    <row r="32" spans="1:14" s="2" customFormat="1" ht="24" customHeight="1">
      <c r="A32" s="20">
        <v>20</v>
      </c>
      <c r="B32" s="20">
        <f>'Kertas Kerja'!A211</f>
        <v>19</v>
      </c>
      <c r="C32" s="26" t="s">
        <v>191</v>
      </c>
      <c r="D32" s="22">
        <f>'Kertas Kerja'!H211</f>
        <v>0</v>
      </c>
      <c r="E32" s="23">
        <f>'Kertas Kerja'!E218</f>
        <v>2</v>
      </c>
      <c r="F32" s="24"/>
      <c r="G32" s="23">
        <v>0.49562289562290002</v>
      </c>
      <c r="H32" s="23">
        <f t="shared" si="0"/>
        <v>0.99124579124580003</v>
      </c>
      <c r="I32" s="26"/>
      <c r="J32" s="26"/>
      <c r="K32" s="26" t="s">
        <v>660</v>
      </c>
      <c r="L32" s="26" t="str">
        <f>IF(E32&gt;=3.5,"TERPENUHI","TIDAK TERPENUHI")</f>
        <v>TIDAK TERPENUHI</v>
      </c>
      <c r="M32" s="26" t="s">
        <v>661</v>
      </c>
      <c r="N32" s="26" t="str">
        <f>IF(E32&gt;=3,"TERPENUHI","TIDAK TERPENUHI")</f>
        <v>TIDAK TERPENUHI</v>
      </c>
    </row>
    <row r="33" spans="1:14" s="2" customFormat="1" ht="48" customHeight="1">
      <c r="A33" s="20">
        <v>21</v>
      </c>
      <c r="B33" s="20">
        <f>'Kertas Kerja'!A220</f>
        <v>20</v>
      </c>
      <c r="C33" s="26" t="s">
        <v>662</v>
      </c>
      <c r="D33" s="22">
        <f>'Kertas Kerja'!H220</f>
        <v>0</v>
      </c>
      <c r="E33" s="23">
        <f>'Kertas Kerja'!E239</f>
        <v>2.5090909090909093</v>
      </c>
      <c r="F33" s="24"/>
      <c r="G33" s="23">
        <v>0.49562289562290002</v>
      </c>
      <c r="H33" s="23">
        <f t="shared" si="0"/>
        <v>1.2435629017447309</v>
      </c>
      <c r="I33" s="26"/>
      <c r="J33" s="26"/>
      <c r="K33" s="26"/>
      <c r="L33" s="26"/>
      <c r="M33" s="26"/>
      <c r="N33" s="26"/>
    </row>
    <row r="34" spans="1:14" s="2" customFormat="1" ht="36" customHeight="1">
      <c r="A34" s="20">
        <v>22</v>
      </c>
      <c r="B34" s="20">
        <f>'Kertas Kerja'!A241</f>
        <v>21</v>
      </c>
      <c r="C34" s="26" t="s">
        <v>209</v>
      </c>
      <c r="D34" s="22">
        <f>'Kertas Kerja'!H241</f>
        <v>0</v>
      </c>
      <c r="E34" s="23">
        <f>'Kertas Kerja'!E247</f>
        <v>4</v>
      </c>
      <c r="F34" s="24"/>
      <c r="G34" s="23">
        <v>0.99124579124579004</v>
      </c>
      <c r="H34" s="23">
        <f t="shared" si="0"/>
        <v>3.9649831649831602</v>
      </c>
      <c r="I34" s="26"/>
      <c r="J34" s="26"/>
      <c r="K34" s="26"/>
      <c r="L34" s="26"/>
      <c r="M34" s="26"/>
      <c r="N34" s="26"/>
    </row>
    <row r="35" spans="1:14" s="2" customFormat="1" ht="36" customHeight="1">
      <c r="A35" s="20">
        <v>23</v>
      </c>
      <c r="B35" s="20">
        <f>'Kertas Kerja'!A249</f>
        <v>22</v>
      </c>
      <c r="C35" s="26" t="s">
        <v>213</v>
      </c>
      <c r="D35" s="22">
        <f>'Kertas Kerja'!H249</f>
        <v>0</v>
      </c>
      <c r="E35" s="23">
        <f>'Kertas Kerja'!E257</f>
        <v>4</v>
      </c>
      <c r="F35" s="24"/>
      <c r="G35" s="23">
        <v>0.24781144781145001</v>
      </c>
      <c r="H35" s="23">
        <f t="shared" si="0"/>
        <v>0.99124579124580003</v>
      </c>
      <c r="I35" s="26"/>
      <c r="J35" s="26"/>
      <c r="K35" s="26"/>
      <c r="L35" s="26"/>
      <c r="M35" s="26"/>
      <c r="N35" s="26"/>
    </row>
    <row r="36" spans="1:14" s="2" customFormat="1" ht="24" customHeight="1">
      <c r="A36" s="20">
        <v>24</v>
      </c>
      <c r="B36" s="20">
        <f>'Kertas Kerja'!A259</f>
        <v>23</v>
      </c>
      <c r="C36" s="26" t="s">
        <v>218</v>
      </c>
      <c r="D36" s="22">
        <f>'Kertas Kerja'!H259</f>
        <v>0</v>
      </c>
      <c r="E36" s="23">
        <f>'Kertas Kerja'!E265</f>
        <v>4</v>
      </c>
      <c r="F36" s="24"/>
      <c r="G36" s="23">
        <v>0.49562289562290002</v>
      </c>
      <c r="H36" s="23">
        <f t="shared" si="0"/>
        <v>1.9824915824916001</v>
      </c>
      <c r="I36" s="26"/>
      <c r="J36" s="26"/>
      <c r="K36" s="26"/>
      <c r="L36" s="26"/>
      <c r="M36" s="26"/>
      <c r="N36" s="26"/>
    </row>
    <row r="37" spans="1:14" s="2" customFormat="1" ht="12" hidden="1" customHeight="1">
      <c r="A37" s="20">
        <v>25</v>
      </c>
      <c r="B37" s="20">
        <f>'Kertas Kerja'!A267</f>
        <v>0</v>
      </c>
      <c r="C37" s="27"/>
      <c r="D37" s="22">
        <f>'Kertas Kerja'!H267</f>
        <v>0</v>
      </c>
      <c r="E37" s="23">
        <f>'Kertas Kerja'!E272</f>
        <v>0</v>
      </c>
      <c r="F37" s="24"/>
      <c r="G37" s="23"/>
      <c r="H37" s="23">
        <f t="shared" si="0"/>
        <v>0</v>
      </c>
      <c r="I37" s="26"/>
      <c r="J37" s="26"/>
      <c r="K37" s="26"/>
      <c r="L37" s="26"/>
      <c r="M37" s="26"/>
      <c r="N37" s="26"/>
    </row>
    <row r="38" spans="1:14" s="2" customFormat="1" ht="48" customHeight="1">
      <c r="A38" s="20">
        <v>26</v>
      </c>
      <c r="B38" s="20">
        <f>'Kertas Kerja'!A274</f>
        <v>24</v>
      </c>
      <c r="C38" s="26" t="s">
        <v>663</v>
      </c>
      <c r="D38" s="22">
        <f>'Kertas Kerja'!H274</f>
        <v>0</v>
      </c>
      <c r="E38" s="23">
        <f>'Kertas Kerja'!E279</f>
        <v>3.8181818181818183</v>
      </c>
      <c r="F38" s="24"/>
      <c r="G38" s="23">
        <v>0.81101928374655996</v>
      </c>
      <c r="H38" s="23">
        <f t="shared" si="0"/>
        <v>3.0966190833959564</v>
      </c>
      <c r="I38" s="26"/>
      <c r="J38" s="26"/>
      <c r="K38" s="26"/>
      <c r="L38" s="26"/>
      <c r="M38" s="26"/>
      <c r="N38" s="26"/>
    </row>
    <row r="39" spans="1:14" s="2" customFormat="1" ht="48" customHeight="1">
      <c r="A39" s="20">
        <v>27</v>
      </c>
      <c r="B39" s="20">
        <f>'Kertas Kerja'!A281</f>
        <v>25</v>
      </c>
      <c r="C39" s="26" t="s">
        <v>226</v>
      </c>
      <c r="D39" s="22">
        <f>'Kertas Kerja'!H281</f>
        <v>0</v>
      </c>
      <c r="E39" s="23">
        <f>'Kertas Kerja'!E297</f>
        <v>2.1010101010101012</v>
      </c>
      <c r="F39" s="24"/>
      <c r="G39" s="23">
        <v>0.81101928374655996</v>
      </c>
      <c r="H39" s="23">
        <f t="shared" si="0"/>
        <v>1.7039597072654999</v>
      </c>
      <c r="I39" s="26"/>
      <c r="J39" s="26"/>
      <c r="K39" s="26"/>
      <c r="L39" s="26"/>
      <c r="M39" s="26"/>
      <c r="N39" s="26"/>
    </row>
    <row r="40" spans="1:14" s="2" customFormat="1" ht="48" customHeight="1">
      <c r="A40" s="20">
        <v>28</v>
      </c>
      <c r="B40" s="20">
        <f>'Kertas Kerja'!A299</f>
        <v>26</v>
      </c>
      <c r="C40" s="26" t="s">
        <v>238</v>
      </c>
      <c r="D40" s="22">
        <f>'Kertas Kerja'!H299</f>
        <v>0</v>
      </c>
      <c r="E40" s="23">
        <f>'Kertas Kerja'!E315</f>
        <v>0.54545454545454541</v>
      </c>
      <c r="F40" s="24"/>
      <c r="G40" s="23">
        <v>0.40550964187327998</v>
      </c>
      <c r="H40" s="23">
        <f t="shared" si="0"/>
        <v>0.22118707738542542</v>
      </c>
      <c r="I40" s="26"/>
      <c r="J40" s="26"/>
      <c r="K40" s="26"/>
      <c r="L40" s="26"/>
      <c r="M40" s="26"/>
      <c r="N40" s="26"/>
    </row>
    <row r="41" spans="1:14" s="2" customFormat="1" ht="60" customHeight="1">
      <c r="A41" s="20">
        <v>29</v>
      </c>
      <c r="B41" s="20">
        <f>'Kertas Kerja'!A317</f>
        <v>27</v>
      </c>
      <c r="C41" s="26" t="s">
        <v>242</v>
      </c>
      <c r="D41" s="22">
        <f>'Kertas Kerja'!H317</f>
        <v>0</v>
      </c>
      <c r="E41" s="23">
        <f>'Kertas Kerja'!E340</f>
        <v>4</v>
      </c>
      <c r="F41" s="24"/>
      <c r="G41" s="23">
        <v>0.81101928374655996</v>
      </c>
      <c r="H41" s="23">
        <f t="shared" si="0"/>
        <v>3.2440771349862398</v>
      </c>
      <c r="I41" s="26"/>
      <c r="J41" s="26"/>
      <c r="K41" s="26"/>
      <c r="L41" s="26"/>
      <c r="M41" s="26"/>
      <c r="N41" s="26"/>
    </row>
    <row r="42" spans="1:14" s="2" customFormat="1" ht="36" customHeight="1">
      <c r="A42" s="20">
        <v>30</v>
      </c>
      <c r="B42" s="20">
        <f>'Kertas Kerja'!A342</f>
        <v>28</v>
      </c>
      <c r="C42" s="25" t="s">
        <v>256</v>
      </c>
      <c r="D42" s="22">
        <f>'Kertas Kerja'!H342</f>
        <v>0</v>
      </c>
      <c r="E42" s="23">
        <f>'Kertas Kerja'!E347</f>
        <v>3.0909090909090908</v>
      </c>
      <c r="F42" s="24"/>
      <c r="G42" s="23">
        <v>0.81101928374655996</v>
      </c>
      <c r="H42" s="23">
        <f t="shared" si="0"/>
        <v>2.5067868770348216</v>
      </c>
      <c r="I42" s="26"/>
      <c r="J42" s="26"/>
      <c r="K42" s="26"/>
      <c r="L42" s="26"/>
      <c r="M42" s="26"/>
      <c r="N42" s="26"/>
    </row>
    <row r="43" spans="1:14" s="2" customFormat="1" ht="12" hidden="1" customHeight="1">
      <c r="A43" s="20">
        <v>31</v>
      </c>
      <c r="B43" s="20">
        <f>'Kertas Kerja'!A349</f>
        <v>0</v>
      </c>
      <c r="C43" s="27"/>
      <c r="D43" s="22">
        <f>'Kertas Kerja'!H349</f>
        <v>0</v>
      </c>
      <c r="E43" s="23">
        <f>'Kertas Kerja'!E354</f>
        <v>0</v>
      </c>
      <c r="F43" s="24"/>
      <c r="G43" s="23"/>
      <c r="H43" s="23">
        <f t="shared" si="0"/>
        <v>0</v>
      </c>
      <c r="I43" s="26"/>
      <c r="J43" s="26"/>
      <c r="K43" s="26"/>
      <c r="L43" s="26"/>
      <c r="M43" s="26"/>
      <c r="N43" s="26"/>
    </row>
    <row r="44" spans="1:14" s="2" customFormat="1" ht="36" customHeight="1">
      <c r="A44" s="20">
        <v>32</v>
      </c>
      <c r="B44" s="20">
        <f>'Kertas Kerja'!A356</f>
        <v>29</v>
      </c>
      <c r="C44" s="25" t="s">
        <v>259</v>
      </c>
      <c r="D44" s="22">
        <f>'Kertas Kerja'!H356</f>
        <v>0</v>
      </c>
      <c r="E44" s="23">
        <f>'Kertas Kerja'!E364</f>
        <v>2</v>
      </c>
      <c r="F44" s="24"/>
      <c r="G44" s="23">
        <v>0.81101928374655996</v>
      </c>
      <c r="H44" s="23">
        <f t="shared" si="0"/>
        <v>1.6220385674931199</v>
      </c>
      <c r="I44" s="26"/>
      <c r="J44" s="26"/>
      <c r="K44" s="26"/>
      <c r="L44" s="26"/>
      <c r="M44" s="26"/>
      <c r="N44" s="26"/>
    </row>
    <row r="45" spans="1:14" s="2" customFormat="1" ht="24" customHeight="1">
      <c r="A45" s="20">
        <v>33</v>
      </c>
      <c r="B45" s="20">
        <f>'Kertas Kerja'!A366</f>
        <v>30</v>
      </c>
      <c r="C45" s="26" t="s">
        <v>664</v>
      </c>
      <c r="D45" s="22">
        <f>'Kertas Kerja'!H366</f>
        <v>0</v>
      </c>
      <c r="E45" s="23">
        <f>'Kertas Kerja'!E373</f>
        <v>3</v>
      </c>
      <c r="F45" s="24"/>
      <c r="G45" s="23">
        <v>2.2303030303029998</v>
      </c>
      <c r="H45" s="23">
        <f t="shared" ref="H45:H76" si="1">E45*G45</f>
        <v>6.690909090908999</v>
      </c>
      <c r="I45" s="26"/>
      <c r="J45" s="26"/>
      <c r="K45" s="26"/>
      <c r="L45" s="26"/>
      <c r="M45" s="26"/>
      <c r="N45" s="26"/>
    </row>
    <row r="46" spans="1:14" s="2" customFormat="1" ht="96" customHeight="1">
      <c r="A46" s="20">
        <v>34</v>
      </c>
      <c r="B46" s="20">
        <f>'Kertas Kerja'!A375</f>
        <v>31</v>
      </c>
      <c r="C46" s="26" t="s">
        <v>665</v>
      </c>
      <c r="D46" s="22">
        <f>'Kertas Kerja'!H375</f>
        <v>0</v>
      </c>
      <c r="E46" s="23">
        <f>'Kertas Kerja'!E387</f>
        <v>2.5</v>
      </c>
      <c r="F46" s="24"/>
      <c r="G46" s="23">
        <v>1.1151515151514999</v>
      </c>
      <c r="H46" s="23">
        <f t="shared" si="1"/>
        <v>2.7878787878787499</v>
      </c>
      <c r="I46" s="26"/>
      <c r="J46" s="26"/>
      <c r="K46" s="26"/>
      <c r="L46" s="26"/>
      <c r="M46" s="26"/>
      <c r="N46" s="26"/>
    </row>
    <row r="47" spans="1:14" s="2" customFormat="1" ht="60" customHeight="1">
      <c r="A47" s="20">
        <v>35</v>
      </c>
      <c r="B47" s="20">
        <f>'Kertas Kerja'!A389</f>
        <v>32</v>
      </c>
      <c r="C47" s="26" t="s">
        <v>666</v>
      </c>
      <c r="D47" s="22">
        <f>'Kertas Kerja'!H389</f>
        <v>0</v>
      </c>
      <c r="E47" s="23">
        <f>'Kertas Kerja'!E394</f>
        <v>0.1679088778481013</v>
      </c>
      <c r="F47" s="24"/>
      <c r="G47" s="23">
        <v>0.76666666666667005</v>
      </c>
      <c r="H47" s="23">
        <f t="shared" si="1"/>
        <v>0.12873013968354488</v>
      </c>
      <c r="I47" s="26"/>
      <c r="J47" s="26"/>
      <c r="K47" s="26"/>
      <c r="L47" s="26"/>
      <c r="M47" s="26"/>
      <c r="N47" s="26"/>
    </row>
    <row r="48" spans="1:14" s="2" customFormat="1" ht="24" customHeight="1">
      <c r="A48" s="20">
        <v>36</v>
      </c>
      <c r="B48" s="20">
        <f>'Kertas Kerja'!A396</f>
        <v>33</v>
      </c>
      <c r="C48" s="26" t="s">
        <v>292</v>
      </c>
      <c r="D48" s="22">
        <f>'Kertas Kerja'!H396</f>
        <v>0</v>
      </c>
      <c r="E48" s="23">
        <f>'Kertas Kerja'!E401</f>
        <v>0.34242424242424235</v>
      </c>
      <c r="F48" s="24"/>
      <c r="G48" s="23">
        <v>0.76666666666667005</v>
      </c>
      <c r="H48" s="23">
        <f t="shared" si="1"/>
        <v>0.26252525252525361</v>
      </c>
      <c r="I48" s="26"/>
      <c r="J48" s="26"/>
      <c r="K48" s="26"/>
      <c r="L48" s="26"/>
      <c r="M48" s="26"/>
      <c r="N48" s="26"/>
    </row>
    <row r="49" spans="1:14" s="2" customFormat="1" ht="36" customHeight="1">
      <c r="A49" s="20">
        <v>37</v>
      </c>
      <c r="B49" s="20">
        <f>'Kertas Kerja'!A403</f>
        <v>34</v>
      </c>
      <c r="C49" s="26" t="s">
        <v>295</v>
      </c>
      <c r="D49" s="22">
        <f>'Kertas Kerja'!H403</f>
        <v>0</v>
      </c>
      <c r="E49" s="23">
        <f>'Kertas Kerja'!E408</f>
        <v>0.16921212121212117</v>
      </c>
      <c r="F49" s="24"/>
      <c r="G49" s="23">
        <v>0.38333333333332997</v>
      </c>
      <c r="H49" s="23">
        <f t="shared" si="1"/>
        <v>6.4864646464645875E-2</v>
      </c>
      <c r="I49" s="26"/>
      <c r="J49" s="26"/>
      <c r="K49" s="26"/>
      <c r="L49" s="26"/>
      <c r="M49" s="26"/>
      <c r="N49" s="26"/>
    </row>
    <row r="50" spans="1:14" s="2" customFormat="1" ht="36" customHeight="1">
      <c r="A50" s="20">
        <v>38</v>
      </c>
      <c r="B50" s="20">
        <f>'Kertas Kerja'!A410</f>
        <v>35</v>
      </c>
      <c r="C50" s="26" t="s">
        <v>667</v>
      </c>
      <c r="D50" s="22">
        <f>'Kertas Kerja'!H410</f>
        <v>0</v>
      </c>
      <c r="E50" s="23">
        <f>'Kertas Kerja'!E417</f>
        <v>2</v>
      </c>
      <c r="F50" s="24"/>
      <c r="G50" s="23">
        <v>0.38333333333332997</v>
      </c>
      <c r="H50" s="23">
        <f t="shared" si="1"/>
        <v>0.76666666666665995</v>
      </c>
      <c r="I50" s="26"/>
      <c r="J50" s="26"/>
      <c r="K50" s="26"/>
      <c r="L50" s="26"/>
      <c r="M50" s="26"/>
      <c r="N50" s="26"/>
    </row>
    <row r="51" spans="1:14" s="2" customFormat="1" ht="24" customHeight="1">
      <c r="A51" s="20">
        <v>39</v>
      </c>
      <c r="B51" s="20">
        <f>'Kertas Kerja'!A419</f>
        <v>36</v>
      </c>
      <c r="C51" s="26" t="s">
        <v>305</v>
      </c>
      <c r="D51" s="22">
        <f>'Kertas Kerja'!H419</f>
        <v>0</v>
      </c>
      <c r="E51" s="23">
        <f>'Kertas Kerja'!E425</f>
        <v>3</v>
      </c>
      <c r="F51" s="24"/>
      <c r="G51" s="23">
        <v>0.76666666666667005</v>
      </c>
      <c r="H51" s="23">
        <f t="shared" si="1"/>
        <v>2.30000000000001</v>
      </c>
      <c r="I51" s="26"/>
      <c r="J51" s="26"/>
      <c r="K51" s="26"/>
      <c r="L51" s="26"/>
      <c r="M51" s="26"/>
      <c r="N51" s="26"/>
    </row>
    <row r="52" spans="1:14" s="2" customFormat="1" ht="60" customHeight="1">
      <c r="A52" s="20">
        <v>40</v>
      </c>
      <c r="B52" s="20">
        <f>'Kertas Kerja'!A427</f>
        <v>37</v>
      </c>
      <c r="C52" s="26" t="s">
        <v>668</v>
      </c>
      <c r="D52" s="22">
        <f>'Kertas Kerja'!H427</f>
        <v>0</v>
      </c>
      <c r="E52" s="23">
        <f>'Kertas Kerja'!E433</f>
        <v>4</v>
      </c>
      <c r="F52" s="24"/>
      <c r="G52" s="23">
        <v>3.0666666666667002</v>
      </c>
      <c r="H52" s="23">
        <f t="shared" si="1"/>
        <v>12.266666666666801</v>
      </c>
      <c r="I52" s="26"/>
      <c r="J52" s="26"/>
      <c r="K52" s="26"/>
      <c r="L52" s="26"/>
      <c r="M52" s="26"/>
      <c r="N52" s="26"/>
    </row>
    <row r="53" spans="1:14" s="2" customFormat="1" ht="132" customHeight="1">
      <c r="A53" s="20">
        <v>41</v>
      </c>
      <c r="B53" s="20">
        <f>'Kertas Kerja'!A435</f>
        <v>38</v>
      </c>
      <c r="C53" s="26" t="s">
        <v>669</v>
      </c>
      <c r="D53" s="22">
        <f>'Kertas Kerja'!H435</f>
        <v>0</v>
      </c>
      <c r="E53" s="23">
        <f>'Kertas Kerja'!E453</f>
        <v>2.8</v>
      </c>
      <c r="F53" s="24"/>
      <c r="G53" s="23">
        <v>2.5090909090908999</v>
      </c>
      <c r="H53" s="23">
        <f t="shared" si="1"/>
        <v>7.0254545454545196</v>
      </c>
      <c r="I53" s="26" t="s">
        <v>654</v>
      </c>
      <c r="J53" s="26" t="str">
        <f>IF(E53&gt;=2,"TERPENUHI","TIDAK TERPENUHI")</f>
        <v>TERPENUHI</v>
      </c>
      <c r="K53" s="26"/>
      <c r="L53" s="26"/>
      <c r="M53" s="26"/>
      <c r="N53" s="26"/>
    </row>
    <row r="54" spans="1:14" s="2" customFormat="1" ht="96" customHeight="1">
      <c r="A54" s="20">
        <v>42</v>
      </c>
      <c r="B54" s="20">
        <f>'Kertas Kerja'!A455</f>
        <v>39</v>
      </c>
      <c r="C54" s="26" t="s">
        <v>670</v>
      </c>
      <c r="D54" s="22">
        <f>'Kertas Kerja'!H455</f>
        <v>0</v>
      </c>
      <c r="E54" s="23">
        <f>'Kertas Kerja'!E461</f>
        <v>3</v>
      </c>
      <c r="F54" s="24"/>
      <c r="G54" s="23">
        <v>0.83636363636363997</v>
      </c>
      <c r="H54" s="23">
        <f t="shared" si="1"/>
        <v>2.5090909090909199</v>
      </c>
      <c r="I54" s="26"/>
      <c r="J54" s="26"/>
      <c r="K54" s="26"/>
      <c r="L54" s="26"/>
      <c r="M54" s="26"/>
      <c r="N54" s="26"/>
    </row>
    <row r="55" spans="1:14" s="2" customFormat="1" ht="72" customHeight="1">
      <c r="A55" s="20">
        <v>43</v>
      </c>
      <c r="B55" s="20">
        <f>'Kertas Kerja'!A463</f>
        <v>40</v>
      </c>
      <c r="C55" s="26" t="s">
        <v>671</v>
      </c>
      <c r="D55" s="22">
        <f>'Kertas Kerja'!H463</f>
        <v>0</v>
      </c>
      <c r="E55" s="23">
        <f>'Kertas Kerja'!E475</f>
        <v>3</v>
      </c>
      <c r="F55" s="24"/>
      <c r="G55" s="23">
        <v>1.6727272727272999</v>
      </c>
      <c r="H55" s="23">
        <f t="shared" si="1"/>
        <v>5.0181818181818993</v>
      </c>
      <c r="I55" s="26"/>
      <c r="J55" s="26"/>
      <c r="K55" s="26"/>
      <c r="L55" s="26"/>
      <c r="M55" s="26"/>
      <c r="N55" s="26"/>
    </row>
    <row r="56" spans="1:14" s="2" customFormat="1" ht="409.5" customHeight="1">
      <c r="A56" s="20">
        <v>44</v>
      </c>
      <c r="B56" s="20">
        <f>'Kertas Kerja'!A477</f>
        <v>41</v>
      </c>
      <c r="C56" s="26" t="s">
        <v>672</v>
      </c>
      <c r="D56" s="22" t="str">
        <f>'Kertas Kerja'!H477</f>
        <v>c.6.4.d tidak ditemukan di LED</v>
      </c>
      <c r="E56" s="23">
        <f>'Kertas Kerja'!E507</f>
        <v>0</v>
      </c>
      <c r="F56" s="24"/>
      <c r="G56" s="23">
        <v>1.1151515151514999</v>
      </c>
      <c r="H56" s="23">
        <f t="shared" si="1"/>
        <v>0</v>
      </c>
      <c r="I56" s="26"/>
      <c r="J56" s="26"/>
      <c r="K56" s="26"/>
      <c r="L56" s="26"/>
      <c r="M56" s="26"/>
      <c r="N56" s="26"/>
    </row>
    <row r="57" spans="1:14" s="2" customFormat="1" ht="48" customHeight="1">
      <c r="A57" s="20">
        <v>45</v>
      </c>
      <c r="B57" s="20">
        <f>'Kertas Kerja'!A509</f>
        <v>42</v>
      </c>
      <c r="C57" s="26" t="s">
        <v>384</v>
      </c>
      <c r="D57" s="22">
        <f>'Kertas Kerja'!H509</f>
        <v>0</v>
      </c>
      <c r="E57" s="23">
        <f>'Kertas Kerja'!E514</f>
        <v>4</v>
      </c>
      <c r="F57" s="24"/>
      <c r="G57" s="23">
        <v>0.55757575757575994</v>
      </c>
      <c r="H57" s="23">
        <f t="shared" si="1"/>
        <v>2.2303030303030398</v>
      </c>
      <c r="I57" s="26"/>
      <c r="J57" s="26"/>
      <c r="K57" s="26"/>
      <c r="L57" s="26"/>
      <c r="M57" s="26"/>
      <c r="N57" s="26"/>
    </row>
    <row r="58" spans="1:14" s="2" customFormat="1" ht="96" customHeight="1">
      <c r="A58" s="20">
        <v>46</v>
      </c>
      <c r="B58" s="20">
        <f>'Kertas Kerja'!A516</f>
        <v>43</v>
      </c>
      <c r="C58" s="26" t="s">
        <v>673</v>
      </c>
      <c r="D58" s="22" t="str">
        <f>'Kertas Kerja'!H516</f>
        <v>c.6.4.e tidak ditemukan di LED</v>
      </c>
      <c r="E58" s="28">
        <f>'Kertas Kerja'!E522</f>
        <v>3</v>
      </c>
      <c r="G58" s="23">
        <v>2.5090909090908999</v>
      </c>
      <c r="H58" s="23">
        <f t="shared" si="1"/>
        <v>7.5272727272726998</v>
      </c>
      <c r="I58" s="26"/>
      <c r="J58" s="26"/>
      <c r="K58" s="26"/>
      <c r="L58" s="26"/>
      <c r="M58" s="26"/>
      <c r="N58" s="26"/>
    </row>
    <row r="59" spans="1:14" s="2" customFormat="1" ht="409.5" customHeight="1">
      <c r="A59" s="20">
        <v>47</v>
      </c>
      <c r="B59" s="20">
        <f>'Kertas Kerja'!A524</f>
        <v>44</v>
      </c>
      <c r="C59" s="26" t="s">
        <v>674</v>
      </c>
      <c r="D59" s="22">
        <f>'Kertas Kerja'!H524</f>
        <v>0</v>
      </c>
      <c r="E59" s="28">
        <f>'Kertas Kerja'!E554</f>
        <v>3</v>
      </c>
      <c r="G59" s="23">
        <v>1.6727272727272999</v>
      </c>
      <c r="H59" s="23">
        <f t="shared" si="1"/>
        <v>5.0181818181818993</v>
      </c>
      <c r="I59" s="26"/>
      <c r="J59" s="26"/>
      <c r="K59" s="26"/>
      <c r="L59" s="26"/>
      <c r="M59" s="26"/>
      <c r="N59" s="26"/>
    </row>
    <row r="60" spans="1:14" s="2" customFormat="1" ht="72" customHeight="1">
      <c r="A60" s="20">
        <v>48</v>
      </c>
      <c r="B60" s="20">
        <f>'Kertas Kerja'!A556</f>
        <v>45</v>
      </c>
      <c r="C60" s="26" t="s">
        <v>675</v>
      </c>
      <c r="D60" s="22">
        <f>'Kertas Kerja'!H556</f>
        <v>0</v>
      </c>
      <c r="E60" s="28">
        <f>'Kertas Kerja'!E562</f>
        <v>4</v>
      </c>
      <c r="G60" s="23">
        <v>1.6727272727272999</v>
      </c>
      <c r="H60" s="23">
        <f t="shared" si="1"/>
        <v>6.6909090909091997</v>
      </c>
      <c r="I60" s="26"/>
      <c r="J60" s="26"/>
      <c r="K60" s="26"/>
      <c r="L60" s="26"/>
      <c r="M60" s="26"/>
      <c r="N60" s="26"/>
    </row>
    <row r="61" spans="1:14" s="2" customFormat="1" ht="96" customHeight="1">
      <c r="A61" s="20">
        <v>49</v>
      </c>
      <c r="B61" s="20">
        <f>'Kertas Kerja'!A564</f>
        <v>46</v>
      </c>
      <c r="C61" s="26" t="s">
        <v>676</v>
      </c>
      <c r="D61" s="29" t="str">
        <f>'Kertas Kerja'!H564</f>
        <v>c.6.4.h tidak ditemukan pada LED, klaim SG</v>
      </c>
      <c r="E61" s="28">
        <f>'Kertas Kerja'!E570</f>
        <v>4</v>
      </c>
      <c r="G61" s="23">
        <v>2.5090909090908999</v>
      </c>
      <c r="H61" s="23">
        <f t="shared" si="1"/>
        <v>10.0363636363636</v>
      </c>
      <c r="I61" s="26"/>
      <c r="J61" s="26"/>
      <c r="K61" s="26"/>
      <c r="L61" s="26"/>
      <c r="M61" s="26"/>
      <c r="N61" s="26"/>
    </row>
    <row r="62" spans="1:14" s="2" customFormat="1" ht="72" customHeight="1">
      <c r="A62" s="20">
        <v>50</v>
      </c>
      <c r="B62" s="20">
        <f>'Kertas Kerja'!A572</f>
        <v>47</v>
      </c>
      <c r="C62" s="26" t="s">
        <v>677</v>
      </c>
      <c r="D62" s="29">
        <f>'Kertas Kerja'!H572</f>
        <v>0</v>
      </c>
      <c r="E62" s="28">
        <f>'Kertas Kerja'!E609</f>
        <v>3.3333333333333335</v>
      </c>
      <c r="G62" s="23">
        <v>3.3454545454544999</v>
      </c>
      <c r="H62" s="23">
        <f t="shared" si="1"/>
        <v>11.151515151515</v>
      </c>
      <c r="I62" s="26"/>
      <c r="J62" s="26"/>
      <c r="K62" s="26"/>
      <c r="L62" s="26"/>
      <c r="M62" s="26"/>
      <c r="N62" s="26"/>
    </row>
    <row r="63" spans="1:14" s="2" customFormat="1" ht="192" customHeight="1">
      <c r="A63" s="20">
        <v>51</v>
      </c>
      <c r="B63" s="20">
        <f>'Kertas Kerja'!A611</f>
        <v>48</v>
      </c>
      <c r="C63" s="26" t="s">
        <v>678</v>
      </c>
      <c r="D63" s="29">
        <f>'Kertas Kerja'!H611</f>
        <v>0</v>
      </c>
      <c r="E63" s="28">
        <f>'Kertas Kerja'!E617</f>
        <v>4</v>
      </c>
      <c r="G63" s="23">
        <v>1.5333333333332999</v>
      </c>
      <c r="H63" s="23">
        <f t="shared" si="1"/>
        <v>6.1333333333331996</v>
      </c>
      <c r="I63" s="26"/>
      <c r="J63" s="26"/>
      <c r="K63" s="26"/>
      <c r="L63" s="26"/>
      <c r="M63" s="26"/>
      <c r="N63" s="26"/>
    </row>
    <row r="64" spans="1:14" s="2" customFormat="1" ht="60" customHeight="1">
      <c r="A64" s="20">
        <v>52</v>
      </c>
      <c r="B64" s="20">
        <f>'Kertas Kerja'!A619</f>
        <v>49</v>
      </c>
      <c r="C64" s="26" t="s">
        <v>679</v>
      </c>
      <c r="D64" s="29">
        <f>'Kertas Kerja'!H619</f>
        <v>0</v>
      </c>
      <c r="E64" s="28">
        <f>'Kertas Kerja'!E624</f>
        <v>3.0434782608695654</v>
      </c>
      <c r="G64" s="23">
        <v>3.0666666666667002</v>
      </c>
      <c r="H64" s="23">
        <f t="shared" si="1"/>
        <v>9.3333333333334352</v>
      </c>
      <c r="I64" s="26"/>
      <c r="J64" s="26"/>
      <c r="K64" s="26"/>
      <c r="L64" s="26"/>
      <c r="M64" s="26"/>
      <c r="N64" s="26"/>
    </row>
    <row r="65" spans="1:14" s="2" customFormat="1" ht="12" hidden="1" customHeight="1">
      <c r="A65" s="20">
        <v>53</v>
      </c>
      <c r="B65" s="20">
        <f>'Kertas Kerja'!A626</f>
        <v>0</v>
      </c>
      <c r="C65" s="27"/>
      <c r="D65" s="29">
        <f>'Kertas Kerja'!H626</f>
        <v>0</v>
      </c>
      <c r="E65" s="28">
        <f>'Kertas Kerja'!E631</f>
        <v>0</v>
      </c>
      <c r="G65" s="23"/>
      <c r="H65" s="23">
        <f t="shared" si="1"/>
        <v>0</v>
      </c>
      <c r="I65" s="26"/>
      <c r="J65" s="26"/>
      <c r="K65" s="26"/>
      <c r="L65" s="26"/>
      <c r="M65" s="26"/>
      <c r="N65" s="26"/>
    </row>
    <row r="66" spans="1:14" s="2" customFormat="1" ht="192" customHeight="1">
      <c r="A66" s="20">
        <v>54</v>
      </c>
      <c r="B66" s="20">
        <f>'Kertas Kerja'!A633</f>
        <v>50</v>
      </c>
      <c r="C66" s="26" t="s">
        <v>680</v>
      </c>
      <c r="D66" s="29">
        <f>'Kertas Kerja'!H633</f>
        <v>0</v>
      </c>
      <c r="E66" s="28">
        <f>'Kertas Kerja'!E639</f>
        <v>3</v>
      </c>
      <c r="G66" s="23">
        <v>0.51111111111110996</v>
      </c>
      <c r="H66" s="23">
        <f t="shared" si="1"/>
        <v>1.5333333333333299</v>
      </c>
      <c r="I66" s="26"/>
      <c r="J66" s="26"/>
      <c r="K66" s="26"/>
      <c r="L66" s="26"/>
      <c r="M66" s="26"/>
      <c r="N66" s="26"/>
    </row>
    <row r="67" spans="1:14" s="2" customFormat="1" ht="60" customHeight="1">
      <c r="A67" s="20">
        <v>55</v>
      </c>
      <c r="B67" s="20">
        <f>'Kertas Kerja'!A641</f>
        <v>51</v>
      </c>
      <c r="C67" s="26" t="s">
        <v>681</v>
      </c>
      <c r="D67" s="29">
        <f>'Kertas Kerja'!H641</f>
        <v>0</v>
      </c>
      <c r="E67" s="28">
        <f>'Kertas Kerja'!E646</f>
        <v>4</v>
      </c>
      <c r="G67" s="23">
        <v>1.0222222222221999</v>
      </c>
      <c r="H67" s="23">
        <f t="shared" si="1"/>
        <v>4.0888888888887998</v>
      </c>
      <c r="I67" s="26"/>
      <c r="J67" s="26"/>
      <c r="K67" s="26"/>
      <c r="L67" s="26"/>
      <c r="M67" s="26"/>
      <c r="N67" s="26"/>
    </row>
    <row r="68" spans="1:14" s="2" customFormat="1" ht="132" customHeight="1">
      <c r="A68" s="20">
        <v>56</v>
      </c>
      <c r="B68" s="20">
        <f>'Kertas Kerja'!A648</f>
        <v>52</v>
      </c>
      <c r="C68" s="26" t="s">
        <v>682</v>
      </c>
      <c r="D68" s="29">
        <f>'Kertas Kerja'!H648</f>
        <v>0</v>
      </c>
      <c r="E68" s="28">
        <f>'Kertas Kerja'!E654</f>
        <v>2</v>
      </c>
      <c r="G68" s="23">
        <v>1.9166666666667</v>
      </c>
      <c r="H68" s="23">
        <f t="shared" si="1"/>
        <v>3.8333333333334001</v>
      </c>
      <c r="I68" s="26"/>
      <c r="J68" s="26"/>
      <c r="K68" s="26"/>
      <c r="L68" s="26"/>
      <c r="M68" s="26"/>
      <c r="N68" s="26"/>
    </row>
    <row r="69" spans="1:14" s="2" customFormat="1" ht="24" customHeight="1">
      <c r="A69" s="20">
        <v>57</v>
      </c>
      <c r="B69" s="20">
        <f>'Kertas Kerja'!A656</f>
        <v>53</v>
      </c>
      <c r="C69" s="26" t="s">
        <v>474</v>
      </c>
      <c r="D69" s="29">
        <f>'Kertas Kerja'!H656</f>
        <v>0</v>
      </c>
      <c r="E69" s="28">
        <f>'Kertas Kerja'!E666</f>
        <v>0</v>
      </c>
      <c r="G69" s="23">
        <v>1.9166666666667</v>
      </c>
      <c r="H69" s="23">
        <f t="shared" si="1"/>
        <v>0</v>
      </c>
      <c r="I69" s="26"/>
      <c r="J69" s="26"/>
      <c r="K69" s="26"/>
      <c r="L69" s="26"/>
      <c r="M69" s="26"/>
      <c r="N69" s="26"/>
    </row>
    <row r="70" spans="1:14" s="2" customFormat="1" ht="36" customHeight="1">
      <c r="A70" s="20">
        <v>58</v>
      </c>
      <c r="B70" s="20">
        <f>'Kertas Kerja'!A668</f>
        <v>54</v>
      </c>
      <c r="C70" s="26" t="s">
        <v>482</v>
      </c>
      <c r="D70" s="29">
        <f>'Kertas Kerja'!H668</f>
        <v>0</v>
      </c>
      <c r="E70" s="28">
        <f>'Kertas Kerja'!E684</f>
        <v>4</v>
      </c>
      <c r="G70" s="23">
        <v>2.875</v>
      </c>
      <c r="H70" s="23">
        <f t="shared" si="1"/>
        <v>11.5</v>
      </c>
      <c r="I70" s="26"/>
      <c r="J70" s="26"/>
      <c r="K70" s="26"/>
      <c r="L70" s="26"/>
      <c r="M70" s="26"/>
      <c r="N70" s="26"/>
    </row>
    <row r="71" spans="1:14" s="2" customFormat="1" ht="36" customHeight="1">
      <c r="A71" s="20">
        <v>59</v>
      </c>
      <c r="B71" s="20">
        <f>'Kertas Kerja'!A686</f>
        <v>55</v>
      </c>
      <c r="C71" s="26" t="s">
        <v>491</v>
      </c>
      <c r="D71" s="29">
        <f>'Kertas Kerja'!H686</f>
        <v>0</v>
      </c>
      <c r="E71" s="28">
        <f>'Kertas Kerja'!E702</f>
        <v>0.31645569620253161</v>
      </c>
      <c r="G71" s="23">
        <v>0.95833333333333004</v>
      </c>
      <c r="H71" s="23">
        <f t="shared" si="1"/>
        <v>0.30327004219409176</v>
      </c>
      <c r="I71" s="26"/>
      <c r="J71" s="26"/>
      <c r="K71" s="26"/>
      <c r="L71" s="26"/>
      <c r="M71" s="26"/>
      <c r="N71" s="26"/>
    </row>
    <row r="72" spans="1:14" s="2" customFormat="1" ht="24" customHeight="1">
      <c r="A72" s="20">
        <v>60</v>
      </c>
      <c r="B72" s="20">
        <f>'Kertas Kerja'!A704</f>
        <v>56</v>
      </c>
      <c r="C72" s="26" t="s">
        <v>495</v>
      </c>
      <c r="D72" s="22">
        <f>'Kertas Kerja'!H704</f>
        <v>0</v>
      </c>
      <c r="E72" s="23">
        <f>'Kertas Kerja'!E716</f>
        <v>0</v>
      </c>
      <c r="G72" s="23">
        <v>1.9166666666667</v>
      </c>
      <c r="H72" s="23">
        <f t="shared" si="1"/>
        <v>0</v>
      </c>
      <c r="I72" s="26"/>
      <c r="J72" s="26"/>
      <c r="K72" s="26"/>
      <c r="L72" s="26"/>
      <c r="M72" s="26"/>
      <c r="N72" s="26"/>
    </row>
    <row r="73" spans="1:14" s="2" customFormat="1" ht="24" customHeight="1">
      <c r="A73" s="20">
        <v>61</v>
      </c>
      <c r="B73" s="20">
        <f>'Kertas Kerja'!A718</f>
        <v>57</v>
      </c>
      <c r="C73" s="26" t="s">
        <v>505</v>
      </c>
      <c r="D73" s="22">
        <f>'Kertas Kerja'!H718</f>
        <v>0</v>
      </c>
      <c r="E73" s="23">
        <f>'Kertas Kerja'!E731</f>
        <v>1</v>
      </c>
      <c r="G73" s="23">
        <v>1.9166666666667</v>
      </c>
      <c r="H73" s="23">
        <f t="shared" si="1"/>
        <v>1.9166666666667</v>
      </c>
      <c r="I73" s="26"/>
      <c r="J73" s="26"/>
      <c r="K73" s="26"/>
      <c r="L73" s="26"/>
      <c r="M73" s="26"/>
      <c r="N73" s="26"/>
    </row>
    <row r="74" spans="1:14" s="2" customFormat="1" ht="24" customHeight="1">
      <c r="A74" s="20">
        <v>62</v>
      </c>
      <c r="B74" s="20">
        <f>'Kertas Kerja'!A733</f>
        <v>58</v>
      </c>
      <c r="C74" s="26" t="s">
        <v>515</v>
      </c>
      <c r="D74" s="22">
        <f>'Kertas Kerja'!H733</f>
        <v>0</v>
      </c>
      <c r="E74" s="23">
        <f>'Kertas Kerja'!E743</f>
        <v>0</v>
      </c>
      <c r="G74" s="23">
        <v>1.9166666666667</v>
      </c>
      <c r="H74" s="23">
        <f t="shared" si="1"/>
        <v>0</v>
      </c>
      <c r="I74" s="26"/>
      <c r="J74" s="26"/>
      <c r="K74" s="26"/>
      <c r="L74" s="26"/>
      <c r="M74" s="26"/>
      <c r="N74" s="26"/>
    </row>
    <row r="75" spans="1:14" s="2" customFormat="1" ht="144" customHeight="1">
      <c r="A75" s="20">
        <v>63</v>
      </c>
      <c r="B75" s="20">
        <f>'Kertas Kerja'!A745</f>
        <v>59</v>
      </c>
      <c r="C75" s="26" t="s">
        <v>683</v>
      </c>
      <c r="D75" s="22">
        <f>'Kertas Kerja'!H745</f>
        <v>0</v>
      </c>
      <c r="E75" s="23">
        <f>'Kertas Kerja'!E751</f>
        <v>0</v>
      </c>
      <c r="G75" s="23">
        <v>2.875</v>
      </c>
      <c r="H75" s="23">
        <f t="shared" si="1"/>
        <v>0</v>
      </c>
      <c r="I75" s="26"/>
      <c r="J75" s="26"/>
      <c r="K75" s="26"/>
      <c r="L75" s="26"/>
      <c r="M75" s="26"/>
      <c r="N75" s="26"/>
    </row>
    <row r="76" spans="1:14" s="2" customFormat="1" ht="24" customHeight="1">
      <c r="A76" s="20">
        <v>64</v>
      </c>
      <c r="B76" s="20">
        <f>'Kertas Kerja'!A753</f>
        <v>60</v>
      </c>
      <c r="C76" s="26" t="s">
        <v>684</v>
      </c>
      <c r="D76" s="22">
        <f>'Kertas Kerja'!H753</f>
        <v>0</v>
      </c>
      <c r="E76" s="23">
        <f>'Kertas Kerja'!E781</f>
        <v>0</v>
      </c>
      <c r="G76" s="23">
        <v>2.875</v>
      </c>
      <c r="H76" s="23">
        <f t="shared" si="1"/>
        <v>0</v>
      </c>
      <c r="I76" s="26"/>
      <c r="J76" s="26"/>
      <c r="K76" s="26" t="s">
        <v>660</v>
      </c>
      <c r="L76" s="26" t="str">
        <f>IF(E76&gt;=3.5,"TERPENUHI","TIDAK TERPENUHI")</f>
        <v>TIDAK TERPENUHI</v>
      </c>
      <c r="M76" s="26" t="s">
        <v>661</v>
      </c>
      <c r="N76" s="26" t="str">
        <f>IF(E76&gt;=3,"TERPENUHI","TIDAK TERPENUHI")</f>
        <v>TIDAK TERPENUHI</v>
      </c>
    </row>
    <row r="77" spans="1:14" s="2" customFormat="1" ht="24" customHeight="1">
      <c r="A77" s="20">
        <v>65</v>
      </c>
      <c r="B77" s="20">
        <f>'Kertas Kerja'!A783</f>
        <v>61</v>
      </c>
      <c r="C77" s="26" t="s">
        <v>552</v>
      </c>
      <c r="D77" s="22">
        <f>'Kertas Kerja'!H783</f>
        <v>0</v>
      </c>
      <c r="E77" s="23">
        <f>'Kertas Kerja'!E809</f>
        <v>0</v>
      </c>
      <c r="G77" s="23">
        <v>1.9166666666667</v>
      </c>
      <c r="H77" s="23">
        <f t="shared" ref="H77:H87" si="2">E77*G77</f>
        <v>0</v>
      </c>
      <c r="I77" s="26"/>
      <c r="J77" s="26"/>
      <c r="K77" s="26" t="s">
        <v>660</v>
      </c>
      <c r="L77" s="26" t="str">
        <f>IF(E77&gt;=3.5,"TERPENUHI","TIDAK TERPENUHI")</f>
        <v>TIDAK TERPENUHI</v>
      </c>
      <c r="M77" s="26" t="s">
        <v>661</v>
      </c>
      <c r="N77" s="26" t="str">
        <f>IF(E77&gt;=3,"TERPENUHI","TIDAK TERPENUHI")</f>
        <v>TIDAK TERPENUHI</v>
      </c>
    </row>
    <row r="78" spans="1:14" s="2" customFormat="1" ht="24" customHeight="1">
      <c r="A78" s="20">
        <v>66</v>
      </c>
      <c r="B78" s="20">
        <f>'Kertas Kerja'!A811</f>
        <v>62</v>
      </c>
      <c r="C78" s="26" t="s">
        <v>564</v>
      </c>
      <c r="D78" s="22">
        <f>'Kertas Kerja'!H811</f>
        <v>0</v>
      </c>
      <c r="E78" s="23">
        <f>'Kertas Kerja'!E843</f>
        <v>0</v>
      </c>
      <c r="G78" s="23">
        <v>1.9166666666667</v>
      </c>
      <c r="H78" s="23">
        <f t="shared" si="2"/>
        <v>0</v>
      </c>
      <c r="I78" s="26"/>
      <c r="J78" s="26"/>
      <c r="K78" s="26"/>
      <c r="L78" s="26"/>
      <c r="M78" s="26"/>
      <c r="N78" s="26"/>
    </row>
    <row r="79" spans="1:14" s="2" customFormat="1" ht="24" customHeight="1">
      <c r="A79" s="20">
        <v>67</v>
      </c>
      <c r="B79" s="20">
        <f>'Kertas Kerja'!A845</f>
        <v>63</v>
      </c>
      <c r="C79" s="26" t="s">
        <v>579</v>
      </c>
      <c r="D79" s="22">
        <f>'Kertas Kerja'!H845</f>
        <v>0</v>
      </c>
      <c r="E79" s="23">
        <f>'Kertas Kerja'!E892</f>
        <v>0</v>
      </c>
      <c r="G79" s="23">
        <v>3.8333333333333002</v>
      </c>
      <c r="H79" s="23">
        <f t="shared" si="2"/>
        <v>0</v>
      </c>
      <c r="I79" s="26"/>
      <c r="J79" s="26"/>
      <c r="K79" s="26"/>
      <c r="L79" s="26"/>
      <c r="M79" s="26"/>
      <c r="N79" s="26"/>
    </row>
    <row r="80" spans="1:14" s="2" customFormat="1" ht="96" customHeight="1">
      <c r="A80" s="20">
        <v>68</v>
      </c>
      <c r="B80" s="20">
        <f>'Kertas Kerja'!A894</f>
        <v>64</v>
      </c>
      <c r="C80" s="26" t="s">
        <v>685</v>
      </c>
      <c r="D80" s="22">
        <f>'Kertas Kerja'!H894</f>
        <v>0</v>
      </c>
      <c r="E80" s="23">
        <f>'Kertas Kerja'!E917</f>
        <v>0</v>
      </c>
      <c r="G80" s="23">
        <v>2.875</v>
      </c>
      <c r="H80" s="23">
        <f t="shared" si="2"/>
        <v>0</v>
      </c>
      <c r="I80" s="26"/>
      <c r="J80" s="26"/>
      <c r="K80" s="26"/>
      <c r="L80" s="26"/>
      <c r="M80" s="26"/>
      <c r="N80" s="26"/>
    </row>
    <row r="81" spans="1:14" s="2" customFormat="1" ht="12" hidden="1" customHeight="1">
      <c r="A81" s="20">
        <v>69</v>
      </c>
      <c r="B81" s="20">
        <f>'Kertas Kerja'!A919</f>
        <v>0</v>
      </c>
      <c r="C81" s="27"/>
      <c r="D81" s="22">
        <f>'Kertas Kerja'!H919</f>
        <v>0</v>
      </c>
      <c r="E81" s="23">
        <f>'Kertas Kerja'!E922</f>
        <v>0</v>
      </c>
      <c r="G81" s="23"/>
      <c r="H81" s="23">
        <f t="shared" si="2"/>
        <v>0</v>
      </c>
      <c r="I81" s="26"/>
      <c r="J81" s="26"/>
      <c r="K81" s="26"/>
      <c r="L81" s="26"/>
      <c r="M81" s="26"/>
      <c r="N81" s="26"/>
    </row>
    <row r="82" spans="1:14" s="2" customFormat="1" ht="12" hidden="1" customHeight="1">
      <c r="A82" s="20">
        <v>70</v>
      </c>
      <c r="B82" s="20">
        <f>'Kertas Kerja'!A924</f>
        <v>0</v>
      </c>
      <c r="C82" s="27"/>
      <c r="D82" s="22">
        <f>'Kertas Kerja'!H924</f>
        <v>0</v>
      </c>
      <c r="E82" s="23">
        <f>'Kertas Kerja'!E927</f>
        <v>0</v>
      </c>
      <c r="G82" s="23"/>
      <c r="H82" s="23">
        <f t="shared" si="2"/>
        <v>0</v>
      </c>
      <c r="I82" s="26"/>
      <c r="J82" s="26"/>
      <c r="K82" s="26"/>
      <c r="L82" s="26"/>
      <c r="M82" s="26"/>
      <c r="N82" s="26"/>
    </row>
    <row r="83" spans="1:14" s="2" customFormat="1" ht="60" customHeight="1">
      <c r="A83" s="20">
        <v>71</v>
      </c>
      <c r="B83" s="20">
        <f>'Kertas Kerja'!A929</f>
        <v>65</v>
      </c>
      <c r="C83" s="26" t="s">
        <v>597</v>
      </c>
      <c r="D83" s="22">
        <f>'Kertas Kerja'!H929</f>
        <v>0</v>
      </c>
      <c r="E83" s="23">
        <f>'Kertas Kerja'!E936</f>
        <v>2</v>
      </c>
      <c r="G83" s="23">
        <v>0.95833333333333004</v>
      </c>
      <c r="H83" s="23">
        <f t="shared" si="2"/>
        <v>1.9166666666666601</v>
      </c>
      <c r="I83" s="26"/>
      <c r="J83" s="26"/>
      <c r="K83" s="26"/>
      <c r="L83" s="26"/>
      <c r="M83" s="26"/>
      <c r="N83" s="26"/>
    </row>
    <row r="84" spans="1:14" s="2" customFormat="1" ht="96" customHeight="1">
      <c r="A84" s="20">
        <v>72</v>
      </c>
      <c r="B84" s="20">
        <f>'Kertas Kerja'!A938</f>
        <v>66</v>
      </c>
      <c r="C84" s="32" t="s">
        <v>686</v>
      </c>
      <c r="D84" s="22">
        <f>'Kertas Kerja'!H938</f>
        <v>0</v>
      </c>
      <c r="E84" s="23">
        <f>'Kertas Kerja'!E944</f>
        <v>2</v>
      </c>
      <c r="G84" s="23">
        <v>1.5</v>
      </c>
      <c r="H84" s="23">
        <f t="shared" si="2"/>
        <v>3</v>
      </c>
      <c r="I84" s="26"/>
      <c r="J84" s="26"/>
      <c r="K84" s="26"/>
      <c r="L84" s="26"/>
      <c r="M84" s="26"/>
      <c r="N84" s="26"/>
    </row>
    <row r="85" spans="1:14" s="2" customFormat="1" ht="72" customHeight="1">
      <c r="A85" s="20">
        <v>73</v>
      </c>
      <c r="B85" s="20">
        <f>'Kertas Kerja'!A946</f>
        <v>67</v>
      </c>
      <c r="C85" s="32" t="s">
        <v>687</v>
      </c>
      <c r="D85" s="22">
        <f>'Kertas Kerja'!H946</f>
        <v>0</v>
      </c>
      <c r="E85" s="23">
        <f>'Kertas Kerja'!E952</f>
        <v>3</v>
      </c>
      <c r="G85" s="23">
        <v>2</v>
      </c>
      <c r="H85" s="23">
        <f t="shared" si="2"/>
        <v>6</v>
      </c>
      <c r="I85" s="26"/>
      <c r="J85" s="26"/>
      <c r="K85" s="26"/>
      <c r="L85" s="26"/>
      <c r="M85" s="26"/>
      <c r="N85" s="26"/>
    </row>
    <row r="86" spans="1:14" s="2" customFormat="1" ht="48" customHeight="1">
      <c r="A86" s="20">
        <v>74</v>
      </c>
      <c r="B86" s="20">
        <f>'Kertas Kerja'!A954</f>
        <v>68</v>
      </c>
      <c r="C86" s="32" t="s">
        <v>688</v>
      </c>
      <c r="D86" s="22">
        <f>'Kertas Kerja'!H954</f>
        <v>0</v>
      </c>
      <c r="E86" s="23">
        <f>'Kertas Kerja'!E960</f>
        <v>2</v>
      </c>
      <c r="G86" s="23">
        <v>1.5</v>
      </c>
      <c r="H86" s="23">
        <f t="shared" si="2"/>
        <v>3</v>
      </c>
      <c r="I86" s="26"/>
      <c r="J86" s="26"/>
      <c r="K86" s="26"/>
      <c r="L86" s="26"/>
      <c r="M86" s="26"/>
      <c r="N86" s="26"/>
    </row>
    <row r="87" spans="1:14" s="2" customFormat="1" ht="72" customHeight="1">
      <c r="A87" s="20">
        <v>75</v>
      </c>
      <c r="B87" s="20">
        <f>'Kertas Kerja'!A962</f>
        <v>69</v>
      </c>
      <c r="C87" s="32" t="s">
        <v>689</v>
      </c>
      <c r="D87" s="22">
        <f>'Kertas Kerja'!H962</f>
        <v>0</v>
      </c>
      <c r="E87" s="23">
        <f>'Kertas Kerja'!E968</f>
        <v>3</v>
      </c>
      <c r="G87" s="23">
        <v>1</v>
      </c>
      <c r="H87" s="23">
        <f t="shared" si="2"/>
        <v>3</v>
      </c>
      <c r="I87" s="26"/>
      <c r="J87" s="26"/>
      <c r="K87" s="26"/>
      <c r="L87" s="26"/>
      <c r="M87" s="26"/>
      <c r="N87" s="26"/>
    </row>
    <row r="88" spans="1:14" customFormat="1" ht="14.65" customHeight="1">
      <c r="A88" s="9"/>
      <c r="B88" s="9"/>
      <c r="C88" s="10"/>
      <c r="D88" s="33"/>
      <c r="E88" s="31"/>
      <c r="I88" s="10"/>
      <c r="J88" s="10"/>
      <c r="K88" s="10"/>
    </row>
    <row r="89" spans="1:14" customFormat="1" ht="14.65" customHeight="1">
      <c r="A89" s="9"/>
      <c r="B89" s="9"/>
      <c r="C89" s="10"/>
      <c r="D89" s="16" t="str">
        <f>Menu!P22&amp;", "&amp;TEXT(Menu!P24,"dd mmmm yyyy")</f>
        <v>, 00 January 1900</v>
      </c>
      <c r="E89" s="31"/>
      <c r="I89" s="10"/>
      <c r="J89" s="10"/>
      <c r="K89" s="10"/>
    </row>
    <row r="90" spans="1:14" customFormat="1" ht="14.65" customHeight="1">
      <c r="A90" s="9"/>
      <c r="B90" s="9"/>
      <c r="C90" s="10"/>
      <c r="D90" s="16"/>
      <c r="E90" s="31"/>
      <c r="I90" s="10"/>
      <c r="J90" s="10"/>
      <c r="K90" s="10"/>
    </row>
    <row r="91" spans="1:14" customFormat="1" ht="14.65" customHeight="1">
      <c r="A91" s="9"/>
      <c r="B91" s="9"/>
      <c r="C91" s="10"/>
      <c r="D91" s="33"/>
      <c r="E91" s="31"/>
      <c r="I91" s="10"/>
      <c r="J91" s="10"/>
      <c r="K91" s="10"/>
    </row>
    <row r="92" spans="1:14" customFormat="1" ht="14.65" customHeight="1">
      <c r="A92" s="9"/>
      <c r="B92" s="9"/>
      <c r="C92" s="10"/>
      <c r="D92" s="16"/>
      <c r="E92" s="31"/>
      <c r="I92" s="10"/>
      <c r="J92" s="10"/>
      <c r="K92" s="10"/>
    </row>
    <row r="93" spans="1:14" customFormat="1" ht="14.65" customHeight="1">
      <c r="A93" s="9"/>
      <c r="B93" s="9"/>
      <c r="C93" s="10"/>
      <c r="D93" s="34" t="s">
        <v>690</v>
      </c>
      <c r="E93" s="31"/>
      <c r="I93" s="10"/>
      <c r="J93" s="10"/>
      <c r="K93" s="10"/>
    </row>
    <row r="94" spans="1:14" customFormat="1" ht="14.65" customHeight="1">
      <c r="A94" s="9"/>
      <c r="B94" s="9"/>
      <c r="C94" s="10"/>
      <c r="D94" s="35"/>
      <c r="E94" s="31"/>
      <c r="I94" s="10"/>
      <c r="J94" s="10"/>
      <c r="K94" s="10"/>
    </row>
    <row r="95" spans="1:14" customFormat="1" ht="14.65" customHeight="1">
      <c r="A95" s="9"/>
      <c r="B95" s="9"/>
      <c r="C95" s="10"/>
      <c r="D95" s="35"/>
      <c r="E95" s="31"/>
      <c r="I95" s="10"/>
      <c r="J95" s="10"/>
      <c r="K95" s="10"/>
    </row>
    <row r="96" spans="1:14" customFormat="1" ht="14.65" customHeight="1">
      <c r="A96" s="9"/>
      <c r="B96" s="9"/>
      <c r="C96" s="10"/>
      <c r="D96" s="34" t="str">
        <f>"( "&amp;Menu!P20&amp;" )"</f>
        <v>(  )</v>
      </c>
      <c r="E96" s="31"/>
      <c r="I96" s="10"/>
      <c r="J96" s="10"/>
      <c r="K96" s="10"/>
    </row>
  </sheetData>
  <sheetProtection formatCells="0" formatColumns="0" formatRows="0" insertColumns="0" insertRows="0" insertHyperlinks="0" deleteColumns="0" deleteRows="0" selectLockedCells="1" sort="0" autoFilter="0" pivotTables="0"/>
  <mergeCells count="15">
    <mergeCell ref="B1:E1"/>
    <mergeCell ref="G1:K1"/>
    <mergeCell ref="B2:E2"/>
    <mergeCell ref="G2:K2"/>
    <mergeCell ref="B3:E3"/>
    <mergeCell ref="G3:K3"/>
    <mergeCell ref="B5:E5"/>
    <mergeCell ref="K8:N8"/>
    <mergeCell ref="K9:N9"/>
    <mergeCell ref="K10:N10"/>
    <mergeCell ref="I12:J12"/>
    <mergeCell ref="K12:L12"/>
    <mergeCell ref="M12:N12"/>
    <mergeCell ref="G5:I6"/>
    <mergeCell ref="K5:L6"/>
  </mergeCells>
  <conditionalFormatting sqref="K8">
    <cfRule type="containsText" dxfId="39" priority="21" operator="containsText" text="TIDAK TERPENUHI">
      <formula>NOT(ISERROR(SEARCH("TIDAK TERPENUHI",K8)))</formula>
    </cfRule>
    <cfRule type="containsText" dxfId="38" priority="22" operator="containsText" text="TERPENUHI">
      <formula>NOT(ISERROR(SEARCH("TERPENUHI",K8)))</formula>
    </cfRule>
  </conditionalFormatting>
  <conditionalFormatting sqref="J24">
    <cfRule type="containsText" dxfId="37" priority="19" operator="containsText" text="TIDAK TERPENUHI">
      <formula>NOT(ISERROR(SEARCH("TIDAK TERPENUHI",J24)))</formula>
    </cfRule>
    <cfRule type="containsText" dxfId="36" priority="20" operator="containsText" text="TERPENUHI">
      <formula>NOT(ISERROR(SEARCH("TERPENUHI",J24)))</formula>
    </cfRule>
  </conditionalFormatting>
  <conditionalFormatting sqref="J29">
    <cfRule type="containsText" dxfId="35" priority="25" operator="containsText" text="TIDAK TERPENUHI">
      <formula>NOT(ISERROR(SEARCH("TIDAK TERPENUHI",J29)))</formula>
    </cfRule>
    <cfRule type="containsText" dxfId="34" priority="26" operator="containsText" text="TERPENUHI">
      <formula>NOT(ISERROR(SEARCH("TERPENUHI",J29)))</formula>
    </cfRule>
  </conditionalFormatting>
  <conditionalFormatting sqref="L30">
    <cfRule type="containsText" dxfId="33" priority="27" operator="containsText" text="TIDAK TERPENUHI">
      <formula>NOT(ISERROR(SEARCH("TIDAK TERPENUHI",L30)))</formula>
    </cfRule>
    <cfRule type="containsText" dxfId="32" priority="28" operator="containsText" text="TERPENUHI">
      <formula>NOT(ISERROR(SEARCH("TERPENUHI",L30)))</formula>
    </cfRule>
  </conditionalFormatting>
  <conditionalFormatting sqref="N30">
    <cfRule type="containsText" dxfId="31" priority="29" operator="containsText" text="TIDAK TERPENUHI">
      <formula>NOT(ISERROR(SEARCH("TIDAK TERPENUHI",N30)))</formula>
    </cfRule>
    <cfRule type="containsText" dxfId="30" priority="30" operator="containsText" text="TERPENUHI">
      <formula>NOT(ISERROR(SEARCH("TERPENUHI",N30)))</formula>
    </cfRule>
  </conditionalFormatting>
  <conditionalFormatting sqref="L32">
    <cfRule type="containsText" dxfId="29" priority="33" operator="containsText" text="TIDAK TERPENUHI">
      <formula>NOT(ISERROR(SEARCH("TIDAK TERPENUHI",L32)))</formula>
    </cfRule>
    <cfRule type="containsText" dxfId="28" priority="34" operator="containsText" text="TERPENUHI">
      <formula>NOT(ISERROR(SEARCH("TERPENUHI",L32)))</formula>
    </cfRule>
  </conditionalFormatting>
  <conditionalFormatting sqref="N32">
    <cfRule type="containsText" dxfId="27" priority="35" operator="containsText" text="TIDAK TERPENUHI">
      <formula>NOT(ISERROR(SEARCH("TIDAK TERPENUHI",N32)))</formula>
    </cfRule>
    <cfRule type="containsText" dxfId="26" priority="36" operator="containsText" text="TERPENUHI">
      <formula>NOT(ISERROR(SEARCH("TERPENUHI",N32)))</formula>
    </cfRule>
  </conditionalFormatting>
  <conditionalFormatting sqref="C40">
    <cfRule type="cellIs" dxfId="25" priority="17" operator="equal">
      <formula>"Tidak dinilai"</formula>
    </cfRule>
  </conditionalFormatting>
  <conditionalFormatting sqref="C41">
    <cfRule type="cellIs" dxfId="24" priority="14" operator="equal">
      <formula>"Tidak dinilai"</formula>
    </cfRule>
  </conditionalFormatting>
  <conditionalFormatting sqref="C44">
    <cfRule type="cellIs" dxfId="23" priority="15" operator="equal">
      <formula>"Tidak dinilai"</formula>
    </cfRule>
  </conditionalFormatting>
  <conditionalFormatting sqref="C48">
    <cfRule type="cellIs" dxfId="22" priority="16" operator="equal">
      <formula>"Tidak dinilai"</formula>
    </cfRule>
  </conditionalFormatting>
  <conditionalFormatting sqref="C49">
    <cfRule type="cellIs" dxfId="21" priority="12" operator="equal">
      <formula>"Tidak dinilai"</formula>
    </cfRule>
  </conditionalFormatting>
  <conditionalFormatting sqref="J53">
    <cfRule type="containsText" dxfId="20" priority="31" operator="containsText" text="TIDAK TERPENUHI">
      <formula>NOT(ISERROR(SEARCH("TIDAK TERPENUHI",J53)))</formula>
    </cfRule>
    <cfRule type="containsText" dxfId="19" priority="32" operator="containsText" text="TERPENUHI">
      <formula>NOT(ISERROR(SEARCH("TERPENUHI",J53)))</formula>
    </cfRule>
  </conditionalFormatting>
  <conditionalFormatting sqref="C66">
    <cfRule type="cellIs" dxfId="18" priority="2" operator="equal">
      <formula>"Tidak dinilai"</formula>
    </cfRule>
  </conditionalFormatting>
  <conditionalFormatting sqref="C67">
    <cfRule type="cellIs" dxfId="17" priority="13" operator="equal">
      <formula>"Tidak dinilai"</formula>
    </cfRule>
  </conditionalFormatting>
  <conditionalFormatting sqref="B13:B87">
    <cfRule type="cellIs" dxfId="16" priority="1" operator="equal">
      <formula>0</formula>
    </cfRule>
  </conditionalFormatting>
  <conditionalFormatting sqref="C13:C21">
    <cfRule type="cellIs" dxfId="15" priority="11" operator="equal">
      <formula>"Tidak dinilai"</formula>
    </cfRule>
  </conditionalFormatting>
  <conditionalFormatting sqref="C24:C30">
    <cfRule type="cellIs" dxfId="14" priority="3" operator="equal">
      <formula>"Tidak dinilai"</formula>
    </cfRule>
  </conditionalFormatting>
  <conditionalFormatting sqref="C32:C39">
    <cfRule type="cellIs" dxfId="13" priority="10" operator="equal">
      <formula>"Tidak dinilai"</formula>
    </cfRule>
  </conditionalFormatting>
  <conditionalFormatting sqref="C42:C43">
    <cfRule type="cellIs" dxfId="12" priority="4" operator="equal">
      <formula>"Tidak dinilai"</formula>
    </cfRule>
  </conditionalFormatting>
  <conditionalFormatting sqref="C45:C47">
    <cfRule type="cellIs" dxfId="11" priority="5" operator="equal">
      <formula>"Tidak dinilai"</formula>
    </cfRule>
  </conditionalFormatting>
  <conditionalFormatting sqref="C49:C64">
    <cfRule type="cellIs" dxfId="10" priority="6" operator="equal">
      <formula>"Tidak dinilai"</formula>
    </cfRule>
  </conditionalFormatting>
  <conditionalFormatting sqref="C68:C71">
    <cfRule type="cellIs" dxfId="9" priority="8" operator="equal">
      <formula>"Tidak dinilai"</formula>
    </cfRule>
  </conditionalFormatting>
  <conditionalFormatting sqref="C73:C79">
    <cfRule type="cellIs" dxfId="8" priority="9" operator="equal">
      <formula>"Tidak dinilai"</formula>
    </cfRule>
  </conditionalFormatting>
  <conditionalFormatting sqref="C81:C87">
    <cfRule type="cellIs" dxfId="7" priority="7" operator="equal">
      <formula>"Tidak dinilai"</formula>
    </cfRule>
  </conditionalFormatting>
  <conditionalFormatting sqref="G13:G87">
    <cfRule type="cellIs" dxfId="6" priority="18" operator="equal">
      <formula>"Tidak dinilai"</formula>
    </cfRule>
  </conditionalFormatting>
  <conditionalFormatting sqref="K9:K10">
    <cfRule type="containsText" dxfId="5" priority="23" operator="containsText" text="TIDAK TERPENUHI">
      <formula>NOT(ISERROR(SEARCH("TIDAK TERPENUHI",K9)))</formula>
    </cfRule>
    <cfRule type="containsText" dxfId="4" priority="24" operator="containsText" text="TERPENUHI">
      <formula>NOT(ISERROR(SEARCH("TERPENUHI",K9)))</formula>
    </cfRule>
  </conditionalFormatting>
  <conditionalFormatting sqref="L76:L77">
    <cfRule type="containsText" dxfId="3" priority="37" operator="containsText" text="TIDAK TERPENUHI">
      <formula>NOT(ISERROR(SEARCH("TIDAK TERPENUHI",L76)))</formula>
    </cfRule>
    <cfRule type="containsText" dxfId="2" priority="38" operator="containsText" text="TERPENUHI">
      <formula>NOT(ISERROR(SEARCH("TERPENUHI",L76)))</formula>
    </cfRule>
  </conditionalFormatting>
  <conditionalFormatting sqref="N76:N77">
    <cfRule type="containsText" dxfId="1" priority="39" operator="containsText" text="TIDAK TERPENUHI">
      <formula>NOT(ISERROR(SEARCH("TIDAK TERPENUHI",N76)))</formula>
    </cfRule>
    <cfRule type="containsText" dxfId="0" priority="40" operator="containsText" text="TERPENUHI">
      <formula>NOT(ISERROR(SEARCH("TERPENUHI",N76)))</formula>
    </cfRule>
  </conditionalFormatting>
  <printOptions horizontalCentered="1"/>
  <pageMargins left="0.51181102362205" right="0.51181102362205" top="0.74803149606299002" bottom="0.51181102362205" header="0.31496062992126" footer="0.31496062992126"/>
  <pageSetup paperSize="9" fitToHeight="0" orientation="portrait"/>
  <headerFooter>
    <oddFooter>&amp;LForm AK - &amp;D@&amp;T&amp;CAkreditasi Program Studi&amp;R&amp;P/&amp;N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9B763A-4D02-4744-B7DA-D12AB505BED7}">
  <dimension ref="A1:E20"/>
  <sheetViews>
    <sheetView topLeftCell="C7" workbookViewId="0">
      <selection activeCell="E13" sqref="E13"/>
    </sheetView>
  </sheetViews>
  <sheetFormatPr defaultRowHeight="15"/>
  <cols>
    <col min="3" max="3" width="47" customWidth="1"/>
    <col min="5" max="5" width="73" customWidth="1"/>
  </cols>
  <sheetData>
    <row r="1" spans="1:5" ht="21">
      <c r="A1" s="345" t="s">
        <v>692</v>
      </c>
      <c r="B1" s="345"/>
      <c r="C1" s="345"/>
      <c r="D1" s="345"/>
      <c r="E1" s="345"/>
    </row>
    <row r="2" spans="1:5">
      <c r="A2" s="219"/>
      <c r="B2" s="220" t="s">
        <v>693</v>
      </c>
      <c r="C2" s="220" t="s">
        <v>694</v>
      </c>
      <c r="D2" s="220" t="s">
        <v>35</v>
      </c>
      <c r="E2" s="220" t="s">
        <v>695</v>
      </c>
    </row>
    <row r="3" spans="1:5" ht="75">
      <c r="A3" s="219"/>
      <c r="B3" s="221">
        <v>1</v>
      </c>
      <c r="C3" s="222" t="s">
        <v>696</v>
      </c>
      <c r="D3" s="223">
        <v>2</v>
      </c>
      <c r="E3" s="222" t="s">
        <v>697</v>
      </c>
    </row>
    <row r="4" spans="1:5" ht="45">
      <c r="A4" s="219"/>
      <c r="B4" s="221">
        <v>2</v>
      </c>
      <c r="C4" s="222" t="s">
        <v>117</v>
      </c>
      <c r="D4" s="223">
        <v>2</v>
      </c>
      <c r="E4" s="225" t="s">
        <v>120</v>
      </c>
    </row>
    <row r="5" spans="1:5" ht="30">
      <c r="A5" s="219"/>
      <c r="B5" s="221">
        <v>3</v>
      </c>
      <c r="C5" s="222" t="s">
        <v>188</v>
      </c>
      <c r="D5" s="223">
        <v>2</v>
      </c>
      <c r="E5" s="226" t="s">
        <v>698</v>
      </c>
    </row>
    <row r="6" spans="1:5" ht="30">
      <c r="A6" s="219"/>
      <c r="B6" s="221">
        <v>4</v>
      </c>
      <c r="C6" s="222" t="s">
        <v>191</v>
      </c>
      <c r="D6" s="223">
        <v>2</v>
      </c>
      <c r="E6" s="226" t="s">
        <v>699</v>
      </c>
    </row>
    <row r="7" spans="1:5" ht="45">
      <c r="A7" s="219"/>
      <c r="B7" s="221">
        <v>5</v>
      </c>
      <c r="C7" s="222" t="s">
        <v>196</v>
      </c>
      <c r="D7" s="221">
        <v>2.5099999999999998</v>
      </c>
      <c r="E7" s="226" t="s">
        <v>700</v>
      </c>
    </row>
    <row r="8" spans="1:5" ht="45">
      <c r="A8" s="219"/>
      <c r="B8" s="221">
        <v>6</v>
      </c>
      <c r="C8" s="222" t="s">
        <v>238</v>
      </c>
      <c r="D8" s="221">
        <v>0.54545454545454541</v>
      </c>
      <c r="E8" s="225" t="s">
        <v>701</v>
      </c>
    </row>
    <row r="9" spans="1:5" ht="45">
      <c r="A9" s="219"/>
      <c r="B9" s="221">
        <v>7</v>
      </c>
      <c r="C9" s="222" t="s">
        <v>259</v>
      </c>
      <c r="D9" s="221">
        <v>2</v>
      </c>
      <c r="E9" s="227" t="s">
        <v>702</v>
      </c>
    </row>
    <row r="10" spans="1:5" ht="45">
      <c r="A10" s="219"/>
      <c r="B10" s="221">
        <v>8</v>
      </c>
      <c r="C10" s="222" t="s">
        <v>703</v>
      </c>
      <c r="D10" s="221">
        <v>2</v>
      </c>
      <c r="E10" s="222" t="s">
        <v>704</v>
      </c>
    </row>
    <row r="11" spans="1:5" ht="30">
      <c r="A11" s="219"/>
      <c r="B11" s="221">
        <v>9</v>
      </c>
      <c r="C11" s="222" t="s">
        <v>288</v>
      </c>
      <c r="D11" s="221">
        <v>0.11101234563994368</v>
      </c>
      <c r="E11" s="346" t="s">
        <v>718</v>
      </c>
    </row>
    <row r="12" spans="1:5" ht="30">
      <c r="A12" s="219"/>
      <c r="B12" s="221">
        <v>10</v>
      </c>
      <c r="C12" s="222" t="s">
        <v>292</v>
      </c>
      <c r="D12" s="221">
        <v>0.34242424242424235</v>
      </c>
      <c r="E12" s="228" t="s">
        <v>705</v>
      </c>
    </row>
    <row r="13" spans="1:5" ht="30">
      <c r="A13" s="219"/>
      <c r="B13" s="221">
        <v>11</v>
      </c>
      <c r="C13" s="222" t="s">
        <v>295</v>
      </c>
      <c r="D13" s="221">
        <v>0.16921212121212117</v>
      </c>
      <c r="E13" s="228" t="s">
        <v>706</v>
      </c>
    </row>
    <row r="14" spans="1:5" ht="75">
      <c r="A14" s="219"/>
      <c r="B14" s="221">
        <v>12</v>
      </c>
      <c r="C14" s="222" t="s">
        <v>298</v>
      </c>
      <c r="D14" s="221">
        <v>2</v>
      </c>
      <c r="E14" s="224" t="s">
        <v>707</v>
      </c>
    </row>
    <row r="15" spans="1:5" ht="75">
      <c r="A15" s="219"/>
      <c r="B15" s="221">
        <v>13</v>
      </c>
      <c r="C15" s="222" t="s">
        <v>708</v>
      </c>
      <c r="D15" s="221">
        <v>2</v>
      </c>
      <c r="E15" s="224" t="s">
        <v>709</v>
      </c>
    </row>
    <row r="16" spans="1:5" ht="75">
      <c r="A16" s="219"/>
      <c r="B16" s="221">
        <v>14</v>
      </c>
      <c r="C16" s="222" t="s">
        <v>710</v>
      </c>
      <c r="D16" s="221">
        <v>2</v>
      </c>
      <c r="E16" s="224" t="s">
        <v>711</v>
      </c>
    </row>
    <row r="17" spans="1:5" ht="60">
      <c r="A17" s="219"/>
      <c r="B17" s="221">
        <v>15</v>
      </c>
      <c r="C17" s="222" t="s">
        <v>712</v>
      </c>
      <c r="D17" s="221">
        <v>2</v>
      </c>
      <c r="E17" s="224" t="s">
        <v>380</v>
      </c>
    </row>
    <row r="18" spans="1:5" ht="120">
      <c r="A18" s="219"/>
      <c r="B18" s="221">
        <v>16</v>
      </c>
      <c r="C18" s="222" t="s">
        <v>468</v>
      </c>
      <c r="D18" s="223">
        <v>2</v>
      </c>
      <c r="E18" s="224" t="s">
        <v>471</v>
      </c>
    </row>
    <row r="19" spans="1:5" ht="135">
      <c r="A19" s="219"/>
      <c r="B19" s="221">
        <v>17</v>
      </c>
      <c r="C19" s="222" t="s">
        <v>600</v>
      </c>
      <c r="D19" s="223">
        <v>2</v>
      </c>
      <c r="E19" s="222" t="s">
        <v>713</v>
      </c>
    </row>
    <row r="20" spans="1:5" ht="105">
      <c r="A20" s="219"/>
      <c r="B20" s="221">
        <v>18</v>
      </c>
      <c r="C20" s="222" t="s">
        <v>614</v>
      </c>
      <c r="D20" s="223">
        <v>2</v>
      </c>
      <c r="E20" s="222" t="s">
        <v>714</v>
      </c>
    </row>
  </sheetData>
  <mergeCells count="1">
    <mergeCell ref="A1:E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Menu</vt:lpstr>
      <vt:lpstr>Kertas Kerja</vt:lpstr>
      <vt:lpstr>Lap AK Individual</vt:lpstr>
      <vt:lpstr>list nilai rendah</vt:lpstr>
      <vt:lpstr>'Lap AK Individual'!Print_Area</vt:lpstr>
      <vt:lpstr>'Lap AK Individual'!Print_Titles</vt:lpstr>
    </vt:vector>
  </TitlesOfParts>
  <Company>NTU</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Radon Dhelika</dc:creator>
  <cp:lastModifiedBy>user</cp:lastModifiedBy>
  <dcterms:created xsi:type="dcterms:W3CDTF">2009-07-06T01:37:00Z</dcterms:created>
  <dcterms:modified xsi:type="dcterms:W3CDTF">2022-03-02T05:29:06Z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BD1E91C2906C4DE6993EF308411E6E4D</vt:lpwstr>
  </property>
  <property fmtid="{D5CDD505-2E9C-101B-9397-08002B2CF9AE}" pid="3" name="KSOProductBuildVer">
    <vt:lpwstr>1033-11.2.0.10466</vt:lpwstr>
  </property>
</Properties>
</file>