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Models\"/>
    </mc:Choice>
  </mc:AlternateContent>
  <xr:revisionPtr revIDLastSave="0" documentId="13_ncr:1_{899B773E-ECCC-4519-A7DF-C6807073A5C8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0" l="1"/>
  <c r="G24" i="10"/>
  <c r="F104" i="10"/>
  <c r="F106" i="10" s="1"/>
  <c r="F88" i="10"/>
  <c r="F90" i="10" s="1"/>
  <c r="F71" i="10"/>
  <c r="F74" i="10" s="1"/>
  <c r="F54" i="10"/>
  <c r="F48" i="10"/>
  <c r="F43" i="10"/>
  <c r="F38" i="10"/>
  <c r="F18" i="10"/>
  <c r="F15" i="10"/>
  <c r="J103" i="10"/>
  <c r="K103" i="10"/>
  <c r="L103" i="10"/>
  <c r="J95" i="10"/>
  <c r="K95" i="10"/>
  <c r="K104" i="10" s="1"/>
  <c r="K106" i="10" s="1"/>
  <c r="L95" i="10"/>
  <c r="K88" i="10"/>
  <c r="K90" i="10" s="1"/>
  <c r="J88" i="10"/>
  <c r="J90" i="10" s="1"/>
  <c r="I88" i="10"/>
  <c r="I90" i="10" s="1"/>
  <c r="H88" i="10"/>
  <c r="H90" i="10" s="1"/>
  <c r="G88" i="10"/>
  <c r="G90" i="10" s="1"/>
  <c r="O88" i="10"/>
  <c r="O90" i="10" s="1"/>
  <c r="N88" i="10"/>
  <c r="N90" i="10" s="1"/>
  <c r="M88" i="10"/>
  <c r="M90" i="10" s="1"/>
  <c r="L88" i="10"/>
  <c r="L90" i="10" s="1"/>
  <c r="L53" i="10"/>
  <c r="M53" i="10"/>
  <c r="L52" i="10"/>
  <c r="M52" i="10"/>
  <c r="L51" i="10"/>
  <c r="M51" i="10"/>
  <c r="L50" i="10"/>
  <c r="M50" i="10"/>
  <c r="L42" i="10"/>
  <c r="L43" i="10" s="1"/>
  <c r="M42" i="10"/>
  <c r="M43" i="10" s="1"/>
  <c r="L37" i="10"/>
  <c r="L38" i="10" s="1"/>
  <c r="M37" i="10"/>
  <c r="M38" i="10" s="1"/>
  <c r="M103" i="10"/>
  <c r="N103" i="10"/>
  <c r="O103" i="10"/>
  <c r="M95" i="10"/>
  <c r="N95" i="10"/>
  <c r="O95" i="10"/>
  <c r="I104" i="10"/>
  <c r="I106" i="10" s="1"/>
  <c r="H104" i="10"/>
  <c r="H106" i="10" s="1"/>
  <c r="G104" i="10"/>
  <c r="G106" i="10" s="1"/>
  <c r="E92" i="10"/>
  <c r="E93" i="10"/>
  <c r="E80" i="10"/>
  <c r="E81" i="10"/>
  <c r="L15" i="10"/>
  <c r="L25" i="10" s="1"/>
  <c r="I15" i="10"/>
  <c r="I25" i="10" s="1"/>
  <c r="H15" i="10"/>
  <c r="H25" i="10" s="1"/>
  <c r="G15" i="10"/>
  <c r="G25" i="10" s="1"/>
  <c r="E67" i="10"/>
  <c r="E34" i="10"/>
  <c r="E9" i="10"/>
  <c r="N71" i="10"/>
  <c r="N74" i="10" s="1"/>
  <c r="N78" i="10" s="1"/>
  <c r="M71" i="10"/>
  <c r="M74" i="10" s="1"/>
  <c r="M78" i="10" s="1"/>
  <c r="L71" i="10"/>
  <c r="L74" i="10" s="1"/>
  <c r="L78" i="10" s="1"/>
  <c r="K71" i="10"/>
  <c r="K74" i="10" s="1"/>
  <c r="K78" i="10" s="1"/>
  <c r="J71" i="10"/>
  <c r="J74" i="10" s="1"/>
  <c r="J78" i="10" s="1"/>
  <c r="I71" i="10"/>
  <c r="I74" i="10" s="1"/>
  <c r="I78" i="10" s="1"/>
  <c r="H71" i="10"/>
  <c r="H74" i="10" s="1"/>
  <c r="H78" i="10" s="1"/>
  <c r="G71" i="10"/>
  <c r="G74" i="10" s="1"/>
  <c r="O71" i="10"/>
  <c r="O74" i="10" s="1"/>
  <c r="O78" i="10" s="1"/>
  <c r="O24" i="10"/>
  <c r="N24" i="10"/>
  <c r="M24" i="10"/>
  <c r="L24" i="10"/>
  <c r="K24" i="10"/>
  <c r="J24" i="10"/>
  <c r="I24" i="10"/>
  <c r="H24" i="10"/>
  <c r="E66" i="10"/>
  <c r="N53" i="10"/>
  <c r="K54" i="10"/>
  <c r="J54" i="10"/>
  <c r="I54" i="10"/>
  <c r="H54" i="10"/>
  <c r="G54" i="10"/>
  <c r="O53" i="10"/>
  <c r="N52" i="10"/>
  <c r="O52" i="10"/>
  <c r="N51" i="10"/>
  <c r="O51" i="10"/>
  <c r="N50" i="10"/>
  <c r="O50" i="10"/>
  <c r="N49" i="10"/>
  <c r="O49" i="10"/>
  <c r="M48" i="10"/>
  <c r="L48" i="10"/>
  <c r="K48" i="10"/>
  <c r="J48" i="10"/>
  <c r="I48" i="10"/>
  <c r="H48" i="10"/>
  <c r="G48" i="10"/>
  <c r="N48" i="10"/>
  <c r="O48" i="10"/>
  <c r="K43" i="10"/>
  <c r="J43" i="10"/>
  <c r="I43" i="10"/>
  <c r="H43" i="10"/>
  <c r="G43" i="10"/>
  <c r="N42" i="10"/>
  <c r="N43" i="10" s="1"/>
  <c r="O42" i="10"/>
  <c r="O43" i="10" s="1"/>
  <c r="K38" i="10"/>
  <c r="J38" i="10"/>
  <c r="I38" i="10"/>
  <c r="H38" i="10"/>
  <c r="G38" i="10"/>
  <c r="N37" i="10"/>
  <c r="N38" i="10" s="1"/>
  <c r="O37" i="10"/>
  <c r="O38" i="10" s="1"/>
  <c r="E33" i="10"/>
  <c r="E8" i="10"/>
  <c r="N18" i="10"/>
  <c r="M18" i="10"/>
  <c r="L18" i="10"/>
  <c r="K18" i="10"/>
  <c r="J18" i="10"/>
  <c r="I18" i="10"/>
  <c r="H18" i="10"/>
  <c r="G18" i="10"/>
  <c r="O18" i="10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J104" i="10" l="1"/>
  <c r="J106" i="10" s="1"/>
  <c r="F44" i="10"/>
  <c r="F55" i="10"/>
  <c r="F64" i="10" s="1"/>
  <c r="F19" i="10"/>
  <c r="F22" i="10" s="1"/>
  <c r="F31" i="10" s="1"/>
  <c r="F26" i="10"/>
  <c r="F25" i="10"/>
  <c r="L104" i="10"/>
  <c r="L106" i="10" s="1"/>
  <c r="N104" i="10"/>
  <c r="N106" i="10" s="1"/>
  <c r="M104" i="10"/>
  <c r="M106" i="10" s="1"/>
  <c r="L54" i="10"/>
  <c r="L55" i="10" s="1"/>
  <c r="M54" i="10"/>
  <c r="M55" i="10" s="1"/>
  <c r="O104" i="10"/>
  <c r="O106" i="10" s="1"/>
  <c r="C90" i="10" a="1"/>
  <c r="C90" i="10" s="1"/>
  <c r="O15" i="10"/>
  <c r="O25" i="10" s="1"/>
  <c r="C78" i="10" a="1"/>
  <c r="C78" i="10" s="1"/>
  <c r="N54" i="10"/>
  <c r="N55" i="10" s="1"/>
  <c r="M44" i="10"/>
  <c r="I44" i="10"/>
  <c r="I55" i="10"/>
  <c r="O54" i="10"/>
  <c r="O55" i="10" s="1"/>
  <c r="G44" i="10"/>
  <c r="K55" i="10"/>
  <c r="H44" i="10"/>
  <c r="J44" i="10"/>
  <c r="K44" i="10"/>
  <c r="G55" i="10"/>
  <c r="L44" i="10"/>
  <c r="H55" i="10"/>
  <c r="O44" i="10"/>
  <c r="J55" i="10"/>
  <c r="N44" i="10"/>
  <c r="G19" i="10"/>
  <c r="G22" i="10" s="1"/>
  <c r="G26" i="10" s="1"/>
  <c r="H19" i="10"/>
  <c r="H22" i="10" s="1"/>
  <c r="J19" i="10"/>
  <c r="J22" i="10" s="1"/>
  <c r="L19" i="10"/>
  <c r="L22" i="10" s="1"/>
  <c r="I19" i="10"/>
  <c r="I22" i="10" s="1"/>
  <c r="K19" i="10"/>
  <c r="K22" i="10" s="1"/>
  <c r="M19" i="10"/>
  <c r="M22" i="10" s="1"/>
  <c r="N19" i="10"/>
  <c r="N22" i="10" s="1"/>
  <c r="A2" i="4"/>
  <c r="D4" i="10"/>
  <c r="A2" i="1"/>
  <c r="A3" i="1"/>
  <c r="A1" i="3"/>
  <c r="C106" i="10" l="1" a="1"/>
  <c r="C106" i="10" s="1"/>
  <c r="O19" i="10"/>
  <c r="H64" i="10"/>
  <c r="G64" i="10"/>
  <c r="I64" i="10"/>
  <c r="O64" i="10"/>
  <c r="M64" i="10"/>
  <c r="L64" i="10"/>
  <c r="K64" i="10"/>
  <c r="J64" i="10"/>
  <c r="N64" i="10"/>
  <c r="I31" i="10"/>
  <c r="I26" i="10"/>
  <c r="N31" i="10"/>
  <c r="N26" i="10"/>
  <c r="L31" i="10"/>
  <c r="L26" i="10"/>
  <c r="J31" i="10"/>
  <c r="J26" i="10"/>
  <c r="M31" i="10"/>
  <c r="M26" i="10"/>
  <c r="H31" i="10"/>
  <c r="H26" i="10"/>
  <c r="G31" i="10"/>
  <c r="K31" i="10"/>
  <c r="K26" i="10"/>
  <c r="A1" i="1"/>
  <c r="O22" i="10" l="1"/>
  <c r="O26" i="10" s="1"/>
  <c r="C64" i="10" a="1"/>
  <c r="C64" i="10" s="1"/>
  <c r="O31" i="10" l="1"/>
  <c r="C31" i="10" s="1" a="1"/>
  <c r="C31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<sst xmlns="http://schemas.openxmlformats.org/spreadsheetml/2006/main" count="155" uniqueCount="114">
  <si>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</si>
  <si>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</si>
  <si>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</si>
  <si>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</si>
  <si>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</si>
  <si>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</si>
  <si>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</si>
  <si>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</si>
  <si>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</si>
  <si>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</si>
  <si>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</si>
  <si>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</si>
  <si>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</si>
  <si>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</si>
  <si>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</si>
  <si>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</si>
  <si>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</si>
  <si>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</si>
  <si>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</si>
  <si>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</si>
  <si>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</si>
  <si>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</si>
  <si>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</si>
  <si>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</si>
  <si>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</si>
  <si>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</si>
  <si>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</si>
  <si>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</si>
  <si>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</si>
  <si>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</si>
  <si>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</si>
  <si>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</si>
  <si>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</si>
  <si>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</si>
  <si>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</si>
  <si>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</si>
  <si>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</si>
  <si>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</si>
  <si>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</si>
  <si>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</si>
  <si>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</si>
  <si>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</si>
  <si>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</si>
  <si>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</si>
  <si>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</si>
  <si>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</si>
  <si>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</si>
  <si>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</si>
  <si>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</si>
  <si>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</si>
  <si>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</si>
  <si>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</si>
  <si>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</si>
  <si>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</si>
  <si>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</si>
  <si>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</si>
  <si>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</si>
  <si>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</si>
  <si>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</si>
  <si>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</si>
  <si>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</si>
  <si>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</si>
  <si>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</si>
  <si>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</si>
  <si>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</si>
  <si>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</si>
  <si>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</si>
  <si>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</si>
  <si>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</si>
  <si>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</si>
  <si>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</si>
  <si>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</si>
  <si>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</si>
  <si>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</si>
  <si>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</si>
  <si>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</si>
  <si>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</si>
  <si>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FX</t>
  </si>
  <si>
    <t>Net increase/ (decrease) cash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</si>
  <si>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</si>
  <si>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</si>
  <si>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</si>
  <si>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</si>
  <si>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</si>
  <si>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</si>
  <si>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</si>
  <si>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</si>
  <si>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</si>
  <si>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</si>
  <si>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</si>
  <si>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</si>
  <si>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</si>
  <si>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</si>
  <si>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</si>
  <si>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</si>
  <si>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</si>
  <si>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</si>
  <si>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</si>
  <si>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</si>
  <si>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</si>
  <si>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</si>
  <si>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</si>
  <si>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</si>
  <si>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</si>
  <si>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</si>
  <si>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</si>
  <si>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</si>
  <si>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</si>
  <si>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Proceeds from disinvestment (c.10bn)</t>
  </si>
  <si>
    <t>Petroleum</t>
  </si>
  <si>
    <t>n/a</t>
  </si>
  <si>
    <t>Exploration, development and production of oil and gas</t>
  </si>
  <si>
    <t>FY15</t>
  </si>
  <si>
    <t>Jun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</si>
</sst>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8" formatCode="0.0%;\(0.0%\)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0" fontId="0" fillId="0" borderId="5" xfId="0" applyBorder="1"/>
    <xf numFmtId="168" fontId="6" fillId="0" borderId="6" xfId="1" applyNumberFormat="1" applyFont="1" applyBorder="1" applyAlignment="1">
      <alignment horizontal="right"/>
    </xf>
    <xf numFmtId="168" fontId="6" fillId="0" borderId="7" xfId="1" applyNumberFormat="1" applyFont="1" applyBorder="1" applyAlignment="1">
      <alignment horizontal="right"/>
    </xf>
    <xf numFmtId="0" fontId="0" fillId="0" borderId="8" xfId="0" applyBorder="1"/>
    <xf numFmtId="168" fontId="6" fillId="0" borderId="0" xfId="1" applyNumberFormat="1" applyFont="1" applyBorder="1" applyAlignment="1">
      <alignment horizontal="right"/>
    </xf>
    <xf numFmtId="168" fontId="6" fillId="0" borderId="9" xfId="1" applyNumberFormat="1" applyFont="1" applyBorder="1" applyAlignment="1">
      <alignment horizontal="right"/>
    </xf>
    <xf numFmtId="0" fontId="0" fillId="0" borderId="10" xfId="0" applyBorder="1"/>
    <xf numFmtId="168" fontId="6" fillId="0" borderId="2" xfId="1" applyNumberFormat="1" applyFont="1" applyBorder="1" applyAlignment="1">
      <alignment horizontal="right"/>
    </xf>
    <xf numFmtId="168" fontId="6" fillId="0" borderId="11" xfId="1" applyNumberFormat="1" applyFont="1" applyBorder="1" applyAlignment="1">
      <alignment horizontal="right"/>
    </xf>
    <xf numFmtId="0" fontId="9" fillId="0" borderId="0" xfId="0" applyFont="1"/>
    <xf numFmtId="41" fontId="0" fillId="0" borderId="0" xfId="0" applyNumberFormat="1" applyFont="1"/>
    <xf numFmtId="0" fontId="0" fillId="0" borderId="0" xfId="0" applyFont="1" applyAlignment="1">
      <alignment horizontal="left" indent="1"/>
    </xf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41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BHP Group Limited: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BHP Group Limited: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E13"/>
  <sheetViews>
    <sheetView showGridLines="0" workbookViewId="0">
      <selection activeCell="E13" sqref="E13"/>
    </sheetView>
  </sheetViews>
  <sheetFormatPr defaultRowHeight="12.75" x14ac:dyDescent="0.2"/>
  <cols>
    <col min="5" max="5" width="17.28515625" bestFit="1" customWidth="1"/>
  </cols>
  <sheetData>
    <row r="1" spans="1:5" x14ac:dyDescent="0.2">
      <c r="A1" s="5" t="str">
        <f ca="1">MID(CELL("filename",A1),FIND("]",CELL("filename",A1))+1,256)</f>
        <v>Input</v>
      </c>
    </row>
    <row r="2" spans="1:5" x14ac:dyDescent="0.2">
      <c r="A2" s="6" t="str">
        <f>Cover!$A$2</f>
        <v>Indicative valuation of BHP Group Limited: Public information</v>
      </c>
    </row>
    <row r="3" spans="1:5" x14ac:dyDescent="0.2">
      <c r="A3" s="6" t="str">
        <f>Cover!$A$3</f>
        <v>Educational purposes only, no financial advice</v>
      </c>
    </row>
    <row r="7" spans="1:5" x14ac:dyDescent="0.2">
      <c r="B7" t="s">
        <v>16</v>
      </c>
      <c r="E7" s="11" t="s">
        <v>40</v>
      </c>
    </row>
    <row r="8" spans="1:5" x14ac:dyDescent="0.2">
      <c r="B8" t="s">
        <v>17</v>
      </c>
      <c r="E8" s="11" t="s">
        <v>21</v>
      </c>
    </row>
    <row r="9" spans="1:5" x14ac:dyDescent="0.2">
      <c r="B9" t="s">
        <v>22</v>
      </c>
      <c r="E9" s="11" t="s">
        <v>23</v>
      </c>
    </row>
    <row r="10" spans="1:5" x14ac:dyDescent="0.2">
      <c r="B10" t="s">
        <v>24</v>
      </c>
      <c r="E10" s="11" t="s">
        <v>25</v>
      </c>
    </row>
    <row r="11" spans="1:5" x14ac:dyDescent="0.2">
      <c r="B11" t="s">
        <v>18</v>
      </c>
      <c r="E11" s="11" t="s">
        <v>21</v>
      </c>
    </row>
    <row r="12" spans="1:5" x14ac:dyDescent="0.2">
      <c r="B12" t="s">
        <v>20</v>
      </c>
      <c r="E12" s="12">
        <v>45473</v>
      </c>
    </row>
    <row r="13" spans="1:5" x14ac:dyDescent="0.2">
      <c r="B13" t="s">
        <v>79</v>
      </c>
      <c r="E13" s="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3"/>
  <sheetViews>
    <sheetView showGridLines="0" tabSelected="1" workbookViewId="0">
      <selection activeCell="I8" sqref="I8"/>
    </sheetView>
  </sheetViews>
  <sheetFormatPr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8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0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BHP Group Limited: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P&amp;L"</f>
        <v>BHP P&amp;L</v>
      </c>
      <c r="O8" s="9"/>
      <c r="T8" s="39" t="s">
        <v>94</v>
      </c>
    </row>
    <row r="9" spans="2:20" x14ac:dyDescent="0.2">
      <c r="E9" s="10" t="str">
        <f>+Input!$E$13</f>
        <v>USDmn</v>
      </c>
      <c r="F9" s="40" t="s">
        <v>112</v>
      </c>
      <c r="G9" s="40" t="s">
        <v>106</v>
      </c>
      <c r="H9" s="40" t="s">
        <v>105</v>
      </c>
      <c r="I9" s="40" t="s">
        <v>104</v>
      </c>
      <c r="J9" s="40" t="s">
        <v>103</v>
      </c>
      <c r="K9" s="40" t="s">
        <v>102</v>
      </c>
      <c r="L9" s="40" t="s">
        <v>101</v>
      </c>
      <c r="M9" s="40" t="s">
        <v>100</v>
      </c>
      <c r="N9" s="40" t="s">
        <v>99</v>
      </c>
      <c r="O9" s="40" t="s">
        <v>98</v>
      </c>
    </row>
    <row r="10" spans="2:20" ht="3" customHeight="1" x14ac:dyDescent="0.2"/>
    <row r="11" spans="2:20" x14ac:dyDescent="0.2">
      <c r="E11" s="13" t="s">
        <v>27</v>
      </c>
      <c r="F11" s="18"/>
      <c r="G11" s="18"/>
      <c r="H11" s="18"/>
      <c r="I11" s="18"/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</row>
    <row r="12" spans="2:20" x14ac:dyDescent="0.2">
      <c r="E12" s="13" t="s">
        <v>28</v>
      </c>
      <c r="F12" s="18"/>
      <c r="G12" s="18"/>
      <c r="H12" s="18"/>
      <c r="I12" s="18"/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</row>
    <row r="13" spans="2:20" x14ac:dyDescent="0.2">
      <c r="E13" s="13" t="s">
        <v>29</v>
      </c>
      <c r="F13" s="18"/>
      <c r="G13" s="18"/>
      <c r="H13" s="18"/>
      <c r="I13" s="18"/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</row>
    <row r="14" spans="2:20" x14ac:dyDescent="0.2">
      <c r="E14" s="13" t="s">
        <v>30</v>
      </c>
      <c r="F14" s="20"/>
      <c r="G14" s="20"/>
      <c r="H14" s="20"/>
      <c r="I14" s="20"/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</row>
    <row r="15" spans="2:20" x14ac:dyDescent="0.2">
      <c r="E15" s="5" t="s">
        <v>34</v>
      </c>
      <c r="F15" s="19">
        <f>SUM(F11:F14)</f>
        <v>0</v>
      </c>
      <c r="G15" s="19">
        <f>SUM(G11:G14)</f>
        <v>0</v>
      </c>
      <c r="H15" s="19">
        <f>SUM(H11:H14)</f>
        <v>0</v>
      </c>
      <c r="I15" s="19">
        <f>SUM(I11:I14)</f>
        <v>0</v>
      </c>
      <c r="J15" s="19">
        <f>SUM(J11:J14)</f>
        <v>16113</v>
      </c>
      <c r="K15" s="19">
        <f>SUM(K11:K14)</f>
        <v>14421</v>
      </c>
      <c r="L15" s="19">
        <f>SUM(L11:L14)</f>
        <v>25906</v>
      </c>
      <c r="M15" s="19">
        <f>SUM(M11:M14)</f>
        <v>34106</v>
      </c>
      <c r="N15" s="19">
        <f>SUM(N11:N14)</f>
        <v>22932</v>
      </c>
      <c r="O15" s="19">
        <f>SUM(O11:O14)</f>
        <v>17537</v>
      </c>
    </row>
    <row r="16" spans="2:20" x14ac:dyDescent="0.2">
      <c r="E16" s="16" t="s">
        <v>31</v>
      </c>
      <c r="F16" s="18"/>
      <c r="G16" s="18"/>
      <c r="H16" s="18"/>
      <c r="I16" s="18"/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</row>
    <row r="17" spans="3:15" x14ac:dyDescent="0.2">
      <c r="E17" s="16" t="s">
        <v>32</v>
      </c>
      <c r="F17" s="20"/>
      <c r="G17" s="20"/>
      <c r="H17" s="20"/>
      <c r="I17" s="20"/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</row>
    <row r="18" spans="3:15" x14ac:dyDescent="0.2">
      <c r="E18" s="14" t="s">
        <v>33</v>
      </c>
      <c r="F18" s="22">
        <f t="shared" ref="F18" si="0">SUM(F16:F17)</f>
        <v>0</v>
      </c>
      <c r="G18" s="22">
        <f t="shared" ref="G18:N18" si="1">SUM(G16:G17)</f>
        <v>0</v>
      </c>
      <c r="H18" s="22">
        <f t="shared" si="1"/>
        <v>0</v>
      </c>
      <c r="I18" s="22">
        <f t="shared" si="1"/>
        <v>0</v>
      </c>
      <c r="J18" s="22">
        <f t="shared" si="1"/>
        <v>-1064</v>
      </c>
      <c r="K18" s="22">
        <f t="shared" si="1"/>
        <v>-911</v>
      </c>
      <c r="L18" s="22">
        <f t="shared" si="1"/>
        <v>-1305</v>
      </c>
      <c r="M18" s="22">
        <f t="shared" si="1"/>
        <v>-969</v>
      </c>
      <c r="N18" s="22">
        <f t="shared" si="1"/>
        <v>-1531</v>
      </c>
      <c r="O18" s="22">
        <f>SUM(O16:O17)</f>
        <v>-1489</v>
      </c>
    </row>
    <row r="19" spans="3:15" x14ac:dyDescent="0.2">
      <c r="E19" s="15" t="s">
        <v>35</v>
      </c>
      <c r="F19" s="19">
        <f t="shared" ref="F19" si="2">+F15+F18</f>
        <v>0</v>
      </c>
      <c r="G19" s="19">
        <f t="shared" ref="G19:N19" si="3">+G15+G18</f>
        <v>0</v>
      </c>
      <c r="H19" s="19">
        <f t="shared" si="3"/>
        <v>0</v>
      </c>
      <c r="I19" s="19">
        <f t="shared" si="3"/>
        <v>0</v>
      </c>
      <c r="J19" s="19">
        <f t="shared" si="3"/>
        <v>15049</v>
      </c>
      <c r="K19" s="19">
        <f t="shared" si="3"/>
        <v>13510</v>
      </c>
      <c r="L19" s="19">
        <f t="shared" si="3"/>
        <v>24601</v>
      </c>
      <c r="M19" s="19">
        <f t="shared" si="3"/>
        <v>33137</v>
      </c>
      <c r="N19" s="19">
        <f t="shared" si="3"/>
        <v>21401</v>
      </c>
      <c r="O19" s="19">
        <f>+O15+O18</f>
        <v>16048</v>
      </c>
    </row>
    <row r="20" spans="3:15" x14ac:dyDescent="0.2">
      <c r="E20" t="s">
        <v>36</v>
      </c>
      <c r="F20" s="18"/>
      <c r="G20" s="18"/>
      <c r="H20" s="18"/>
      <c r="I20" s="18"/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</row>
    <row r="21" spans="3:15" x14ac:dyDescent="0.2">
      <c r="E21" t="s">
        <v>107</v>
      </c>
      <c r="F21" s="18"/>
      <c r="G21" s="18"/>
      <c r="H21" s="18"/>
      <c r="I21" s="18"/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</row>
    <row r="22" spans="3:15" ht="13.5" thickBot="1" x14ac:dyDescent="0.25">
      <c r="E22" s="5" t="s">
        <v>37</v>
      </c>
      <c r="F22" s="23">
        <f t="shared" ref="F22:G22" si="4">SUM(F19:F21)</f>
        <v>0</v>
      </c>
      <c r="G22" s="23">
        <f t="shared" si="4"/>
        <v>0</v>
      </c>
      <c r="H22" s="23">
        <f t="shared" ref="H22" si="5">SUM(H19:H21)</f>
        <v>0</v>
      </c>
      <c r="I22" s="23">
        <f t="shared" ref="I22" si="6">SUM(I19:I21)</f>
        <v>0</v>
      </c>
      <c r="J22" s="23">
        <f t="shared" ref="J22" si="7">SUM(J19:J21)</f>
        <v>9185</v>
      </c>
      <c r="K22" s="23">
        <f t="shared" ref="K22:O22" si="8">SUM(K19:K21)</f>
        <v>8736</v>
      </c>
      <c r="L22" s="23">
        <f t="shared" si="8"/>
        <v>13451</v>
      </c>
      <c r="M22" s="23">
        <f t="shared" si="8"/>
        <v>22400</v>
      </c>
      <c r="N22" s="23">
        <f t="shared" si="8"/>
        <v>14324</v>
      </c>
      <c r="O22" s="23">
        <f t="shared" si="8"/>
        <v>9601</v>
      </c>
    </row>
    <row r="23" spans="3:15" ht="3" customHeight="1" x14ac:dyDescent="0.2"/>
    <row r="24" spans="3:15" x14ac:dyDescent="0.2">
      <c r="E24" s="26" t="s">
        <v>72</v>
      </c>
      <c r="F24" s="27" t="str">
        <f>IFERROR(+F11/E11-1,"n/a")</f>
        <v>n/a</v>
      </c>
      <c r="G24" s="27" t="str">
        <f>IFERROR(+G11/F11-1,"n/a")</f>
        <v>n/a</v>
      </c>
      <c r="H24" s="27" t="str">
        <f>IFERROR(+H11/G11-1,"n/a")</f>
        <v>n/a</v>
      </c>
      <c r="I24" s="27" t="str">
        <f>IFERROR(+I11/H11-1,"n/a")</f>
        <v>n/a</v>
      </c>
      <c r="J24" s="27" t="str">
        <f>IFERROR(+J11/I11-1,"n/a")</f>
        <v>n/a</v>
      </c>
      <c r="K24" s="27">
        <f>IFERROR(+K11/J11-1,"n/a")</f>
        <v>-3.0640354046242768E-2</v>
      </c>
      <c r="L24" s="27">
        <f>IFERROR(+L11/K11-1,"n/a")</f>
        <v>0.41662202138314974</v>
      </c>
      <c r="M24" s="27">
        <f>IFERROR(+M11/L11-1,"n/a")</f>
        <v>7.0391502375980464E-2</v>
      </c>
      <c r="N24" s="27">
        <f>IFERROR(+N11/M11-1,"n/a")</f>
        <v>-0.17329257427263511</v>
      </c>
      <c r="O24" s="28">
        <f>IFERROR(+O11/N11-1,"n/a")</f>
        <v>3.4208521470910691E-2</v>
      </c>
    </row>
    <row r="25" spans="3:15" x14ac:dyDescent="0.2">
      <c r="E25" s="29" t="s">
        <v>73</v>
      </c>
      <c r="F25" s="30" t="str">
        <f>IFERROR(+F15/F11,"n/a")</f>
        <v>n/a</v>
      </c>
      <c r="G25" s="30" t="str">
        <f>IFERROR(+G15/G11,"n/a")</f>
        <v>n/a</v>
      </c>
      <c r="H25" s="30" t="str">
        <f>IFERROR(+H15/H11,"n/a")</f>
        <v>n/a</v>
      </c>
      <c r="I25" s="30" t="str">
        <f>IFERROR(+I15/I11,"n/a")</f>
        <v>n/a</v>
      </c>
      <c r="J25" s="30">
        <f>IFERROR(+J15/J11,"n/a")</f>
        <v>0.36382315751445088</v>
      </c>
      <c r="K25" s="30">
        <f>IFERROR(+K15/K11,"n/a")</f>
        <v>0.33591111318161704</v>
      </c>
      <c r="L25" s="30">
        <f>IFERROR(+L15/L11,"n/a")</f>
        <v>0.42596642386174915</v>
      </c>
      <c r="M25" s="30">
        <f>IFERROR(+M15/M11,"n/a")</f>
        <v>0.5239177854926419</v>
      </c>
      <c r="N25" s="30">
        <f>IFERROR(+N15/N11,"n/a")</f>
        <v>0.42611070851218019</v>
      </c>
      <c r="O25" s="31">
        <f>IFERROR(+O15/O11,"n/a")</f>
        <v>0.31508498329081175</v>
      </c>
    </row>
    <row r="26" spans="3:15" x14ac:dyDescent="0.2">
      <c r="E26" s="32" t="s">
        <v>74</v>
      </c>
      <c r="F26" s="33" t="str">
        <f t="shared" ref="F26" si="9">IFERROR(+F22/E22-1,"n/a")</f>
        <v>n/a</v>
      </c>
      <c r="G26" s="33" t="str">
        <f t="shared" ref="G26" si="10">IFERROR(+G22/F22-1,"n/a")</f>
        <v>n/a</v>
      </c>
      <c r="H26" s="33" t="str">
        <f t="shared" ref="H26:O26" si="11">IFERROR(+H22/G22-1,"n/a")</f>
        <v>n/a</v>
      </c>
      <c r="I26" s="33" t="str">
        <f t="shared" si="11"/>
        <v>n/a</v>
      </c>
      <c r="J26" s="33" t="str">
        <f t="shared" si="11"/>
        <v>n/a</v>
      </c>
      <c r="K26" s="33">
        <f t="shared" si="11"/>
        <v>-4.8884050081654862E-2</v>
      </c>
      <c r="L26" s="33">
        <f t="shared" si="11"/>
        <v>0.53972069597069594</v>
      </c>
      <c r="M26" s="33">
        <f t="shared" si="11"/>
        <v>0.66530369489257302</v>
      </c>
      <c r="N26" s="33">
        <f t="shared" si="11"/>
        <v>-0.36053571428571429</v>
      </c>
      <c r="O26" s="34">
        <f t="shared" si="11"/>
        <v>-0.32972633342641722</v>
      </c>
    </row>
    <row r="27" spans="3:15" ht="3" customHeight="1" x14ac:dyDescent="0.2"/>
    <row r="28" spans="3:15" ht="10.5" customHeight="1" x14ac:dyDescent="0.2">
      <c r="E28" s="35" t="s">
        <v>75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3:15" x14ac:dyDescent="0.2"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5" x14ac:dyDescent="0.2">
      <c r="E30" s="8" t="s">
        <v>39</v>
      </c>
      <c r="F30" s="21"/>
      <c r="G30" s="21"/>
      <c r="H30" s="21"/>
      <c r="I30" s="21"/>
      <c r="J30" s="21">
        <v>9185</v>
      </c>
      <c r="K30" s="21">
        <v>8736</v>
      </c>
      <c r="L30" s="21">
        <v>13451</v>
      </c>
      <c r="M30" s="21">
        <v>22400</v>
      </c>
      <c r="N30" s="21">
        <v>14324</v>
      </c>
      <c r="O30" s="21">
        <v>9601</v>
      </c>
    </row>
    <row r="31" spans="3:15" x14ac:dyDescent="0.2">
      <c r="C31" s="17" t="b" cm="1">
        <f t="array" ref="C31">AND(G31:O31&lt;$B$1,G31:O31&gt;-$B$1)</f>
        <v>1</v>
      </c>
      <c r="E31" s="8" t="s">
        <v>38</v>
      </c>
      <c r="F31" s="21">
        <f>+F30-F22</f>
        <v>0</v>
      </c>
      <c r="G31" s="21">
        <f>+G30-G22</f>
        <v>0</v>
      </c>
      <c r="H31" s="21">
        <f>+H30-H22</f>
        <v>0</v>
      </c>
      <c r="I31" s="21">
        <f>+I30-I22</f>
        <v>0</v>
      </c>
      <c r="J31" s="21">
        <f>+J30-J22</f>
        <v>0</v>
      </c>
      <c r="K31" s="21">
        <f>+K30-K22</f>
        <v>0</v>
      </c>
      <c r="L31" s="21">
        <f>+L30-L22</f>
        <v>0</v>
      </c>
      <c r="M31" s="21">
        <f>+M30-M22</f>
        <v>0</v>
      </c>
      <c r="N31" s="21">
        <f>+N30-N22</f>
        <v>0</v>
      </c>
      <c r="O31" s="21">
        <f>+O30-O22</f>
        <v>0</v>
      </c>
    </row>
    <row r="32" spans="3:15" x14ac:dyDescent="0.2"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5:15" x14ac:dyDescent="0.2">
      <c r="E33" s="5" t="str">
        <f>Input!$E$8&amp;" BS"</f>
        <v>BHP BS</v>
      </c>
      <c r="O33" s="9"/>
    </row>
    <row r="34" spans="5:15" x14ac:dyDescent="0.2">
      <c r="E34" s="10" t="str">
        <f>+Input!$E$13</f>
        <v>USDmn</v>
      </c>
      <c r="F34" s="24" t="s">
        <v>113</v>
      </c>
      <c r="G34" s="24" t="s">
        <v>41</v>
      </c>
      <c r="H34" s="24" t="s">
        <v>42</v>
      </c>
      <c r="I34" s="24" t="s">
        <v>43</v>
      </c>
      <c r="J34" s="24" t="s">
        <v>44</v>
      </c>
      <c r="K34" s="24" t="s">
        <v>45</v>
      </c>
      <c r="L34" s="24" t="s">
        <v>46</v>
      </c>
      <c r="M34" s="24" t="s">
        <v>47</v>
      </c>
      <c r="N34" s="24" t="s">
        <v>48</v>
      </c>
      <c r="O34" s="24" t="s">
        <v>49</v>
      </c>
    </row>
    <row r="35" spans="5:15" ht="3" customHeight="1" x14ac:dyDescent="0.2"/>
    <row r="36" spans="5:15" x14ac:dyDescent="0.2">
      <c r="E36" s="13" t="s">
        <v>54</v>
      </c>
      <c r="F36" s="18"/>
      <c r="G36" s="18"/>
      <c r="H36" s="18"/>
      <c r="I36" s="18"/>
      <c r="J36" s="18"/>
      <c r="K36" s="18"/>
      <c r="L36" s="18">
        <v>73813</v>
      </c>
      <c r="M36" s="18">
        <v>61295</v>
      </c>
      <c r="N36" s="18">
        <v>71818</v>
      </c>
      <c r="O36" s="18">
        <v>71629</v>
      </c>
    </row>
    <row r="37" spans="5:15" x14ac:dyDescent="0.2">
      <c r="E37" s="13" t="s">
        <v>55</v>
      </c>
      <c r="F37" s="20"/>
      <c r="G37" s="20"/>
      <c r="H37" s="20"/>
      <c r="I37" s="20"/>
      <c r="J37" s="20"/>
      <c r="K37" s="20"/>
      <c r="L37" s="20">
        <f>82234-L36</f>
        <v>8421</v>
      </c>
      <c r="M37" s="20">
        <f>66502-M36</f>
        <v>5207</v>
      </c>
      <c r="N37" s="20">
        <f>77945-N36</f>
        <v>6127</v>
      </c>
      <c r="O37" s="20">
        <f>78024-O36</f>
        <v>6395</v>
      </c>
    </row>
    <row r="38" spans="5:15" x14ac:dyDescent="0.2">
      <c r="E38" s="5" t="s">
        <v>56</v>
      </c>
      <c r="F38" s="19">
        <f t="shared" ref="F38" si="12">SUM(F36:F37)</f>
        <v>0</v>
      </c>
      <c r="G38" s="19">
        <f t="shared" ref="G38:M38" si="13">SUM(G36:G37)</f>
        <v>0</v>
      </c>
      <c r="H38" s="19">
        <f t="shared" si="13"/>
        <v>0</v>
      </c>
      <c r="I38" s="19">
        <f t="shared" si="13"/>
        <v>0</v>
      </c>
      <c r="J38" s="19">
        <f t="shared" si="13"/>
        <v>0</v>
      </c>
      <c r="K38" s="19">
        <f t="shared" si="13"/>
        <v>0</v>
      </c>
      <c r="L38" s="19">
        <f t="shared" si="13"/>
        <v>82234</v>
      </c>
      <c r="M38" s="19">
        <f t="shared" si="13"/>
        <v>66502</v>
      </c>
      <c r="N38" s="19">
        <f>SUM(N36:N37)</f>
        <v>77945</v>
      </c>
      <c r="O38" s="19">
        <f>SUM(O36:O37)</f>
        <v>78024</v>
      </c>
    </row>
    <row r="39" spans="5:15" x14ac:dyDescent="0.2">
      <c r="E39" s="13" t="s">
        <v>50</v>
      </c>
      <c r="F39" s="18"/>
      <c r="G39" s="18"/>
      <c r="H39" s="18"/>
      <c r="I39" s="18"/>
      <c r="J39" s="18"/>
      <c r="K39" s="18"/>
      <c r="L39" s="18">
        <v>15246</v>
      </c>
      <c r="M39" s="18">
        <v>17236</v>
      </c>
      <c r="N39" s="18">
        <v>12428</v>
      </c>
      <c r="O39" s="18">
        <v>12501</v>
      </c>
    </row>
    <row r="40" spans="5:15" x14ac:dyDescent="0.2">
      <c r="E40" s="13" t="s">
        <v>51</v>
      </c>
      <c r="F40" s="18"/>
      <c r="G40" s="18"/>
      <c r="H40" s="18"/>
      <c r="I40" s="18"/>
      <c r="J40" s="18"/>
      <c r="K40" s="18"/>
      <c r="L40" s="18">
        <v>6059</v>
      </c>
      <c r="M40" s="18">
        <v>5426</v>
      </c>
      <c r="N40" s="18">
        <v>4594</v>
      </c>
      <c r="O40" s="18">
        <v>5169</v>
      </c>
    </row>
    <row r="41" spans="5:15" x14ac:dyDescent="0.2">
      <c r="E41" s="13" t="s">
        <v>52</v>
      </c>
      <c r="F41" s="18"/>
      <c r="G41" s="18"/>
      <c r="H41" s="18"/>
      <c r="I41" s="18"/>
      <c r="J41" s="18"/>
      <c r="K41" s="18"/>
      <c r="L41" s="18">
        <v>4426</v>
      </c>
      <c r="M41" s="18">
        <v>4935</v>
      </c>
      <c r="N41" s="18">
        <v>5220</v>
      </c>
      <c r="O41" s="18">
        <v>5828</v>
      </c>
    </row>
    <row r="42" spans="5:15" x14ac:dyDescent="0.2">
      <c r="E42" s="13" t="s">
        <v>57</v>
      </c>
      <c r="F42" s="20"/>
      <c r="G42" s="20"/>
      <c r="H42" s="20"/>
      <c r="I42" s="20"/>
      <c r="J42" s="20"/>
      <c r="K42" s="20"/>
      <c r="L42" s="20">
        <f>230+324+279+129</f>
        <v>962</v>
      </c>
      <c r="M42" s="20">
        <f>629+263+175</f>
        <v>1067</v>
      </c>
      <c r="N42" s="20">
        <f>470+508+131</f>
        <v>1109</v>
      </c>
      <c r="O42" s="20">
        <f>381+314+145</f>
        <v>840</v>
      </c>
    </row>
    <row r="43" spans="5:15" x14ac:dyDescent="0.2">
      <c r="E43" s="5" t="s">
        <v>58</v>
      </c>
      <c r="F43" s="19">
        <f t="shared" ref="F43:G43" si="14">SUM(F39:F42)</f>
        <v>0</v>
      </c>
      <c r="G43" s="19">
        <f t="shared" si="14"/>
        <v>0</v>
      </c>
      <c r="H43" s="19">
        <f t="shared" ref="H43" si="15">SUM(H39:H42)</f>
        <v>0</v>
      </c>
      <c r="I43" s="19">
        <f t="shared" ref="I43" si="16">SUM(I39:I42)</f>
        <v>0</v>
      </c>
      <c r="J43" s="19">
        <f t="shared" ref="J43" si="17">SUM(J39:J42)</f>
        <v>0</v>
      </c>
      <c r="K43" s="19">
        <f t="shared" ref="K43" si="18">SUM(K39:K42)</f>
        <v>0</v>
      </c>
      <c r="L43" s="19">
        <f t="shared" ref="L43" si="19">SUM(L39:L42)</f>
        <v>26693</v>
      </c>
      <c r="M43" s="19">
        <f t="shared" ref="M43" si="20">SUM(M39:M42)</f>
        <v>28664</v>
      </c>
      <c r="N43" s="19">
        <f t="shared" ref="N43" si="21">SUM(N39:N42)</f>
        <v>23351</v>
      </c>
      <c r="O43" s="19">
        <f>SUM(O39:O42)</f>
        <v>24338</v>
      </c>
    </row>
    <row r="44" spans="5:15" ht="13.5" thickBot="1" x14ac:dyDescent="0.25">
      <c r="E44" s="5" t="s">
        <v>59</v>
      </c>
      <c r="F44" s="23">
        <f t="shared" ref="F44" si="22">+F43+F38</f>
        <v>0</v>
      </c>
      <c r="G44" s="23">
        <f t="shared" ref="G44:N44" si="23">+G43+G38</f>
        <v>0</v>
      </c>
      <c r="H44" s="23">
        <f t="shared" si="23"/>
        <v>0</v>
      </c>
      <c r="I44" s="23">
        <f t="shared" si="23"/>
        <v>0</v>
      </c>
      <c r="J44" s="23">
        <f t="shared" si="23"/>
        <v>0</v>
      </c>
      <c r="K44" s="23">
        <f t="shared" si="23"/>
        <v>0</v>
      </c>
      <c r="L44" s="23">
        <f t="shared" si="23"/>
        <v>108927</v>
      </c>
      <c r="M44" s="23">
        <f t="shared" si="23"/>
        <v>95166</v>
      </c>
      <c r="N44" s="23">
        <f t="shared" si="23"/>
        <v>101296</v>
      </c>
      <c r="O44" s="23">
        <f>+O43+O38</f>
        <v>102362</v>
      </c>
    </row>
    <row r="45" spans="5:15" ht="3" customHeight="1" x14ac:dyDescent="0.2"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5:15" outlineLevel="1" x14ac:dyDescent="0.2">
      <c r="E46" s="13" t="s">
        <v>61</v>
      </c>
      <c r="F46" s="18"/>
      <c r="G46" s="18"/>
      <c r="H46" s="18"/>
      <c r="I46" s="18"/>
      <c r="J46" s="18"/>
      <c r="K46" s="18"/>
      <c r="L46" s="18">
        <v>51264</v>
      </c>
      <c r="M46" s="18">
        <v>44957</v>
      </c>
      <c r="N46" s="18">
        <v>44496</v>
      </c>
      <c r="O46" s="18">
        <v>44811</v>
      </c>
    </row>
    <row r="47" spans="5:15" outlineLevel="1" x14ac:dyDescent="0.2">
      <c r="E47" s="13" t="s">
        <v>62</v>
      </c>
      <c r="F47" s="20"/>
      <c r="G47" s="20"/>
      <c r="H47" s="20"/>
      <c r="I47" s="20"/>
      <c r="J47" s="20"/>
      <c r="K47" s="20"/>
      <c r="L47" s="20">
        <v>4341</v>
      </c>
      <c r="M47" s="20">
        <v>3809</v>
      </c>
      <c r="N47" s="20">
        <v>4034</v>
      </c>
      <c r="O47" s="20">
        <v>4309</v>
      </c>
    </row>
    <row r="48" spans="5:15" x14ac:dyDescent="0.2">
      <c r="E48" s="5" t="s">
        <v>63</v>
      </c>
      <c r="F48" s="19">
        <f t="shared" ref="F48:G48" si="24">SUM(F46:F47)</f>
        <v>0</v>
      </c>
      <c r="G48" s="19">
        <f t="shared" si="24"/>
        <v>0</v>
      </c>
      <c r="H48" s="19">
        <f t="shared" ref="H48" si="25">SUM(H46:H47)</f>
        <v>0</v>
      </c>
      <c r="I48" s="19">
        <f t="shared" ref="I48" si="26">SUM(I46:I47)</f>
        <v>0</v>
      </c>
      <c r="J48" s="19">
        <f t="shared" ref="J48" si="27">SUM(J46:J47)</f>
        <v>0</v>
      </c>
      <c r="K48" s="19">
        <f t="shared" ref="K48" si="28">SUM(K46:K47)</f>
        <v>0</v>
      </c>
      <c r="L48" s="19">
        <f t="shared" ref="L48" si="29">SUM(L46:L47)</f>
        <v>55605</v>
      </c>
      <c r="M48" s="19">
        <f t="shared" ref="M48" si="30">SUM(M46:M47)</f>
        <v>48766</v>
      </c>
      <c r="N48" s="19">
        <f t="shared" ref="N48" si="31">SUM(N46:N47)</f>
        <v>48530</v>
      </c>
      <c r="O48" s="19">
        <f>SUM(O46:O47)</f>
        <v>49120</v>
      </c>
    </row>
    <row r="49" spans="3:15" x14ac:dyDescent="0.2">
      <c r="E49" t="s">
        <v>64</v>
      </c>
      <c r="F49" s="18"/>
      <c r="G49" s="18"/>
      <c r="H49" s="18"/>
      <c r="I49" s="18"/>
      <c r="J49" s="18"/>
      <c r="K49" s="18"/>
      <c r="L49" s="18">
        <v>7027</v>
      </c>
      <c r="M49" s="18">
        <v>6687</v>
      </c>
      <c r="N49" s="18">
        <f>6296+4</f>
        <v>6300</v>
      </c>
      <c r="O49" s="18">
        <f>6719+45</f>
        <v>6764</v>
      </c>
    </row>
    <row r="50" spans="3:15" x14ac:dyDescent="0.2">
      <c r="E50" t="s">
        <v>65</v>
      </c>
      <c r="F50" s="18"/>
      <c r="G50" s="18"/>
      <c r="H50" s="18"/>
      <c r="I50" s="18"/>
      <c r="J50" s="18"/>
      <c r="K50" s="18"/>
      <c r="L50" s="18">
        <f>2628+18355</f>
        <v>20983</v>
      </c>
      <c r="M50" s="18">
        <f>2622+13806</f>
        <v>16428</v>
      </c>
      <c r="N50" s="18">
        <f>7173+15172</f>
        <v>22345</v>
      </c>
      <c r="O50" s="18">
        <f>2084+18634</f>
        <v>20718</v>
      </c>
    </row>
    <row r="51" spans="3:15" x14ac:dyDescent="0.2">
      <c r="E51" t="s">
        <v>67</v>
      </c>
      <c r="F51" s="18"/>
      <c r="G51" s="18"/>
      <c r="H51" s="18"/>
      <c r="I51" s="18"/>
      <c r="J51" s="18"/>
      <c r="K51" s="18"/>
      <c r="L51" s="18">
        <f>130+1146</f>
        <v>1276</v>
      </c>
      <c r="M51" s="18">
        <f>579+1997</f>
        <v>2576</v>
      </c>
      <c r="N51" s="18">
        <f>402+2157</f>
        <v>2559</v>
      </c>
      <c r="O51" s="18">
        <f>512+1759</f>
        <v>2271</v>
      </c>
    </row>
    <row r="52" spans="3:15" x14ac:dyDescent="0.2">
      <c r="E52" t="s">
        <v>66</v>
      </c>
      <c r="F52" s="18"/>
      <c r="G52" s="18"/>
      <c r="H52" s="18"/>
      <c r="I52" s="18"/>
      <c r="J52" s="18"/>
      <c r="K52" s="18"/>
      <c r="L52" s="18">
        <f>3696+13799</f>
        <v>17495</v>
      </c>
      <c r="M52" s="18">
        <f>3965+10478</f>
        <v>14443</v>
      </c>
      <c r="N52" s="18">
        <f>4514+11973</f>
        <v>16487</v>
      </c>
      <c r="O52" s="18">
        <f>4007+15088</f>
        <v>19095</v>
      </c>
    </row>
    <row r="53" spans="3:15" x14ac:dyDescent="0.2">
      <c r="E53" t="s">
        <v>53</v>
      </c>
      <c r="F53" s="20"/>
      <c r="G53" s="20"/>
      <c r="H53" s="20"/>
      <c r="I53" s="20"/>
      <c r="J53" s="20"/>
      <c r="K53" s="20"/>
      <c r="L53" s="20">
        <f>17+105+2800+120+3314+185</f>
        <v>6541</v>
      </c>
      <c r="M53" s="20">
        <f>34+3032+87+3063+50</f>
        <v>6266</v>
      </c>
      <c r="N53" s="20">
        <f>611+47+68+4299+50</f>
        <v>5075</v>
      </c>
      <c r="O53" s="20">
        <f>884+90+40+3332+48</f>
        <v>4394</v>
      </c>
    </row>
    <row r="54" spans="3:15" x14ac:dyDescent="0.2">
      <c r="E54" s="5" t="s">
        <v>60</v>
      </c>
      <c r="F54" s="19">
        <f t="shared" ref="F54" si="32">SUM(F49:F53)</f>
        <v>0</v>
      </c>
      <c r="G54" s="19">
        <f t="shared" ref="G54:N54" si="33">SUM(G49:G53)</f>
        <v>0</v>
      </c>
      <c r="H54" s="19">
        <f t="shared" si="33"/>
        <v>0</v>
      </c>
      <c r="I54" s="19">
        <f t="shared" si="33"/>
        <v>0</v>
      </c>
      <c r="J54" s="19">
        <f t="shared" si="33"/>
        <v>0</v>
      </c>
      <c r="K54" s="19">
        <f t="shared" si="33"/>
        <v>0</v>
      </c>
      <c r="L54" s="19">
        <f t="shared" si="33"/>
        <v>53322</v>
      </c>
      <c r="M54" s="19">
        <f t="shared" si="33"/>
        <v>46400</v>
      </c>
      <c r="N54" s="19">
        <f t="shared" si="33"/>
        <v>52766</v>
      </c>
      <c r="O54" s="19">
        <f>SUM(O49:O53)</f>
        <v>53242</v>
      </c>
    </row>
    <row r="55" spans="3:15" ht="13.5" thickBot="1" x14ac:dyDescent="0.25">
      <c r="E55" s="5" t="s">
        <v>68</v>
      </c>
      <c r="F55" s="23">
        <f t="shared" ref="F55" si="34">+F54+F48</f>
        <v>0</v>
      </c>
      <c r="G55" s="23">
        <f t="shared" ref="G55:N55" si="35">+G54+G48</f>
        <v>0</v>
      </c>
      <c r="H55" s="23">
        <f t="shared" si="35"/>
        <v>0</v>
      </c>
      <c r="I55" s="23">
        <f t="shared" si="35"/>
        <v>0</v>
      </c>
      <c r="J55" s="23">
        <f t="shared" si="35"/>
        <v>0</v>
      </c>
      <c r="K55" s="23">
        <f t="shared" si="35"/>
        <v>0</v>
      </c>
      <c r="L55" s="23">
        <f t="shared" si="35"/>
        <v>108927</v>
      </c>
      <c r="M55" s="23">
        <f t="shared" si="35"/>
        <v>95166</v>
      </c>
      <c r="N55" s="23">
        <f t="shared" si="35"/>
        <v>101296</v>
      </c>
      <c r="O55" s="23">
        <f>+O54+O48</f>
        <v>102362</v>
      </c>
    </row>
    <row r="56" spans="3:15" ht="3" customHeight="1" x14ac:dyDescent="0.2"/>
    <row r="57" spans="3:15" x14ac:dyDescent="0.2"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8"/>
    </row>
    <row r="58" spans="3:15" x14ac:dyDescent="0.2">
      <c r="E58" s="29"/>
      <c r="F58" s="30"/>
      <c r="G58" s="30"/>
      <c r="H58" s="30"/>
      <c r="I58" s="30"/>
      <c r="J58" s="30"/>
      <c r="K58" s="30"/>
      <c r="L58" s="30"/>
      <c r="M58" s="30"/>
      <c r="N58" s="30"/>
      <c r="O58" s="31"/>
    </row>
    <row r="59" spans="3:15" x14ac:dyDescent="0.2">
      <c r="E59" s="32"/>
      <c r="F59" s="33"/>
      <c r="G59" s="33"/>
      <c r="H59" s="33"/>
      <c r="I59" s="33"/>
      <c r="J59" s="33"/>
      <c r="K59" s="33"/>
      <c r="L59" s="33"/>
      <c r="M59" s="33"/>
      <c r="N59" s="33"/>
      <c r="O59" s="34"/>
    </row>
    <row r="60" spans="3:15" ht="3" customHeight="1" x14ac:dyDescent="0.2"/>
    <row r="61" spans="3:15" ht="10.5" customHeight="1" x14ac:dyDescent="0.2">
      <c r="E61" s="35" t="s">
        <v>75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3:15" x14ac:dyDescent="0.2"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3:15" x14ac:dyDescent="0.2">
      <c r="E63" s="8" t="s">
        <v>39</v>
      </c>
      <c r="F63" s="21"/>
      <c r="G63" s="21"/>
      <c r="H63" s="21"/>
      <c r="I63" s="21"/>
      <c r="J63" s="21"/>
      <c r="K63" s="21"/>
      <c r="L63" s="21">
        <v>108927</v>
      </c>
      <c r="M63" s="21">
        <v>95166</v>
      </c>
      <c r="N63" s="21">
        <v>101296</v>
      </c>
      <c r="O63" s="21">
        <v>102362</v>
      </c>
    </row>
    <row r="64" spans="3:15" x14ac:dyDescent="0.2">
      <c r="C64" s="17" t="b" cm="1">
        <f t="array" ref="C64">AND(G64:O64&lt;$B$1,G64:O64&gt;-$B$1)</f>
        <v>1</v>
      </c>
      <c r="E64" s="8" t="s">
        <v>38</v>
      </c>
      <c r="F64" s="21">
        <f t="shared" ref="F64:G64" si="36">+F63-F55</f>
        <v>0</v>
      </c>
      <c r="G64" s="21">
        <f t="shared" si="36"/>
        <v>0</v>
      </c>
      <c r="H64" s="21">
        <f t="shared" ref="H64" si="37">+H63-H55</f>
        <v>0</v>
      </c>
      <c r="I64" s="21">
        <f t="shared" ref="I64" si="38">+I63-I55</f>
        <v>0</v>
      </c>
      <c r="J64" s="21">
        <f t="shared" ref="J64" si="39">+J63-J55</f>
        <v>0</v>
      </c>
      <c r="K64" s="21">
        <f t="shared" ref="K64" si="40">+K63-K55</f>
        <v>0</v>
      </c>
      <c r="L64" s="21">
        <f t="shared" ref="L64" si="41">+L63-L55</f>
        <v>0</v>
      </c>
      <c r="M64" s="21">
        <f t="shared" ref="M64" si="42">+M63-M55</f>
        <v>0</v>
      </c>
      <c r="N64" s="21">
        <f t="shared" ref="N64" si="43">+N63-N55</f>
        <v>0</v>
      </c>
      <c r="O64" s="21">
        <f>+O63-O55</f>
        <v>0</v>
      </c>
    </row>
    <row r="65" spans="3:20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3:20" x14ac:dyDescent="0.2">
      <c r="E66" s="5" t="str">
        <f>Input!$E$8&amp;" CF"</f>
        <v>BHP CF</v>
      </c>
      <c r="O66" s="9"/>
    </row>
    <row r="67" spans="3:20" x14ac:dyDescent="0.2">
      <c r="E67" s="10" t="str">
        <f>+Input!$E$13</f>
        <v>USDmn</v>
      </c>
      <c r="F67" s="24" t="s">
        <v>113</v>
      </c>
      <c r="G67" s="24" t="s">
        <v>41</v>
      </c>
      <c r="H67" s="24" t="s">
        <v>42</v>
      </c>
      <c r="I67" s="24" t="s">
        <v>43</v>
      </c>
      <c r="J67" s="24" t="s">
        <v>44</v>
      </c>
      <c r="K67" s="24" t="s">
        <v>45</v>
      </c>
      <c r="L67" s="24" t="s">
        <v>46</v>
      </c>
      <c r="M67" s="24" t="s">
        <v>47</v>
      </c>
      <c r="N67" s="24" t="s">
        <v>48</v>
      </c>
      <c r="O67" s="24" t="s">
        <v>49</v>
      </c>
    </row>
    <row r="68" spans="3:20" ht="3" customHeight="1" x14ac:dyDescent="0.2"/>
    <row r="69" spans="3:20" x14ac:dyDescent="0.2">
      <c r="E69" s="37" t="s">
        <v>69</v>
      </c>
      <c r="F69" s="36"/>
      <c r="G69" s="36"/>
      <c r="H69" s="36"/>
      <c r="I69" s="36"/>
      <c r="J69" s="36">
        <v>17871</v>
      </c>
      <c r="K69" s="36">
        <v>15706</v>
      </c>
      <c r="L69" s="36">
        <v>27234</v>
      </c>
      <c r="M69" s="36">
        <v>32174</v>
      </c>
      <c r="N69" s="36">
        <v>18701</v>
      </c>
      <c r="O69" s="36">
        <v>20665</v>
      </c>
    </row>
    <row r="70" spans="3:20" x14ac:dyDescent="0.2">
      <c r="E70" s="37" t="s">
        <v>70</v>
      </c>
      <c r="F70" s="20"/>
      <c r="G70" s="20"/>
      <c r="H70" s="20"/>
      <c r="I70" s="20"/>
      <c r="J70" s="20">
        <v>2607</v>
      </c>
      <c r="K70" s="20">
        <v>-7616</v>
      </c>
      <c r="L70" s="20">
        <v>-7845</v>
      </c>
      <c r="M70" s="20">
        <v>-6959</v>
      </c>
      <c r="N70" s="20">
        <v>-13065</v>
      </c>
      <c r="O70" s="20">
        <v>-8762</v>
      </c>
      <c r="T70" s="38" t="s">
        <v>108</v>
      </c>
    </row>
    <row r="71" spans="3:20" x14ac:dyDescent="0.2">
      <c r="E71" s="5" t="s">
        <v>71</v>
      </c>
      <c r="F71" s="19">
        <f t="shared" ref="F71:N71" si="44">+F69+F70</f>
        <v>0</v>
      </c>
      <c r="G71" s="19">
        <f t="shared" si="44"/>
        <v>0</v>
      </c>
      <c r="H71" s="19">
        <f t="shared" si="44"/>
        <v>0</v>
      </c>
      <c r="I71" s="19">
        <f t="shared" si="44"/>
        <v>0</v>
      </c>
      <c r="J71" s="19">
        <f t="shared" si="44"/>
        <v>20478</v>
      </c>
      <c r="K71" s="19">
        <f t="shared" si="44"/>
        <v>8090</v>
      </c>
      <c r="L71" s="19">
        <f t="shared" si="44"/>
        <v>19389</v>
      </c>
      <c r="M71" s="19">
        <f t="shared" si="44"/>
        <v>25215</v>
      </c>
      <c r="N71" s="19">
        <f t="shared" si="44"/>
        <v>5636</v>
      </c>
      <c r="O71" s="19">
        <f>+O69+O70</f>
        <v>11903</v>
      </c>
    </row>
    <row r="72" spans="3:20" x14ac:dyDescent="0.2">
      <c r="E72" s="37" t="s">
        <v>76</v>
      </c>
      <c r="F72" s="36"/>
      <c r="G72" s="36"/>
      <c r="H72" s="36"/>
      <c r="I72" s="36"/>
      <c r="J72" s="36">
        <v>-20528</v>
      </c>
      <c r="K72" s="36">
        <v>-9752</v>
      </c>
      <c r="L72" s="36">
        <v>-17922</v>
      </c>
      <c r="M72" s="36">
        <v>-22767</v>
      </c>
      <c r="N72" s="36">
        <v>-10315</v>
      </c>
      <c r="O72" s="36">
        <v>-11669</v>
      </c>
    </row>
    <row r="73" spans="3:20" x14ac:dyDescent="0.2">
      <c r="E73" s="37" t="s">
        <v>77</v>
      </c>
      <c r="F73" s="36"/>
      <c r="G73" s="36"/>
      <c r="H73" s="36"/>
      <c r="I73" s="36"/>
      <c r="J73" s="36">
        <v>-170</v>
      </c>
      <c r="K73" s="36">
        <v>-505</v>
      </c>
      <c r="L73" s="36">
        <v>353</v>
      </c>
      <c r="M73" s="36">
        <v>-458</v>
      </c>
      <c r="N73" s="36">
        <v>-134</v>
      </c>
      <c r="O73" s="36">
        <v>-159</v>
      </c>
    </row>
    <row r="74" spans="3:20" ht="13.5" thickBot="1" x14ac:dyDescent="0.25">
      <c r="E74" s="5" t="s">
        <v>78</v>
      </c>
      <c r="F74" s="23">
        <f t="shared" ref="F74:N74" si="45">SUM(F71:F73)</f>
        <v>0</v>
      </c>
      <c r="G74" s="23">
        <f t="shared" si="45"/>
        <v>0</v>
      </c>
      <c r="H74" s="23">
        <f t="shared" si="45"/>
        <v>0</v>
      </c>
      <c r="I74" s="23">
        <f t="shared" si="45"/>
        <v>0</v>
      </c>
      <c r="J74" s="23">
        <f t="shared" si="45"/>
        <v>-220</v>
      </c>
      <c r="K74" s="23">
        <f t="shared" si="45"/>
        <v>-2167</v>
      </c>
      <c r="L74" s="23">
        <f t="shared" si="45"/>
        <v>1820</v>
      </c>
      <c r="M74" s="23">
        <f t="shared" si="45"/>
        <v>1990</v>
      </c>
      <c r="N74" s="23">
        <f t="shared" si="45"/>
        <v>-4813</v>
      </c>
      <c r="O74" s="23">
        <f>SUM(O71:O73)</f>
        <v>75</v>
      </c>
    </row>
    <row r="75" spans="3:20" ht="3" customHeight="1" x14ac:dyDescent="0.2"/>
    <row r="76" spans="3:20" ht="10.5" customHeight="1" x14ac:dyDescent="0.2">
      <c r="E76" s="35" t="s">
        <v>75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8" spans="3:20" x14ac:dyDescent="0.2">
      <c r="C78" s="17" t="b" cm="1">
        <f t="array" ref="C78">AND(G78:O78&lt;$B$1,G78:O78&gt;-$B$1)</f>
        <v>0</v>
      </c>
      <c r="E78" s="8" t="s">
        <v>38</v>
      </c>
      <c r="F78" s="21"/>
      <c r="G78" s="21"/>
      <c r="H78" s="21">
        <f t="shared" ref="H78:N78" si="46">+H39-G39-H74</f>
        <v>0</v>
      </c>
      <c r="I78" s="21">
        <f t="shared" si="46"/>
        <v>0</v>
      </c>
      <c r="J78" s="21">
        <f t="shared" si="46"/>
        <v>220</v>
      </c>
      <c r="K78" s="21">
        <f t="shared" si="46"/>
        <v>2167</v>
      </c>
      <c r="L78" s="21">
        <f t="shared" si="46"/>
        <v>13426</v>
      </c>
      <c r="M78" s="21">
        <f t="shared" si="46"/>
        <v>0</v>
      </c>
      <c r="N78" s="21">
        <f t="shared" si="46"/>
        <v>5</v>
      </c>
      <c r="O78" s="21">
        <f>+O39-N39-O74</f>
        <v>-2</v>
      </c>
    </row>
    <row r="80" spans="3:20" x14ac:dyDescent="0.2">
      <c r="E80" s="5" t="str">
        <f>Input!$E$8&amp;" Revenues"</f>
        <v>BHP Revenues</v>
      </c>
      <c r="O80" s="9"/>
    </row>
    <row r="81" spans="3:20" x14ac:dyDescent="0.2">
      <c r="E81" s="10" t="str">
        <f>+Input!$E$13</f>
        <v>USDmn</v>
      </c>
      <c r="F81" s="40" t="s">
        <v>112</v>
      </c>
      <c r="G81" s="40" t="s">
        <v>106</v>
      </c>
      <c r="H81" s="40" t="s">
        <v>105</v>
      </c>
      <c r="I81" s="40" t="s">
        <v>104</v>
      </c>
      <c r="J81" s="40" t="s">
        <v>103</v>
      </c>
      <c r="K81" s="40" t="s">
        <v>102</v>
      </c>
      <c r="L81" s="40" t="s">
        <v>101</v>
      </c>
      <c r="M81" s="40" t="s">
        <v>100</v>
      </c>
      <c r="N81" s="40" t="s">
        <v>99</v>
      </c>
      <c r="O81" s="40" t="s">
        <v>98</v>
      </c>
    </row>
    <row r="82" spans="3:20" ht="3" customHeight="1" x14ac:dyDescent="0.2"/>
    <row r="83" spans="3:20" x14ac:dyDescent="0.2">
      <c r="E83" s="13" t="s">
        <v>109</v>
      </c>
      <c r="F83" s="18"/>
      <c r="G83" s="18"/>
      <c r="H83" s="18"/>
      <c r="I83" s="18"/>
      <c r="J83" s="18">
        <v>5930</v>
      </c>
      <c r="K83" s="18">
        <v>4070</v>
      </c>
      <c r="L83" s="18">
        <v>3946</v>
      </c>
      <c r="M83" s="41" t="s">
        <v>110</v>
      </c>
      <c r="N83" s="41" t="s">
        <v>110</v>
      </c>
      <c r="O83" s="41" t="s">
        <v>110</v>
      </c>
      <c r="T83" s="38" t="s">
        <v>111</v>
      </c>
    </row>
    <row r="84" spans="3:20" x14ac:dyDescent="0.2">
      <c r="E84" s="13" t="s">
        <v>90</v>
      </c>
      <c r="F84" s="18"/>
      <c r="G84" s="18"/>
      <c r="H84" s="18"/>
      <c r="I84" s="18"/>
      <c r="J84" s="18">
        <v>10838</v>
      </c>
      <c r="K84" s="18">
        <v>10666</v>
      </c>
      <c r="L84" s="18">
        <v>15726</v>
      </c>
      <c r="M84" s="18">
        <v>16849</v>
      </c>
      <c r="N84" s="18">
        <v>16027</v>
      </c>
      <c r="O84" s="18">
        <v>18566</v>
      </c>
      <c r="T84" s="38" t="s">
        <v>91</v>
      </c>
    </row>
    <row r="85" spans="3:20" x14ac:dyDescent="0.2">
      <c r="E85" s="13" t="s">
        <v>95</v>
      </c>
      <c r="F85" s="18"/>
      <c r="G85" s="18"/>
      <c r="H85" s="18"/>
      <c r="I85" s="18"/>
      <c r="J85" s="18">
        <v>17255</v>
      </c>
      <c r="K85" s="18">
        <v>20797</v>
      </c>
      <c r="L85" s="18">
        <v>34475</v>
      </c>
      <c r="M85" s="18">
        <v>30767</v>
      </c>
      <c r="N85" s="18">
        <v>24812</v>
      </c>
      <c r="O85" s="18">
        <v>27952</v>
      </c>
      <c r="T85" s="38" t="s">
        <v>92</v>
      </c>
    </row>
    <row r="86" spans="3:20" x14ac:dyDescent="0.2">
      <c r="E86" s="13" t="s">
        <v>96</v>
      </c>
      <c r="F86" s="18"/>
      <c r="G86" s="18"/>
      <c r="H86" s="18"/>
      <c r="I86" s="18"/>
      <c r="J86" s="18">
        <v>9121</v>
      </c>
      <c r="K86" s="18">
        <v>6242</v>
      </c>
      <c r="L86" s="18">
        <v>5154</v>
      </c>
      <c r="M86" s="18">
        <v>15549</v>
      </c>
      <c r="N86" s="18">
        <v>10958</v>
      </c>
      <c r="O86" s="18">
        <v>7666</v>
      </c>
      <c r="T86" s="38" t="s">
        <v>93</v>
      </c>
    </row>
    <row r="87" spans="3:20" x14ac:dyDescent="0.2">
      <c r="E87" s="13" t="s">
        <v>97</v>
      </c>
      <c r="F87" s="18"/>
      <c r="G87" s="18"/>
      <c r="H87" s="18"/>
      <c r="I87" s="18"/>
      <c r="J87" s="18">
        <v>1144</v>
      </c>
      <c r="K87" s="18">
        <v>1156</v>
      </c>
      <c r="L87" s="18">
        <v>1516</v>
      </c>
      <c r="M87" s="18">
        <v>1933</v>
      </c>
      <c r="N87" s="18">
        <v>2020</v>
      </c>
      <c r="O87" s="18">
        <v>1474</v>
      </c>
    </row>
    <row r="88" spans="3:20" ht="13.5" thickBot="1" x14ac:dyDescent="0.25">
      <c r="E88" s="5" t="s">
        <v>89</v>
      </c>
      <c r="F88" s="23">
        <f t="shared" ref="F88:K88" si="47">SUM(F83:F87)</f>
        <v>0</v>
      </c>
      <c r="G88" s="23">
        <f t="shared" si="47"/>
        <v>0</v>
      </c>
      <c r="H88" s="23">
        <f t="shared" si="47"/>
        <v>0</v>
      </c>
      <c r="I88" s="23">
        <f t="shared" si="47"/>
        <v>0</v>
      </c>
      <c r="J88" s="23">
        <f t="shared" si="47"/>
        <v>44288</v>
      </c>
      <c r="K88" s="23">
        <f t="shared" si="47"/>
        <v>42931</v>
      </c>
      <c r="L88" s="23">
        <f>SUM(L83:L87)</f>
        <v>60817</v>
      </c>
      <c r="M88" s="23">
        <f t="shared" ref="M88:O88" si="48">SUM(M83:M87)</f>
        <v>65098</v>
      </c>
      <c r="N88" s="23">
        <f t="shared" si="48"/>
        <v>53817</v>
      </c>
      <c r="O88" s="23">
        <f t="shared" si="48"/>
        <v>55658</v>
      </c>
    </row>
    <row r="90" spans="3:20" x14ac:dyDescent="0.2">
      <c r="C90" s="17" t="b" cm="1">
        <f t="array" ref="C90">AND(G90:O90&lt;$B$1,G90:O90&gt;-$B$1)</f>
        <v>1</v>
      </c>
      <c r="E90" s="8" t="s">
        <v>38</v>
      </c>
      <c r="F90" s="21">
        <f>+F88-F11</f>
        <v>0</v>
      </c>
      <c r="G90" s="21">
        <f>+G88-G11</f>
        <v>0</v>
      </c>
      <c r="H90" s="21">
        <f>+H88-H11</f>
        <v>0</v>
      </c>
      <c r="I90" s="21">
        <f>+I88-I11</f>
        <v>0</v>
      </c>
      <c r="J90" s="21">
        <f>+J88-J11</f>
        <v>0</v>
      </c>
      <c r="K90" s="21">
        <f>+K88-K11</f>
        <v>0</v>
      </c>
      <c r="L90" s="21">
        <f>+L88-L11</f>
        <v>0</v>
      </c>
      <c r="M90" s="21">
        <f>+M88-M11</f>
        <v>0</v>
      </c>
      <c r="N90" s="21">
        <f>+N88-N11</f>
        <v>0</v>
      </c>
      <c r="O90" s="21">
        <f>+O88-O11</f>
        <v>0</v>
      </c>
    </row>
    <row r="92" spans="3:20" x14ac:dyDescent="0.2">
      <c r="E92" s="5" t="str">
        <f>Input!$E$8&amp;" Expenses"</f>
        <v>BHP Expenses</v>
      </c>
      <c r="O92" s="9"/>
    </row>
    <row r="93" spans="3:20" x14ac:dyDescent="0.2">
      <c r="E93" s="10" t="str">
        <f>+Input!$E$13</f>
        <v>USDmn</v>
      </c>
      <c r="F93" s="40" t="s">
        <v>112</v>
      </c>
      <c r="G93" s="40" t="s">
        <v>106</v>
      </c>
      <c r="H93" s="40" t="s">
        <v>105</v>
      </c>
      <c r="I93" s="40" t="s">
        <v>104</v>
      </c>
      <c r="J93" s="40" t="s">
        <v>103</v>
      </c>
      <c r="K93" s="40" t="s">
        <v>102</v>
      </c>
      <c r="L93" s="40" t="s">
        <v>101</v>
      </c>
      <c r="M93" s="40" t="s">
        <v>100</v>
      </c>
      <c r="N93" s="40" t="s">
        <v>99</v>
      </c>
      <c r="O93" s="40" t="s">
        <v>98</v>
      </c>
    </row>
    <row r="94" spans="3:20" ht="3" customHeight="1" x14ac:dyDescent="0.2"/>
    <row r="95" spans="3:20" x14ac:dyDescent="0.2">
      <c r="E95" s="13" t="s">
        <v>80</v>
      </c>
      <c r="F95" s="18"/>
      <c r="G95" s="18"/>
      <c r="H95" s="18"/>
      <c r="I95" s="18"/>
      <c r="J95" s="18">
        <f>-3683-138-4-292+85</f>
        <v>-4032</v>
      </c>
      <c r="K95" s="18">
        <f>-3706-129-2-283+65</f>
        <v>-4055</v>
      </c>
      <c r="L95" s="18">
        <f>-4399-124-3-316+119</f>
        <v>-4723</v>
      </c>
      <c r="M95" s="18">
        <f>-4197-109-4-338+30</f>
        <v>-4618</v>
      </c>
      <c r="N95" s="18">
        <f>-4539-97-4-339+35</f>
        <v>-4944</v>
      </c>
      <c r="O95" s="18">
        <f>-4633-112-5-374+49</f>
        <v>-5075</v>
      </c>
    </row>
    <row r="96" spans="3:20" x14ac:dyDescent="0.2">
      <c r="E96" s="13" t="s">
        <v>81</v>
      </c>
      <c r="F96" s="18"/>
      <c r="G96" s="18"/>
      <c r="H96" s="18"/>
      <c r="I96" s="18"/>
      <c r="J96" s="18">
        <v>-496</v>
      </c>
      <c r="K96" s="18">
        <v>326</v>
      </c>
      <c r="L96" s="18">
        <v>334</v>
      </c>
      <c r="M96" s="18">
        <v>774</v>
      </c>
      <c r="N96" s="18">
        <v>-301</v>
      </c>
      <c r="O96" s="18">
        <v>289</v>
      </c>
    </row>
    <row r="97" spans="3:15" x14ac:dyDescent="0.2">
      <c r="E97" s="13" t="s">
        <v>82</v>
      </c>
      <c r="F97" s="18"/>
      <c r="G97" s="18"/>
      <c r="H97" s="18"/>
      <c r="I97" s="18"/>
      <c r="J97" s="18">
        <v>-4591</v>
      </c>
      <c r="K97" s="18">
        <v>-5509</v>
      </c>
      <c r="L97" s="18">
        <v>-4940</v>
      </c>
      <c r="M97" s="18">
        <v>-5991</v>
      </c>
      <c r="N97" s="18">
        <v>-6710</v>
      </c>
      <c r="O97" s="18">
        <v>-6536</v>
      </c>
    </row>
    <row r="98" spans="3:15" x14ac:dyDescent="0.2">
      <c r="E98" s="13" t="s">
        <v>83</v>
      </c>
      <c r="F98" s="18"/>
      <c r="G98" s="18"/>
      <c r="H98" s="18"/>
      <c r="I98" s="18"/>
      <c r="J98" s="18">
        <v>-2378</v>
      </c>
      <c r="K98" s="18">
        <v>-1981</v>
      </c>
      <c r="L98" s="18">
        <v>-2037</v>
      </c>
      <c r="M98" s="18">
        <v>-2319</v>
      </c>
      <c r="N98" s="18">
        <v>-2299</v>
      </c>
      <c r="O98" s="18">
        <v>-2270</v>
      </c>
    </row>
    <row r="99" spans="3:15" x14ac:dyDescent="0.2">
      <c r="E99" s="13" t="s">
        <v>84</v>
      </c>
      <c r="F99" s="18"/>
      <c r="G99" s="18"/>
      <c r="H99" s="18"/>
      <c r="I99" s="18"/>
      <c r="J99" s="18">
        <v>-4745</v>
      </c>
      <c r="K99" s="18">
        <v>-4404</v>
      </c>
      <c r="L99" s="18">
        <v>-5260</v>
      </c>
      <c r="M99" s="18">
        <v>-4525</v>
      </c>
      <c r="N99" s="18">
        <v>-4768</v>
      </c>
      <c r="O99" s="18">
        <v>-5795</v>
      </c>
    </row>
    <row r="100" spans="3:15" x14ac:dyDescent="0.2">
      <c r="E100" s="13" t="s">
        <v>85</v>
      </c>
      <c r="F100" s="18"/>
      <c r="G100" s="18"/>
      <c r="H100" s="18"/>
      <c r="I100" s="18"/>
      <c r="J100" s="18">
        <v>-1069</v>
      </c>
      <c r="K100" s="18">
        <v>-1139</v>
      </c>
      <c r="L100" s="18">
        <v>-2230</v>
      </c>
      <c r="M100" s="18">
        <v>-2959</v>
      </c>
      <c r="N100" s="18">
        <v>-1878</v>
      </c>
      <c r="O100" s="18">
        <v>-1977</v>
      </c>
    </row>
    <row r="101" spans="3:15" x14ac:dyDescent="0.2">
      <c r="E101" s="13" t="s">
        <v>86</v>
      </c>
      <c r="F101" s="18"/>
      <c r="G101" s="18"/>
      <c r="H101" s="18"/>
      <c r="I101" s="18"/>
      <c r="J101" s="18">
        <v>-2538</v>
      </c>
      <c r="K101" s="18">
        <v>-2362</v>
      </c>
      <c r="L101" s="18">
        <v>-3217</v>
      </c>
      <c r="M101" s="18">
        <v>-4014</v>
      </c>
      <c r="N101" s="18">
        <v>-3841</v>
      </c>
      <c r="O101" s="18">
        <v>-3571</v>
      </c>
    </row>
    <row r="102" spans="3:15" x14ac:dyDescent="0.2">
      <c r="E102" s="13" t="s">
        <v>87</v>
      </c>
      <c r="F102" s="18"/>
      <c r="G102" s="18"/>
      <c r="H102" s="18"/>
      <c r="I102" s="18"/>
      <c r="J102" s="18">
        <v>-5829</v>
      </c>
      <c r="K102" s="18">
        <v>-6112</v>
      </c>
      <c r="L102" s="18">
        <v>-6824</v>
      </c>
      <c r="M102" s="18">
        <v>-5683</v>
      </c>
      <c r="N102" s="18">
        <v>-5061</v>
      </c>
      <c r="O102" s="18">
        <v>-5295</v>
      </c>
    </row>
    <row r="103" spans="3:15" x14ac:dyDescent="0.2">
      <c r="E103" s="13" t="s">
        <v>53</v>
      </c>
      <c r="F103" s="18"/>
      <c r="G103" s="18"/>
      <c r="H103" s="18"/>
      <c r="I103" s="18"/>
      <c r="J103" s="18">
        <f>147-8-516-250-14-1703</f>
        <v>-2344</v>
      </c>
      <c r="K103" s="18">
        <f>603-422-517-494-2709</f>
        <v>-3539</v>
      </c>
      <c r="L103" s="18">
        <f>-310-145-430-2583-52-2083</f>
        <v>-5603</v>
      </c>
      <c r="M103" s="18">
        <f>326+29-199-515-2677</f>
        <v>-3036</v>
      </c>
      <c r="N103" s="18">
        <f>197-135-294-73-2-1764</f>
        <v>-2071</v>
      </c>
      <c r="O103" s="18">
        <f>-23-84-399-3833-57-2124</f>
        <v>-6520</v>
      </c>
    </row>
    <row r="104" spans="3:15" ht="13.5" thickBot="1" x14ac:dyDescent="0.25">
      <c r="E104" s="5" t="s">
        <v>88</v>
      </c>
      <c r="F104" s="23">
        <f>SUM(F95:F103)</f>
        <v>0</v>
      </c>
      <c r="G104" s="23">
        <f>SUM(G95:G103)</f>
        <v>0</v>
      </c>
      <c r="H104" s="23">
        <f>SUM(H95:H103)</f>
        <v>0</v>
      </c>
      <c r="I104" s="23">
        <f>SUM(I95:I103)</f>
        <v>0</v>
      </c>
      <c r="J104" s="23">
        <f>SUM(J95:J103)</f>
        <v>-28022</v>
      </c>
      <c r="K104" s="23">
        <f>SUM(K95:K103)</f>
        <v>-28775</v>
      </c>
      <c r="L104" s="23">
        <f>SUM(L95:L103)</f>
        <v>-34500</v>
      </c>
      <c r="M104" s="23">
        <f>SUM(M95:M103)</f>
        <v>-32371</v>
      </c>
      <c r="N104" s="23">
        <f>SUM(N95:N103)</f>
        <v>-31873</v>
      </c>
      <c r="O104" s="23">
        <f>SUM(O95:O103)</f>
        <v>-36750</v>
      </c>
    </row>
    <row r="106" spans="3:15" x14ac:dyDescent="0.2">
      <c r="C106" s="17" t="b" cm="1">
        <f t="array" ref="C106">AND(G106:O106&lt;$B$1,G106:O106&gt;-$B$1)</f>
        <v>1</v>
      </c>
      <c r="E106" s="8" t="s">
        <v>38</v>
      </c>
      <c r="F106" s="21">
        <f>+F104-F13</f>
        <v>0</v>
      </c>
      <c r="G106" s="21">
        <f>+G104-G13</f>
        <v>0</v>
      </c>
      <c r="H106" s="21">
        <f>+H104-H13</f>
        <v>0</v>
      </c>
      <c r="I106" s="21">
        <f>+I104-I13</f>
        <v>0</v>
      </c>
      <c r="J106" s="21">
        <f>+J104-J13</f>
        <v>0</v>
      </c>
      <c r="K106" s="21">
        <f>+K104-K13</f>
        <v>0</v>
      </c>
      <c r="L106" s="21">
        <f>+L104-L13</f>
        <v>0</v>
      </c>
      <c r="M106" s="21">
        <f>+M104-M13</f>
        <v>0</v>
      </c>
      <c r="N106" s="21">
        <f>+N104-N13</f>
        <v>0</v>
      </c>
      <c r="O106" s="21">
        <f>+O104-O13</f>
        <v>0</v>
      </c>
    </row>
    <row r="108" spans="3:15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5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5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5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5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2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2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2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2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2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2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2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2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2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2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2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2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2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2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2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2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2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2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2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2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2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2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2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2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2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2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2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2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2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2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2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2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2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2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2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2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2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2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2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2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2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2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2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2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2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2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2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2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2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2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2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2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2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2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2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2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2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2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6:15" x14ac:dyDescent="0.2"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  <row r="812" spans="6:15" x14ac:dyDescent="0.2">
      <c r="F812" s="18"/>
      <c r="G812" s="18"/>
      <c r="H812" s="18"/>
      <c r="I812" s="18"/>
      <c r="J812" s="18"/>
      <c r="K812" s="18"/>
      <c r="L812" s="18"/>
      <c r="M812" s="18"/>
      <c r="N812" s="18"/>
      <c r="O812" s="18"/>
    </row>
    <row r="813" spans="6:15" x14ac:dyDescent="0.2">
      <c r="F813" s="18"/>
      <c r="G813" s="18"/>
      <c r="H813" s="18"/>
      <c r="I813" s="18"/>
      <c r="J813" s="18"/>
      <c r="K813" s="18"/>
      <c r="L813" s="18"/>
      <c r="M813" s="18"/>
      <c r="N813" s="18"/>
      <c r="O813" s="18"/>
    </row>
  </sheetData>
  <conditionalFormatting sqref="B2">
    <cfRule type="cellIs" dxfId="5" priority="6" operator="equal">
      <formula>TRUE</formula>
    </cfRule>
  </conditionalFormatting>
  <conditionalFormatting sqref="C31">
    <cfRule type="cellIs" dxfId="4" priority="9" operator="equal">
      <formula>TRUE</formula>
    </cfRule>
  </conditionalFormatting>
  <conditionalFormatting sqref="C64">
    <cfRule type="cellIs" dxfId="3" priority="4" operator="equal">
      <formula>TRUE</formula>
    </cfRule>
  </conditionalFormatting>
  <conditionalFormatting sqref="C78">
    <cfRule type="cellIs" dxfId="2" priority="3" operator="equal">
      <formula>TRUE</formula>
    </cfRule>
  </conditionalFormatting>
  <conditionalFormatting sqref="C106">
    <cfRule type="cellIs" dxfId="1" priority="2" operator="equal">
      <formula>TRUE</formula>
    </cfRule>
  </conditionalFormatting>
  <conditionalFormatting sqref="C90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2025-04-03T09:34:52Z</dcterms:modified>
</cp:coreProperties>
</file>