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eveloper/valuations/"/>
    </mc:Choice>
  </mc:AlternateContent>
  <xr:revisionPtr revIDLastSave="0" documentId="13_ncr:1_{9E4A2517-E0BA-3A4E-BB52-2E012C2D9844}" xr6:coauthVersionLast="47" xr6:coauthVersionMax="47" xr10:uidLastSave="{00000000-0000-0000-0000-000000000000}"/>
  <bookViews>
    <workbookView xWindow="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2" l="1"/>
  <c r="E20" i="12"/>
  <c r="D4" i="12"/>
  <c r="K30" i="12"/>
  <c r="F28" i="12" l="1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6" i="12"/>
  <c r="F12" i="12"/>
  <c r="F13" i="12"/>
  <c r="E19" i="12"/>
  <c r="E9" i="12"/>
  <c r="H24" i="12"/>
  <c r="G24" i="12"/>
  <c r="F24" i="12"/>
  <c r="K24" i="12"/>
  <c r="J24" i="12"/>
  <c r="I24" i="12"/>
  <c r="D3" i="12"/>
  <c r="B2" i="12"/>
  <c r="F29" i="12" l="1"/>
  <c r="F31" i="12" s="1"/>
  <c r="F32" i="12" s="1"/>
  <c r="F33" i="12" s="1"/>
  <c r="F14" i="12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30" i="10"/>
  <c r="R30" i="10"/>
  <c r="Q30" i="10"/>
  <c r="P30" i="10"/>
  <c r="O30" i="10"/>
  <c r="N30" i="10"/>
  <c r="M30" i="10"/>
  <c r="L30" i="10"/>
  <c r="K30" i="10"/>
  <c r="I30" i="10"/>
  <c r="H30" i="10"/>
  <c r="G30" i="10"/>
  <c r="F30" i="10"/>
  <c r="P69" i="10"/>
  <c r="P67" i="10"/>
  <c r="Q67" i="10" s="1"/>
  <c r="P66" i="10"/>
  <c r="N37" i="10"/>
  <c r="R37" i="10"/>
  <c r="Q29" i="10"/>
  <c r="P29" i="10"/>
  <c r="M29" i="10"/>
  <c r="L29" i="10"/>
  <c r="K29" i="10"/>
  <c r="N26" i="10"/>
  <c r="N24" i="10"/>
  <c r="N23" i="10"/>
  <c r="N21" i="10"/>
  <c r="N19" i="10"/>
  <c r="N18" i="10"/>
  <c r="N17" i="10"/>
  <c r="N16" i="10"/>
  <c r="N15" i="10"/>
  <c r="N14" i="10"/>
  <c r="N13" i="10"/>
  <c r="N12" i="10"/>
  <c r="N11" i="10"/>
  <c r="N29" i="10" s="1"/>
  <c r="R26" i="10"/>
  <c r="R24" i="10"/>
  <c r="R23" i="10"/>
  <c r="R21" i="10"/>
  <c r="R19" i="10"/>
  <c r="R18" i="10"/>
  <c r="R17" i="10"/>
  <c r="R16" i="10"/>
  <c r="R15" i="10"/>
  <c r="R14" i="10"/>
  <c r="R13" i="10"/>
  <c r="R12" i="10"/>
  <c r="R11" i="10"/>
  <c r="S29" i="10" s="1"/>
  <c r="M69" i="10"/>
  <c r="N69" i="10" s="1"/>
  <c r="M67" i="10"/>
  <c r="N67" i="10" s="1"/>
  <c r="M66" i="10"/>
  <c r="N66" i="10" s="1"/>
  <c r="Q69" i="10"/>
  <c r="R69" i="10" s="1"/>
  <c r="Q66" i="10"/>
  <c r="R66" i="10" s="1"/>
  <c r="K68" i="10"/>
  <c r="K57" i="10"/>
  <c r="K58" i="10" s="1"/>
  <c r="K53" i="10"/>
  <c r="K61" i="10" s="1"/>
  <c r="K52" i="10"/>
  <c r="K46" i="10"/>
  <c r="K20" i="10"/>
  <c r="K22" i="10" s="1"/>
  <c r="K31" i="10" s="1"/>
  <c r="L68" i="10"/>
  <c r="O68" i="10"/>
  <c r="S68" i="10"/>
  <c r="R56" i="10"/>
  <c r="N56" i="10"/>
  <c r="N49" i="10"/>
  <c r="N48" i="10"/>
  <c r="N47" i="10"/>
  <c r="N44" i="10"/>
  <c r="N43" i="10"/>
  <c r="P58" i="10"/>
  <c r="S57" i="10"/>
  <c r="S58" i="10" s="1"/>
  <c r="Q57" i="10"/>
  <c r="Q58" i="10" s="1"/>
  <c r="P57" i="10"/>
  <c r="O57" i="10"/>
  <c r="O58" i="10" s="1"/>
  <c r="M57" i="10"/>
  <c r="M58" i="10" s="1"/>
  <c r="L57" i="10"/>
  <c r="L58" i="10" s="1"/>
  <c r="I57" i="10"/>
  <c r="I58" i="10" s="1"/>
  <c r="H57" i="10"/>
  <c r="H58" i="10" s="1"/>
  <c r="G57" i="10"/>
  <c r="G58" i="10" s="1"/>
  <c r="F57" i="10"/>
  <c r="F58" i="10" s="1"/>
  <c r="N60" i="10"/>
  <c r="R60" i="10"/>
  <c r="S45" i="10"/>
  <c r="S46" i="10" s="1"/>
  <c r="I45" i="10"/>
  <c r="R45" i="10" s="1"/>
  <c r="I44" i="10"/>
  <c r="R44" i="10" s="1"/>
  <c r="H45" i="10"/>
  <c r="N45" i="10" s="1"/>
  <c r="H44" i="10"/>
  <c r="G45" i="10"/>
  <c r="G44" i="10"/>
  <c r="F45" i="10"/>
  <c r="F44" i="10"/>
  <c r="S50" i="10"/>
  <c r="S51" i="10" s="1"/>
  <c r="S52" i="10" s="1"/>
  <c r="M52" i="10"/>
  <c r="M46" i="10"/>
  <c r="M20" i="10"/>
  <c r="M22" i="10" s="1"/>
  <c r="M31" i="10" s="1"/>
  <c r="L52" i="10"/>
  <c r="L46" i="10"/>
  <c r="L20" i="10"/>
  <c r="L22" i="10" s="1"/>
  <c r="L31" i="10" s="1"/>
  <c r="R55" i="10"/>
  <c r="R49" i="10"/>
  <c r="R48" i="10"/>
  <c r="R47" i="10"/>
  <c r="R57" i="10" s="1"/>
  <c r="R43" i="10"/>
  <c r="Q52" i="10"/>
  <c r="Q46" i="10"/>
  <c r="S20" i="10"/>
  <c r="S22" i="10" s="1"/>
  <c r="S31" i="10" s="1"/>
  <c r="Q20" i="10"/>
  <c r="Q22" i="10" s="1"/>
  <c r="Q31" i="10" s="1"/>
  <c r="P46" i="10"/>
  <c r="P20" i="10"/>
  <c r="P22" i="10" s="1"/>
  <c r="P31" i="10" s="1"/>
  <c r="O46" i="10"/>
  <c r="O20" i="10"/>
  <c r="O22" i="10" s="1"/>
  <c r="O31" i="10" s="1"/>
  <c r="F51" i="10"/>
  <c r="G51" i="10"/>
  <c r="H50" i="10"/>
  <c r="H51" i="10" s="1"/>
  <c r="N51" i="10" s="1"/>
  <c r="I50" i="10"/>
  <c r="I51" i="10" s="1"/>
  <c r="R51" i="10" s="1"/>
  <c r="U48" i="10"/>
  <c r="U21" i="10"/>
  <c r="F20" i="10"/>
  <c r="F22" i="10" s="1"/>
  <c r="F25" i="10" s="1"/>
  <c r="U24" i="10"/>
  <c r="U18" i="10"/>
  <c r="U17" i="10"/>
  <c r="U16" i="10"/>
  <c r="U15" i="10"/>
  <c r="U14" i="10"/>
  <c r="I20" i="10"/>
  <c r="I22" i="10" s="1"/>
  <c r="I25" i="10" s="1"/>
  <c r="H20" i="10"/>
  <c r="H22" i="10" s="1"/>
  <c r="H25" i="10" s="1"/>
  <c r="G20" i="10"/>
  <c r="G22" i="10" s="1"/>
  <c r="G25" i="10" s="1"/>
  <c r="N50" i="10" l="1"/>
  <c r="N52" i="10" s="1"/>
  <c r="R29" i="10"/>
  <c r="R20" i="10"/>
  <c r="N57" i="10"/>
  <c r="N58" i="10" s="1"/>
  <c r="P68" i="10"/>
  <c r="R67" i="10"/>
  <c r="N68" i="10"/>
  <c r="R68" i="10"/>
  <c r="N20" i="10"/>
  <c r="N22" i="10" s="1"/>
  <c r="O29" i="10"/>
  <c r="R22" i="10"/>
  <c r="R31" i="10" s="1"/>
  <c r="M68" i="10"/>
  <c r="Q68" i="10"/>
  <c r="K25" i="10"/>
  <c r="K32" i="10" s="1"/>
  <c r="R58" i="10"/>
  <c r="N46" i="10"/>
  <c r="M53" i="10"/>
  <c r="M61" i="10" s="1"/>
  <c r="R50" i="10"/>
  <c r="R52" i="10" s="1"/>
  <c r="M25" i="10"/>
  <c r="M32" i="10" s="1"/>
  <c r="L53" i="10"/>
  <c r="L61" i="10" s="1"/>
  <c r="L25" i="10"/>
  <c r="L32" i="10" s="1"/>
  <c r="R46" i="10"/>
  <c r="S53" i="10"/>
  <c r="S61" i="10" s="1"/>
  <c r="Q25" i="10"/>
  <c r="Q32" i="10" s="1"/>
  <c r="Q53" i="10"/>
  <c r="Q61" i="10" s="1"/>
  <c r="S25" i="10"/>
  <c r="S32" i="10" s="1"/>
  <c r="P25" i="10"/>
  <c r="P52" i="10"/>
  <c r="P53" i="10" s="1"/>
  <c r="P61" i="10" s="1"/>
  <c r="O25" i="10"/>
  <c r="O32" i="10" s="1"/>
  <c r="U45" i="10"/>
  <c r="O52" i="10"/>
  <c r="O53" i="10" s="1"/>
  <c r="O61" i="10" s="1"/>
  <c r="U44" i="10"/>
  <c r="U20" i="10"/>
  <c r="E63" i="10"/>
  <c r="E8" i="10"/>
  <c r="E40" i="10"/>
  <c r="N53" i="10" l="1"/>
  <c r="N61" i="10" s="1"/>
  <c r="P27" i="10"/>
  <c r="P32" i="10"/>
  <c r="N25" i="10"/>
  <c r="N32" i="10" s="1"/>
  <c r="N31" i="10"/>
  <c r="R25" i="10"/>
  <c r="R32" i="10" s="1"/>
  <c r="K27" i="10"/>
  <c r="R53" i="10"/>
  <c r="R61" i="10" s="1"/>
  <c r="M27" i="10"/>
  <c r="Q27" i="10"/>
  <c r="Q33" i="10" s="1"/>
  <c r="L27" i="10"/>
  <c r="S27" i="10"/>
  <c r="O27" i="10"/>
  <c r="G16" i="4"/>
  <c r="H16" i="4" s="1"/>
  <c r="I16" i="4" s="1"/>
  <c r="J16" i="4" s="1"/>
  <c r="U69" i="10"/>
  <c r="U67" i="10"/>
  <c r="U54" i="10"/>
  <c r="U50" i="10"/>
  <c r="U49" i="10"/>
  <c r="U47" i="10"/>
  <c r="U66" i="10"/>
  <c r="U43" i="10"/>
  <c r="U26" i="10"/>
  <c r="U19" i="10"/>
  <c r="U13" i="10"/>
  <c r="U12" i="10"/>
  <c r="U11" i="10"/>
  <c r="F52" i="10"/>
  <c r="G52" i="10"/>
  <c r="F46" i="10"/>
  <c r="G46" i="10"/>
  <c r="F31" i="10"/>
  <c r="E64" i="10"/>
  <c r="E41" i="10"/>
  <c r="E9" i="10"/>
  <c r="H68" i="10"/>
  <c r="G68" i="10"/>
  <c r="F68" i="10"/>
  <c r="I68" i="10"/>
  <c r="I29" i="10"/>
  <c r="G29" i="10"/>
  <c r="F29" i="10"/>
  <c r="H52" i="10"/>
  <c r="I52" i="10"/>
  <c r="H46" i="10"/>
  <c r="I46" i="10"/>
  <c r="H31" i="10"/>
  <c r="G31" i="10"/>
  <c r="D5" i="10"/>
  <c r="D3" i="10"/>
  <c r="A3" i="4"/>
  <c r="A1" i="4"/>
  <c r="A3" i="2"/>
  <c r="A1" i="2"/>
  <c r="A2" i="3"/>
  <c r="A2" i="2" s="1"/>
  <c r="R27" i="10" l="1"/>
  <c r="P38" i="10"/>
  <c r="P33" i="10"/>
  <c r="M33" i="10"/>
  <c r="N27" i="10"/>
  <c r="N38" i="10" s="1"/>
  <c r="L33" i="10"/>
  <c r="K33" i="10"/>
  <c r="S33" i="10"/>
  <c r="K38" i="10"/>
  <c r="Q38" i="10"/>
  <c r="M38" i="10"/>
  <c r="L38" i="10"/>
  <c r="S38" i="10"/>
  <c r="O38" i="10"/>
  <c r="U23" i="10"/>
  <c r="U46" i="10"/>
  <c r="U52" i="10"/>
  <c r="U55" i="10"/>
  <c r="U51" i="10"/>
  <c r="U68" i="10"/>
  <c r="G53" i="10"/>
  <c r="G61" i="10" s="1"/>
  <c r="F53" i="10"/>
  <c r="F61" i="10" s="1"/>
  <c r="I53" i="10"/>
  <c r="I61" i="10" s="1"/>
  <c r="H53" i="10"/>
  <c r="H61" i="10" s="1"/>
  <c r="A2" i="4"/>
  <c r="D4" i="10"/>
  <c r="A2" i="1"/>
  <c r="A3" i="1"/>
  <c r="A1" i="3"/>
  <c r="R33" i="10" l="1"/>
  <c r="R38" i="10"/>
  <c r="N33" i="10"/>
  <c r="O33" i="10"/>
  <c r="U53" i="10"/>
  <c r="H27" i="10"/>
  <c r="H38" i="10" s="1"/>
  <c r="H32" i="10"/>
  <c r="G27" i="10"/>
  <c r="G38" i="10" s="1"/>
  <c r="G32" i="10"/>
  <c r="F27" i="10"/>
  <c r="F32" i="10"/>
  <c r="I31" i="10"/>
  <c r="U22" i="10"/>
  <c r="A1" i="1"/>
  <c r="G33" i="10" l="1"/>
  <c r="H33" i="10"/>
  <c r="F33" i="10"/>
  <c r="F38" i="10"/>
  <c r="U25" i="10"/>
  <c r="I32" i="10"/>
  <c r="I27" i="10"/>
  <c r="C61" i="10" a="1"/>
  <c r="C61" i="10" s="1"/>
  <c r="I33" i="10" l="1"/>
  <c r="U27" i="10"/>
  <c r="I38" i="10"/>
  <c r="C38" i="10" s="1" a="1"/>
  <c r="C38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<sst xmlns="http://schemas.openxmlformats.org/spreadsheetml/2006/main" count="165" uniqueCount="132">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</sst>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5" xfId="0" applyNumberFormat="1" applyFont="1" applyBorder="1"/>
    <xf numFmtId="170" fontId="6" fillId="0" borderId="0" xfId="1" applyNumberFormat="1" applyFont="1" applyBorder="1" applyAlignment="1">
      <alignment horizontal="right"/>
    </xf>
  </cellXfs>
  <cellStyles count="2">
    <cellStyle name="Normal" xfId="0" builtinId="0"/>
    <cellStyle name="Per 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Coinbase Global, Inc.: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2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Coinbase Global, Inc.: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11" x14ac:dyDescent="0.15">
      <c r="A1" s="5" t="str">
        <f ca="1">MID(CELL("filename",A1),FIND("]",CELL("filename",A1))+1,256)</f>
        <v>Input</v>
      </c>
    </row>
    <row r="2" spans="1:11" x14ac:dyDescent="0.15">
      <c r="A2" s="6" t="str">
        <f>Cover!$A$2</f>
        <v>Indicative valuation of Coinbase Global, Inc.: Public information</v>
      </c>
    </row>
    <row r="3" spans="1:11" x14ac:dyDescent="0.15">
      <c r="A3" s="6" t="str">
        <f>Cover!$A$3</f>
        <v>Educational purposes only, no financial advice</v>
      </c>
    </row>
    <row r="7" spans="1:11" x14ac:dyDescent="0.15">
      <c r="B7" t="s">
        <v>16</v>
      </c>
      <c r="E7" s="11" t="s">
        <v>64</v>
      </c>
    </row>
    <row r="8" spans="1:11" x14ac:dyDescent="0.15">
      <c r="B8" t="s">
        <v>17</v>
      </c>
      <c r="E8" s="11" t="s">
        <v>65</v>
      </c>
    </row>
    <row r="9" spans="1:11" x14ac:dyDescent="0.15">
      <c r="B9" t="s">
        <v>21</v>
      </c>
      <c r="E9" s="11" t="s">
        <v>66</v>
      </c>
    </row>
    <row r="10" spans="1:11" x14ac:dyDescent="0.15">
      <c r="B10" t="s">
        <v>22</v>
      </c>
      <c r="E10" s="11" t="s">
        <v>67</v>
      </c>
    </row>
    <row r="11" spans="1:11" x14ac:dyDescent="0.15">
      <c r="B11" t="s">
        <v>18</v>
      </c>
      <c r="E11" s="11" t="s">
        <v>68</v>
      </c>
    </row>
    <row r="12" spans="1:11" x14ac:dyDescent="0.15">
      <c r="B12" t="s">
        <v>20</v>
      </c>
      <c r="E12" s="12">
        <v>46022</v>
      </c>
    </row>
    <row r="13" spans="1:11" x14ac:dyDescent="0.15">
      <c r="B13" t="s">
        <v>57</v>
      </c>
      <c r="E13" s="43" t="s">
        <v>69</v>
      </c>
    </row>
    <row r="14" spans="1:11" x14ac:dyDescent="0.15">
      <c r="B14" t="s">
        <v>41</v>
      </c>
      <c r="E14" s="11" t="s">
        <v>70</v>
      </c>
    </row>
    <row r="16" spans="1:11" x14ac:dyDescent="0.15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15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15">
      <c r="B21" s="5" t="s">
        <v>53</v>
      </c>
    </row>
    <row r="22" spans="2:11" x14ac:dyDescent="0.15">
      <c r="B22" t="s">
        <v>54</v>
      </c>
      <c r="E22" s="42"/>
    </row>
    <row r="23" spans="2:11" x14ac:dyDescent="0.15">
      <c r="B23" t="s">
        <v>55</v>
      </c>
      <c r="E23" s="42"/>
    </row>
    <row r="24" spans="2:11" x14ac:dyDescent="0.15">
      <c r="B24" t="s">
        <v>56</v>
      </c>
      <c r="E24" s="11"/>
    </row>
    <row r="25" spans="2:11" x14ac:dyDescent="0.15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D5" sqref="D5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8" max="8" width="9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5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Cover!A2</f>
        <v>Indicative valuation of Coinbase Global, Inc.: Public information</v>
      </c>
    </row>
    <row r="5" spans="2:16" x14ac:dyDescent="0.15">
      <c r="D5" s="6" t="str">
        <f>Cover!A3</f>
        <v>Educational purposes only, no financial advice</v>
      </c>
    </row>
    <row r="8" spans="2:16" x14ac:dyDescent="0.15">
      <c r="E8" s="5" t="str">
        <f>Input!$E$8</f>
        <v>COIN</v>
      </c>
      <c r="P8" s="9"/>
    </row>
    <row r="9" spans="2:16" x14ac:dyDescent="0.15">
      <c r="E9" s="10" t="str">
        <f>+Input!$E$14</f>
        <v>$m</v>
      </c>
      <c r="F9" s="32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15"/>
    <row r="11" spans="2:16" x14ac:dyDescent="0.15">
      <c r="E11" s="5" t="s">
        <v>114</v>
      </c>
      <c r="F11" s="17">
        <v>50752</v>
      </c>
      <c r="G11" s="49"/>
      <c r="H11" s="49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15">
      <c r="E12" s="13" t="s">
        <v>30</v>
      </c>
      <c r="F12" s="16">
        <f>Historical!S57*-1</f>
        <v>-10276.223</v>
      </c>
      <c r="G12" s="50"/>
      <c r="H12" s="50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15">
      <c r="E13" s="13" t="s">
        <v>115</v>
      </c>
      <c r="F13" s="16">
        <f>+Historical!S56</f>
        <v>4509.7</v>
      </c>
      <c r="G13" s="50"/>
      <c r="H13" s="50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15">
      <c r="E14" s="5" t="s">
        <v>116</v>
      </c>
      <c r="F14" s="17">
        <f>SUM(F11:F13)</f>
        <v>44985.476999999999</v>
      </c>
      <c r="G14" s="50"/>
      <c r="H14" s="50"/>
      <c r="I14" s="16"/>
      <c r="J14" s="16"/>
      <c r="K14" s="16"/>
      <c r="L14" s="16"/>
      <c r="M14" s="16"/>
      <c r="N14" s="16"/>
      <c r="O14" s="16"/>
      <c r="P14" s="16"/>
    </row>
    <row r="15" spans="2:16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15">
      <c r="E16" t="s">
        <v>129</v>
      </c>
      <c r="F16" s="51">
        <f>+F11/Historical!I27</f>
        <v>19.678441730455905</v>
      </c>
      <c r="G16" s="50"/>
      <c r="H16" s="50"/>
      <c r="I16" s="16"/>
      <c r="J16" s="16"/>
      <c r="K16" s="16"/>
      <c r="L16" s="16"/>
      <c r="M16" s="16"/>
      <c r="N16" s="16"/>
      <c r="O16" s="16"/>
      <c r="P16" s="16"/>
    </row>
    <row r="17" spans="5:16" x14ac:dyDescent="0.15">
      <c r="E17" t="s">
        <v>130</v>
      </c>
      <c r="F17" s="51">
        <f>+F11/Historical!I55</f>
        <v>4.938482074551696</v>
      </c>
      <c r="G17" s="50"/>
      <c r="H17" s="50"/>
      <c r="I17" s="16"/>
      <c r="J17" s="16"/>
      <c r="K17" s="16"/>
      <c r="L17" s="16"/>
      <c r="M17" s="16"/>
      <c r="N17" s="16"/>
      <c r="O17" s="16"/>
      <c r="P17" s="16"/>
    </row>
    <row r="18" spans="5:16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15">
      <c r="E19" s="5" t="str">
        <f>Input!$E$8&amp;" - DDM valuation"</f>
        <v>COIN - DDM valuation</v>
      </c>
      <c r="P19" s="9"/>
    </row>
    <row r="20" spans="5:16" x14ac:dyDescent="0.15">
      <c r="E20" s="10" t="str">
        <f>+Input!$E$14</f>
        <v>$m</v>
      </c>
      <c r="F20" s="52" t="s">
        <v>117</v>
      </c>
      <c r="G20" s="52" t="s">
        <v>118</v>
      </c>
      <c r="H20" s="52" t="s">
        <v>119</v>
      </c>
      <c r="I20" s="52" t="s">
        <v>120</v>
      </c>
      <c r="J20" s="52" t="s">
        <v>121</v>
      </c>
      <c r="K20" s="53" t="s">
        <v>49</v>
      </c>
      <c r="L20" s="16"/>
      <c r="M20" s="16"/>
      <c r="N20" s="16"/>
      <c r="O20" s="16"/>
      <c r="P20" s="16"/>
    </row>
    <row r="21" spans="5:16" ht="3" customHeight="1" x14ac:dyDescent="0.15"/>
    <row r="22" spans="5:16" x14ac:dyDescent="0.15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15">
      <c r="E23" t="s">
        <v>122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123</v>
      </c>
      <c r="N23" s="16"/>
      <c r="O23" s="16"/>
      <c r="P23" s="16"/>
    </row>
    <row r="24" spans="5:16" x14ac:dyDescent="0.15">
      <c r="E24" s="5" t="s">
        <v>124</v>
      </c>
      <c r="F24" s="54">
        <f>SUM(F22:F23)</f>
        <v>0</v>
      </c>
      <c r="G24" s="54">
        <f t="shared" ref="G24:K24" si="0">SUM(G22:G23)</f>
        <v>0</v>
      </c>
      <c r="H24" s="54">
        <f t="shared" si="0"/>
        <v>0</v>
      </c>
      <c r="I24" s="54">
        <f t="shared" si="0"/>
        <v>0</v>
      </c>
      <c r="J24" s="54">
        <f t="shared" si="0"/>
        <v>0</v>
      </c>
      <c r="K24" s="54">
        <f t="shared" si="0"/>
        <v>0</v>
      </c>
      <c r="L24" s="16"/>
      <c r="M24" s="16"/>
      <c r="N24" s="16"/>
      <c r="O24" s="16"/>
      <c r="P24" s="16"/>
    </row>
    <row r="25" spans="5:16" outlineLevel="1" x14ac:dyDescent="0.15">
      <c r="E25" t="s">
        <v>54</v>
      </c>
      <c r="F25" s="55">
        <f>+Input!E22</f>
        <v>0</v>
      </c>
      <c r="G25" s="55">
        <f>F25</f>
        <v>0</v>
      </c>
      <c r="H25" s="55">
        <f t="shared" ref="H25:K27" si="1">G25</f>
        <v>0</v>
      </c>
      <c r="I25" s="55">
        <f t="shared" si="1"/>
        <v>0</v>
      </c>
      <c r="J25" s="55">
        <f t="shared" si="1"/>
        <v>0</v>
      </c>
      <c r="K25" s="55">
        <f t="shared" si="1"/>
        <v>0</v>
      </c>
      <c r="L25" s="16"/>
      <c r="M25" s="16"/>
      <c r="N25" s="16"/>
      <c r="O25" s="16"/>
      <c r="P25" s="16"/>
    </row>
    <row r="26" spans="5:16" outlineLevel="1" x14ac:dyDescent="0.15">
      <c r="E26" t="s">
        <v>56</v>
      </c>
      <c r="F26" s="46">
        <f>+Input!E24</f>
        <v>0</v>
      </c>
      <c r="G26" s="46">
        <f>F26</f>
        <v>0</v>
      </c>
      <c r="H26" s="46">
        <f t="shared" si="1"/>
        <v>0</v>
      </c>
      <c r="I26" s="46">
        <f t="shared" si="1"/>
        <v>0</v>
      </c>
      <c r="J26" s="46">
        <f t="shared" si="1"/>
        <v>0</v>
      </c>
      <c r="K26" s="46">
        <f t="shared" si="1"/>
        <v>0</v>
      </c>
      <c r="L26" s="16"/>
      <c r="M26" s="16"/>
      <c r="N26" s="16"/>
      <c r="O26" s="16"/>
      <c r="P26" s="16"/>
    </row>
    <row r="27" spans="5:16" outlineLevel="1" x14ac:dyDescent="0.15">
      <c r="E27" t="s">
        <v>55</v>
      </c>
      <c r="F27" s="55">
        <f>+Input!E23</f>
        <v>0</v>
      </c>
      <c r="G27" s="55">
        <f>F27</f>
        <v>0</v>
      </c>
      <c r="H27" s="55">
        <f t="shared" si="1"/>
        <v>0</v>
      </c>
      <c r="I27" s="55">
        <f t="shared" si="1"/>
        <v>0</v>
      </c>
      <c r="J27" s="55">
        <f t="shared" si="1"/>
        <v>0</v>
      </c>
      <c r="K27" s="55">
        <f t="shared" si="1"/>
        <v>0</v>
      </c>
      <c r="L27" s="16"/>
      <c r="M27" s="16"/>
      <c r="N27" s="16"/>
      <c r="O27" s="16"/>
      <c r="P27" s="16"/>
    </row>
    <row r="28" spans="5:16" outlineLevel="1" x14ac:dyDescent="0.15">
      <c r="E28" t="s">
        <v>58</v>
      </c>
      <c r="F28" s="55">
        <f>+Input!E25</f>
        <v>0</v>
      </c>
      <c r="G28" s="55">
        <f t="shared" ref="G28:K28" si="2">F28</f>
        <v>0</v>
      </c>
      <c r="H28" s="55">
        <f t="shared" si="2"/>
        <v>0</v>
      </c>
      <c r="I28" s="55">
        <f t="shared" si="2"/>
        <v>0</v>
      </c>
      <c r="J28" s="55">
        <f t="shared" si="2"/>
        <v>0</v>
      </c>
      <c r="K28" s="55">
        <f t="shared" si="2"/>
        <v>0</v>
      </c>
      <c r="L28" s="16"/>
      <c r="M28" s="16"/>
      <c r="N28" s="16"/>
      <c r="O28" s="16"/>
      <c r="P28" s="16"/>
    </row>
    <row r="29" spans="5:16" outlineLevel="1" x14ac:dyDescent="0.15">
      <c r="E29" t="s">
        <v>125</v>
      </c>
      <c r="F29" s="55">
        <f>F26*F27+F28</f>
        <v>0</v>
      </c>
      <c r="G29" s="55">
        <f t="shared" ref="G29:K29" si="3">G26*G27+G28</f>
        <v>0</v>
      </c>
      <c r="H29" s="55">
        <f t="shared" si="3"/>
        <v>0</v>
      </c>
      <c r="I29" s="55">
        <f t="shared" si="3"/>
        <v>0</v>
      </c>
      <c r="J29" s="55">
        <f t="shared" si="3"/>
        <v>0</v>
      </c>
      <c r="K29" s="55">
        <f t="shared" si="3"/>
        <v>0</v>
      </c>
      <c r="L29" s="55"/>
      <c r="M29" s="16"/>
      <c r="N29" s="16"/>
      <c r="O29" s="16"/>
      <c r="P29" s="16"/>
    </row>
    <row r="30" spans="5:16" outlineLevel="1" x14ac:dyDescent="0.15">
      <c r="E30" t="s">
        <v>51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f>+Input!K18*-1</f>
        <v>-0.01</v>
      </c>
      <c r="L30" s="16"/>
      <c r="M30" s="16"/>
      <c r="N30" s="16"/>
      <c r="O30" s="16"/>
      <c r="P30" s="16"/>
    </row>
    <row r="31" spans="5:16" outlineLevel="1" x14ac:dyDescent="0.15">
      <c r="E31" t="s">
        <v>53</v>
      </c>
      <c r="F31" s="55">
        <f>F29+F25+F30</f>
        <v>0</v>
      </c>
      <c r="G31" s="55">
        <f t="shared" ref="G31:K31" si="4">G29+G25+G30</f>
        <v>0</v>
      </c>
      <c r="H31" s="55">
        <f t="shared" si="4"/>
        <v>0</v>
      </c>
      <c r="I31" s="55">
        <f t="shared" si="4"/>
        <v>0</v>
      </c>
      <c r="J31" s="55">
        <f t="shared" si="4"/>
        <v>0</v>
      </c>
      <c r="K31" s="55">
        <f t="shared" si="4"/>
        <v>-0.01</v>
      </c>
      <c r="L31" s="16"/>
      <c r="M31" s="16"/>
      <c r="N31" s="16"/>
      <c r="O31" s="16"/>
      <c r="P31" s="16"/>
    </row>
    <row r="32" spans="5:16" x14ac:dyDescent="0.15">
      <c r="E32" t="s">
        <v>126</v>
      </c>
      <c r="F32" s="46">
        <f>1/(1+F31)^1</f>
        <v>1</v>
      </c>
      <c r="G32" s="46">
        <f>F32/(1+G31)^1</f>
        <v>1</v>
      </c>
      <c r="H32" s="46">
        <f t="shared" ref="H32:J32" si="5">G32/(1+H31)^1</f>
        <v>1</v>
      </c>
      <c r="I32" s="46">
        <f t="shared" si="5"/>
        <v>1</v>
      </c>
      <c r="J32" s="46">
        <f t="shared" si="5"/>
        <v>1</v>
      </c>
      <c r="K32" s="46">
        <f>J32/K31</f>
        <v>-100</v>
      </c>
      <c r="L32" s="16"/>
      <c r="M32" s="16"/>
      <c r="N32" s="16"/>
      <c r="O32" s="16"/>
      <c r="P32" s="16"/>
    </row>
    <row r="33" spans="5:16" x14ac:dyDescent="0.15">
      <c r="E33" s="5" t="s">
        <v>127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15">
      <c r="E34" s="5" t="s">
        <v>128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15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15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15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15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15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15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15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15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15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15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15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15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15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15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15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15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15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15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15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15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15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15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15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15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15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15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15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15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15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15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15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15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15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15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15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15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15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15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15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15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15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15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15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15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15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15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15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15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15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15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15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15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15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15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15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15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15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15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15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15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15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15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15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15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15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15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15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15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15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15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15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15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15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15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15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15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15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15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15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15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15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15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15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15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15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15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15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15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15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15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15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15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15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15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15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15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15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15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15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15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15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15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15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15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15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15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15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15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15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15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15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15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15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15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15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15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15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15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15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15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15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15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15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15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15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15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15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15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15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15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15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15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15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15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15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15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15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15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15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15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15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15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15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15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15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15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15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15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15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15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15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15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15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15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15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15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15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15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15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15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15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15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15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15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15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15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15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15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15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15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15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15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15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15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15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15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15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15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15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15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15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15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15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15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15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15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15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15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15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15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15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15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15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15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15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15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15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15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15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15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15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15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15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15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15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15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15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15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15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15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15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15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15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15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15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15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15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15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15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15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15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15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15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15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15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15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15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15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15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15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15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15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15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15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15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15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15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15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15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15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15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15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15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15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15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15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15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15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15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15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15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15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15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15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15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15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15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15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15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15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15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15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15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15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15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15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15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15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15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15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15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15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15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15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15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15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15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15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15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15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15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15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15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15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15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15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15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15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15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15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15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15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15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15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15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15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15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15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15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15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15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15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15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15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15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15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15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15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15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15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15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15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15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15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15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15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15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15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15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15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15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15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15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15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15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15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15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15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15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15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15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15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15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15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15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15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15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15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15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15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15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15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15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15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15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15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15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15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15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15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15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15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15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15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15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15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15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15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15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15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15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15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15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15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15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15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15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15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15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15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15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15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15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15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15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15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15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15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15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15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15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15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15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15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15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15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15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15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15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15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15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15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15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15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15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15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15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15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15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15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15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15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15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15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15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15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15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15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15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15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15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15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15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15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15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15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15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15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15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15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15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15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15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15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15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15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15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15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15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15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15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15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15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15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15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15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15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15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15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15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15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15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15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15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15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15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15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15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15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15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15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15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15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15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15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15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15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15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15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15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15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15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15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15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15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15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15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15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15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15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15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15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15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15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15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15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15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15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15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15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15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15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15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15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15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15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15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15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15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15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15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15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15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15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15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15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15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15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15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15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15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15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15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15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15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15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15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15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15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15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15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15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15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15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15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15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15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15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15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15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15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15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15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15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15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15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15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15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15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15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15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15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15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15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15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15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15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15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15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15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15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15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15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15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15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15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15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15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15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15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15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15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15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15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15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15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15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15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15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15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15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15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15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15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15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15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15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15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15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15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15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15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15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15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15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15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15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15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15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15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15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15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15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15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15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15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15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15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15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15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15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15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15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15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15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15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15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15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15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15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15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15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15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15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15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15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15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15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15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15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15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15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15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15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15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15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15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15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15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15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15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15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15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15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15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15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15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15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15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15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15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15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15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15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15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15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15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15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15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15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15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15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15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15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15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15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15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15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15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15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15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15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15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15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15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15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15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15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15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15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15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15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15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15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15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15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15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15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15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15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63"/>
  <sheetViews>
    <sheetView showGridLines="0" tabSelected="1" topLeftCell="B27" zoomScale="115" zoomScaleNormal="115" workbookViewId="0">
      <selection activeCell="K43" sqref="K43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10" max="10" width="1.33203125" customWidth="1"/>
    <col min="23" max="23" width="52.83203125" style="30" bestFit="1" customWidth="1"/>
  </cols>
  <sheetData>
    <row r="1" spans="2:23" s="8" customFormat="1" outlineLevel="1" x14ac:dyDescent="0.15">
      <c r="B1" s="8">
        <v>0.1</v>
      </c>
    </row>
    <row r="2" spans="2:23" s="8" customFormat="1" outlineLevel="1" x14ac:dyDescent="0.15">
      <c r="B2" s="15" t="b">
        <f>AND(C:C)</f>
        <v>1</v>
      </c>
    </row>
    <row r="3" spans="2:23" x14ac:dyDescent="0.15">
      <c r="D3" s="5" t="str">
        <f ca="1">MID(CELL("filename",D3),FIND("]",CELL("filename",D3))+1,256)</f>
        <v>Historical</v>
      </c>
    </row>
    <row r="4" spans="2:23" x14ac:dyDescent="0.15">
      <c r="D4" s="6" t="str">
        <f>Cover!$A$2</f>
        <v>Indicative valuation of Coinbase Global, Inc.: Public information</v>
      </c>
    </row>
    <row r="5" spans="2:23" x14ac:dyDescent="0.15">
      <c r="D5" s="6" t="str">
        <f>Cover!$A$3</f>
        <v>Educational purposes only, no financial advice</v>
      </c>
    </row>
    <row r="6" spans="2:23" x14ac:dyDescent="0.15">
      <c r="S6" s="16"/>
    </row>
    <row r="8" spans="2:23" x14ac:dyDescent="0.15">
      <c r="E8" s="5" t="str">
        <f>Input!$E$8&amp;" - P&amp;L"</f>
        <v>COIN - P&amp;L</v>
      </c>
      <c r="I8" s="9"/>
      <c r="K8" s="9"/>
      <c r="L8" s="9"/>
      <c r="M8" s="9"/>
      <c r="N8" s="41" t="s">
        <v>111</v>
      </c>
      <c r="O8" s="5"/>
      <c r="P8" s="9"/>
      <c r="Q8" s="9"/>
      <c r="R8" s="41" t="s">
        <v>111</v>
      </c>
      <c r="S8" s="9"/>
      <c r="U8" s="34" t="s">
        <v>47</v>
      </c>
      <c r="W8" s="31" t="s">
        <v>42</v>
      </c>
    </row>
    <row r="9" spans="2:23" x14ac:dyDescent="0.15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47" t="s">
        <v>110</v>
      </c>
      <c r="L9" s="47" t="s">
        <v>105</v>
      </c>
      <c r="M9" s="47" t="s">
        <v>104</v>
      </c>
      <c r="N9" s="47" t="s">
        <v>103</v>
      </c>
      <c r="O9" s="48" t="s">
        <v>96</v>
      </c>
      <c r="P9" s="48" t="s">
        <v>102</v>
      </c>
      <c r="Q9" s="48" t="s">
        <v>97</v>
      </c>
      <c r="R9" s="48" t="s">
        <v>95</v>
      </c>
      <c r="S9" s="32" t="s">
        <v>94</v>
      </c>
      <c r="U9" s="33" t="s">
        <v>48</v>
      </c>
    </row>
    <row r="10" spans="2:23" ht="3" customHeight="1" x14ac:dyDescent="0.15"/>
    <row r="11" spans="2:23" x14ac:dyDescent="0.15">
      <c r="E11" s="14" t="s">
        <v>81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772.529</v>
      </c>
      <c r="L11" s="17">
        <v>707.91099999999994</v>
      </c>
      <c r="M11" s="17">
        <v>674.14800000000002</v>
      </c>
      <c r="N11" s="17">
        <f>H11-SUM(K11:M11)</f>
        <v>953.79499999999962</v>
      </c>
      <c r="O11" s="17">
        <v>1637.57</v>
      </c>
      <c r="P11" s="17">
        <v>1449.6279999999999</v>
      </c>
      <c r="Q11" s="17">
        <v>1205.193</v>
      </c>
      <c r="R11" s="17">
        <f>I11-SUM(O11:Q11)</f>
        <v>2271.6370000000006</v>
      </c>
      <c r="S11" s="17">
        <v>2034.2950000000001</v>
      </c>
      <c r="U11" s="35">
        <f>IFERROR((I11/F11)^(1/3)-1,"n/a")</f>
        <v>-5.7470277979168927E-2</v>
      </c>
    </row>
    <row r="12" spans="2:23" x14ac:dyDescent="0.15">
      <c r="E12" s="13" t="s">
        <v>72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-96.369</v>
      </c>
      <c r="L12" s="16">
        <v>-108.2</v>
      </c>
      <c r="M12" s="16">
        <v>-90.576999999999998</v>
      </c>
      <c r="N12" s="16">
        <f t="shared" ref="N12:N26" si="0">H12-SUM(K12:M12)</f>
        <v>-125.55899999999997</v>
      </c>
      <c r="O12" s="16">
        <v>-217.40700000000001</v>
      </c>
      <c r="P12" s="16">
        <v>-191.477</v>
      </c>
      <c r="Q12" s="16">
        <v>-171.78100000000001</v>
      </c>
      <c r="R12" s="16">
        <f t="shared" ref="R12:R26" si="1">I12-SUM(O12:Q12)</f>
        <v>-317.04200000000003</v>
      </c>
      <c r="S12" s="16">
        <v>-303.02600000000001</v>
      </c>
      <c r="U12" s="25">
        <f>IFERROR((I12/F12)^(1/3)-1,"n/a")</f>
        <v>-0.10872074872291071</v>
      </c>
    </row>
    <row r="13" spans="2:23" x14ac:dyDescent="0.15">
      <c r="E13" s="13" t="s">
        <v>73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-358.03100000000001</v>
      </c>
      <c r="L13" s="16">
        <v>-320.66699999999997</v>
      </c>
      <c r="M13" s="16">
        <v>-322.75599999999997</v>
      </c>
      <c r="N13" s="16">
        <f t="shared" si="0"/>
        <v>-323.08699999999999</v>
      </c>
      <c r="O13" s="16">
        <v>-357.863</v>
      </c>
      <c r="P13" s="16">
        <v>-364.25799999999998</v>
      </c>
      <c r="Q13" s="16">
        <v>-377.44</v>
      </c>
      <c r="R13" s="16">
        <f t="shared" si="1"/>
        <v>-368.69100000000003</v>
      </c>
      <c r="S13" s="16">
        <v>-355.36799999999999</v>
      </c>
      <c r="U13" s="25">
        <f>IFERROR((I13/F13)^(1/3)-1,"n/a")</f>
        <v>4.3666858777077211E-2</v>
      </c>
    </row>
    <row r="14" spans="2:23" x14ac:dyDescent="0.15">
      <c r="E14" s="13" t="s">
        <v>74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-63.975999999999999</v>
      </c>
      <c r="L14" s="16">
        <v>-83.852999999999994</v>
      </c>
      <c r="M14" s="16">
        <v>-78.177999999999997</v>
      </c>
      <c r="N14" s="16">
        <f t="shared" si="0"/>
        <v>-106.30500000000001</v>
      </c>
      <c r="O14" s="16">
        <v>-98.584999999999994</v>
      </c>
      <c r="P14" s="16">
        <v>-165.262</v>
      </c>
      <c r="Q14" s="16">
        <v>-164.77</v>
      </c>
      <c r="R14" s="16">
        <f t="shared" si="1"/>
        <v>-225.827</v>
      </c>
      <c r="S14" s="16">
        <v>-247.28299999999999</v>
      </c>
      <c r="U14" s="25">
        <f>IFERROR((I14/F14)^(1/3)-1,"n/a")</f>
        <v>-4.6649671056675501E-3</v>
      </c>
    </row>
    <row r="15" spans="2:23" x14ac:dyDescent="0.15">
      <c r="E15" s="13" t="s">
        <v>75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-248.761</v>
      </c>
      <c r="L15" s="16">
        <v>-258.988</v>
      </c>
      <c r="M15" s="16">
        <v>-252.63</v>
      </c>
      <c r="N15" s="16">
        <f t="shared" si="0"/>
        <v>-313.92899999999997</v>
      </c>
      <c r="O15" s="16">
        <v>-287.23599999999999</v>
      </c>
      <c r="P15" s="16">
        <v>-320.11500000000001</v>
      </c>
      <c r="Q15" s="16">
        <v>-330.387</v>
      </c>
      <c r="R15" s="16">
        <f t="shared" si="1"/>
        <v>-362.51900000000001</v>
      </c>
      <c r="S15" s="16">
        <v>-394.346</v>
      </c>
      <c r="U15" s="25">
        <f>IFERROR((I15/F15)^(1/3)-1,"n/a")</f>
        <v>0.12657304808481507</v>
      </c>
    </row>
    <row r="16" spans="2:23" x14ac:dyDescent="0.15">
      <c r="E16" s="13" t="s">
        <v>76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0</v>
      </c>
      <c r="L16" s="16">
        <v>0</v>
      </c>
      <c r="M16" s="16">
        <v>0</v>
      </c>
      <c r="N16" s="16">
        <f t="shared" si="0"/>
        <v>0</v>
      </c>
      <c r="O16" s="16">
        <v>86.358000000000004</v>
      </c>
      <c r="P16" s="16">
        <v>-31.015999999999998</v>
      </c>
      <c r="Q16" s="16">
        <v>0.14199999999999999</v>
      </c>
      <c r="R16" s="16">
        <f t="shared" si="1"/>
        <v>16.240999999999985</v>
      </c>
      <c r="S16" s="16">
        <v>-34.365000000000002</v>
      </c>
      <c r="U16" s="25">
        <f>IFERROR((I16/F17)^(1/3)-1,"n/a")</f>
        <v>-1.7765600890436968</v>
      </c>
    </row>
    <row r="17" spans="5:21" x14ac:dyDescent="0.15">
      <c r="E17" s="13" t="s">
        <v>77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-17.962</v>
      </c>
      <c r="L17" s="16">
        <v>8.0530000000000008</v>
      </c>
      <c r="M17" s="16">
        <v>-7.18</v>
      </c>
      <c r="N17" s="16">
        <f t="shared" si="0"/>
        <v>51.763999999999996</v>
      </c>
      <c r="O17" s="16">
        <v>0</v>
      </c>
      <c r="P17" s="16">
        <v>0</v>
      </c>
      <c r="Q17" s="16">
        <v>0</v>
      </c>
      <c r="R17" s="16">
        <f t="shared" si="1"/>
        <v>0</v>
      </c>
      <c r="S17" s="16">
        <v>0</v>
      </c>
      <c r="U17" s="25" t="str">
        <f>IFERROR((I17/#REF!)^(1/3)-1,"n/a")</f>
        <v>n/a</v>
      </c>
    </row>
    <row r="18" spans="5:21" x14ac:dyDescent="0.15">
      <c r="E18" s="13" t="s">
        <v>78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-144.489</v>
      </c>
      <c r="L18" s="16">
        <v>1.0349999999999999</v>
      </c>
      <c r="M18" s="16">
        <v>0.86</v>
      </c>
      <c r="N18" s="16">
        <f t="shared" si="0"/>
        <v>0</v>
      </c>
      <c r="O18" s="16">
        <v>0</v>
      </c>
      <c r="P18" s="16">
        <v>0</v>
      </c>
      <c r="Q18" s="16">
        <v>0</v>
      </c>
      <c r="R18" s="16">
        <f t="shared" si="1"/>
        <v>0</v>
      </c>
      <c r="S18" s="16">
        <v>0</v>
      </c>
      <c r="U18" s="25" t="str">
        <f t="shared" ref="U18:U27" si="2">IFERROR((I18/F18)^(1/3)-1,"n/a")</f>
        <v>n/a</v>
      </c>
    </row>
    <row r="19" spans="5:21" x14ac:dyDescent="0.15">
      <c r="E19" s="13" t="s">
        <v>101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33.183999999999997</v>
      </c>
      <c r="L19" s="18">
        <v>-18.866</v>
      </c>
      <c r="M19" s="18">
        <v>-3.512</v>
      </c>
      <c r="N19" s="18">
        <f t="shared" si="0"/>
        <v>-21.065999999999995</v>
      </c>
      <c r="O19" s="18">
        <v>-2.3759999999999999</v>
      </c>
      <c r="P19" s="18">
        <v>-34.383000000000003</v>
      </c>
      <c r="Q19" s="18">
        <v>8.5559999999999992</v>
      </c>
      <c r="R19" s="18">
        <f t="shared" si="1"/>
        <v>20.270000000000003</v>
      </c>
      <c r="S19" s="18">
        <v>5.899</v>
      </c>
      <c r="U19" s="25">
        <f t="shared" si="2"/>
        <v>-0.74477211859552561</v>
      </c>
    </row>
    <row r="20" spans="5:21" x14ac:dyDescent="0.15">
      <c r="E20" s="44" t="s">
        <v>79</v>
      </c>
      <c r="F20" s="16">
        <f>SUM(F12:F19)</f>
        <v>-4762.8739999999998</v>
      </c>
      <c r="G20" s="16">
        <f>SUM(G12:G19)</f>
        <v>-5904.4160000000002</v>
      </c>
      <c r="H20" s="16">
        <f t="shared" ref="H20:I20" si="3">SUM(H12:H19)</f>
        <v>-3270.0450000000001</v>
      </c>
      <c r="I20" s="16">
        <f t="shared" si="3"/>
        <v>-4256.8679999999995</v>
      </c>
      <c r="K20" s="16">
        <f t="shared" ref="K20" si="4">SUM(K12:K19)</f>
        <v>-896.404</v>
      </c>
      <c r="L20" s="16">
        <f t="shared" ref="L20:M20" si="5">SUM(L12:L19)</f>
        <v>-781.48599999999988</v>
      </c>
      <c r="M20" s="16">
        <f t="shared" si="5"/>
        <v>-753.97299999999984</v>
      </c>
      <c r="N20" s="16">
        <f t="shared" ref="N20" si="6">SUM(N12:N19)</f>
        <v>-838.18200000000002</v>
      </c>
      <c r="O20" s="16">
        <f t="shared" ref="O20:P20" si="7">SUM(O12:O19)</f>
        <v>-877.10899999999992</v>
      </c>
      <c r="P20" s="16">
        <f t="shared" si="7"/>
        <v>-1106.5110000000002</v>
      </c>
      <c r="Q20" s="16">
        <f t="shared" ref="Q20:S20" si="8">SUM(Q12:Q19)</f>
        <v>-1035.6799999999998</v>
      </c>
      <c r="R20" s="16">
        <f t="shared" si="8"/>
        <v>-1237.5680000000002</v>
      </c>
      <c r="S20" s="16">
        <f t="shared" si="8"/>
        <v>-1328.4890000000003</v>
      </c>
      <c r="U20" s="25">
        <f t="shared" si="2"/>
        <v>-3.6747014727023908E-2</v>
      </c>
    </row>
    <row r="21" spans="5:21" x14ac:dyDescent="0.15">
      <c r="E21" s="44" t="s">
        <v>84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-20.265000000000001</v>
      </c>
      <c r="L21" s="18">
        <v>16.564</v>
      </c>
      <c r="M21" s="18">
        <v>135.30699999999999</v>
      </c>
      <c r="N21" s="18">
        <f t="shared" si="0"/>
        <v>35.977000000000004</v>
      </c>
      <c r="O21" s="18">
        <v>45.604999999999997</v>
      </c>
      <c r="P21" s="18">
        <v>-63.826999999999998</v>
      </c>
      <c r="Q21" s="18">
        <v>40.104999999999997</v>
      </c>
      <c r="R21" s="18">
        <f t="shared" si="1"/>
        <v>7.1910000000000061</v>
      </c>
      <c r="S21" s="18">
        <v>-6.1879999999999997</v>
      </c>
      <c r="U21" s="25">
        <f t="shared" si="2"/>
        <v>-2.1242040890623182</v>
      </c>
    </row>
    <row r="22" spans="5:21" x14ac:dyDescent="0.15">
      <c r="E22" s="5" t="s">
        <v>71</v>
      </c>
      <c r="F22" s="17">
        <f>SUM(F11,F20:F21)</f>
        <v>3056.1070000000004</v>
      </c>
      <c r="G22" s="17">
        <f t="shared" ref="G22:I22" si="9">SUM(G11,G20:G21)</f>
        <v>-2975.681</v>
      </c>
      <c r="H22" s="17">
        <f t="shared" si="9"/>
        <v>5.9209999999997365</v>
      </c>
      <c r="I22" s="17">
        <f t="shared" si="9"/>
        <v>2336.2340000000008</v>
      </c>
      <c r="K22" s="17">
        <f t="shared" ref="K22" si="10">SUM(K11,K20:K21)</f>
        <v>-144.13999999999999</v>
      </c>
      <c r="L22" s="17">
        <f t="shared" ref="L22:M22" si="11">SUM(L11,L20:L21)</f>
        <v>-57.010999999999932</v>
      </c>
      <c r="M22" s="17">
        <f t="shared" si="11"/>
        <v>55.48200000000017</v>
      </c>
      <c r="N22" s="17">
        <f t="shared" ref="N22" si="12">SUM(N11,N20:N21)</f>
        <v>151.58999999999961</v>
      </c>
      <c r="O22" s="17">
        <f t="shared" ref="O22:P22" si="13">SUM(O11,O20:O21)</f>
        <v>806.06600000000003</v>
      </c>
      <c r="P22" s="17">
        <f t="shared" si="13"/>
        <v>279.28999999999974</v>
      </c>
      <c r="Q22" s="17">
        <f t="shared" ref="Q22:S22" si="14">SUM(Q11,Q20:Q21)</f>
        <v>209.61800000000014</v>
      </c>
      <c r="R22" s="17">
        <f t="shared" si="14"/>
        <v>1041.2600000000004</v>
      </c>
      <c r="S22" s="17">
        <f t="shared" si="14"/>
        <v>699.61799999999982</v>
      </c>
      <c r="U22" s="35">
        <f t="shared" si="2"/>
        <v>-8.5642717665108004E-2</v>
      </c>
    </row>
    <row r="23" spans="5:21" x14ac:dyDescent="0.15">
      <c r="E23" s="13" t="s">
        <v>83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-21.536000000000001</v>
      </c>
      <c r="L23" s="16">
        <v>-21.672000000000001</v>
      </c>
      <c r="M23" s="16">
        <v>-20.821000000000002</v>
      </c>
      <c r="N23" s="16">
        <f t="shared" si="0"/>
        <v>-18.737000000000009</v>
      </c>
      <c r="O23" s="16">
        <v>-19.071000000000002</v>
      </c>
      <c r="P23" s="16">
        <v>-20.507000000000001</v>
      </c>
      <c r="Q23" s="16">
        <v>-20.53</v>
      </c>
      <c r="R23" s="16">
        <f t="shared" si="1"/>
        <v>-20.536999999999992</v>
      </c>
      <c r="S23" s="16">
        <v>-20.510999999999999</v>
      </c>
      <c r="U23" s="25">
        <f t="shared" si="2"/>
        <v>0.40366447586925847</v>
      </c>
    </row>
    <row r="24" spans="5:21" x14ac:dyDescent="0.15">
      <c r="E24" s="13" t="s">
        <v>82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0</v>
      </c>
      <c r="L24" s="18">
        <v>0</v>
      </c>
      <c r="M24" s="18">
        <v>0</v>
      </c>
      <c r="N24" s="18">
        <f t="shared" si="0"/>
        <v>0</v>
      </c>
      <c r="O24" s="18">
        <v>650.42899999999997</v>
      </c>
      <c r="P24" s="18">
        <v>-319.02</v>
      </c>
      <c r="Q24" s="18">
        <v>-120.50700000000001</v>
      </c>
      <c r="R24" s="18">
        <f t="shared" si="1"/>
        <v>476.15299999999996</v>
      </c>
      <c r="S24" s="18">
        <v>-596.65099999999995</v>
      </c>
      <c r="U24" s="25" t="str">
        <f t="shared" si="2"/>
        <v>n/a</v>
      </c>
    </row>
    <row r="25" spans="5:21" x14ac:dyDescent="0.15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15">SUM(H22:H24)</f>
        <v>-76.845000000000269</v>
      </c>
      <c r="I25" s="17">
        <f t="shared" si="15"/>
        <v>2942.6440000000007</v>
      </c>
      <c r="K25" s="17">
        <f t="shared" ref="K25" si="16">SUM(K22:K24)</f>
        <v>-165.67599999999999</v>
      </c>
      <c r="L25" s="17">
        <f t="shared" ref="L25:M25" si="17">SUM(L22:L24)</f>
        <v>-78.682999999999936</v>
      </c>
      <c r="M25" s="17">
        <f t="shared" si="17"/>
        <v>34.661000000000172</v>
      </c>
      <c r="N25" s="17">
        <f t="shared" ref="N25" si="18">SUM(N22:N24)</f>
        <v>132.85299999999961</v>
      </c>
      <c r="O25" s="17">
        <f t="shared" ref="O25:P25" si="19">SUM(O22:O24)</f>
        <v>1437.424</v>
      </c>
      <c r="P25" s="17">
        <f t="shared" si="19"/>
        <v>-60.237000000000251</v>
      </c>
      <c r="Q25" s="17">
        <f t="shared" ref="Q25:S25" si="20">SUM(Q22:Q24)</f>
        <v>68.581000000000131</v>
      </c>
      <c r="R25" s="17">
        <f t="shared" si="20"/>
        <v>1496.8760000000004</v>
      </c>
      <c r="S25" s="17">
        <f t="shared" si="20"/>
        <v>82.455999999999904</v>
      </c>
      <c r="U25" s="35">
        <f t="shared" si="2"/>
        <v>-9.3711557464645212E-3</v>
      </c>
    </row>
    <row r="26" spans="5:21" x14ac:dyDescent="0.15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86.78</v>
      </c>
      <c r="L26" s="16">
        <v>-18.722000000000001</v>
      </c>
      <c r="M26" s="16">
        <v>-36.926000000000002</v>
      </c>
      <c r="N26" s="16">
        <f t="shared" si="0"/>
        <v>140.584</v>
      </c>
      <c r="O26" s="16">
        <v>-261.17899999999997</v>
      </c>
      <c r="P26" s="16">
        <v>96.387</v>
      </c>
      <c r="Q26" s="16">
        <v>6.9139999999999997</v>
      </c>
      <c r="R26" s="16">
        <f t="shared" si="1"/>
        <v>-205.7</v>
      </c>
      <c r="S26" s="16">
        <v>-16.847999999999999</v>
      </c>
      <c r="U26" s="25">
        <f t="shared" si="2"/>
        <v>-1.847550941915804</v>
      </c>
    </row>
    <row r="27" spans="5:21" ht="14" thickBot="1" x14ac:dyDescent="0.2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 t="shared" ref="K27:N27" si="21">SUM(K25:K26)</f>
        <v>-78.895999999999987</v>
      </c>
      <c r="L27" s="20">
        <f t="shared" si="21"/>
        <v>-97.404999999999944</v>
      </c>
      <c r="M27" s="20">
        <f t="shared" si="21"/>
        <v>-2.26499999999983</v>
      </c>
      <c r="N27" s="20">
        <f t="shared" si="21"/>
        <v>273.43699999999961</v>
      </c>
      <c r="O27" s="20">
        <f>SUM(O25:O26)</f>
        <v>1176.2449999999999</v>
      </c>
      <c r="P27" s="20">
        <f>SUM(P25:P26)</f>
        <v>36.14999999999975</v>
      </c>
      <c r="Q27" s="20">
        <f t="shared" ref="Q27:S27" si="22">SUM(Q25:Q26)</f>
        <v>75.495000000000132</v>
      </c>
      <c r="R27" s="20">
        <f t="shared" si="22"/>
        <v>1291.1760000000004</v>
      </c>
      <c r="S27" s="20">
        <f t="shared" si="22"/>
        <v>65.607999999999905</v>
      </c>
      <c r="U27" s="35">
        <f t="shared" si="2"/>
        <v>-0.10720182138865331</v>
      </c>
    </row>
    <row r="28" spans="5:21" ht="3" customHeight="1" x14ac:dyDescent="0.15"/>
    <row r="29" spans="5:21" x14ac:dyDescent="0.15">
      <c r="E29" s="36" t="s">
        <v>38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 t="shared" ref="K29:R29" si="23">IFERROR(+K11/J11-1,"n/a")</f>
        <v>n/a</v>
      </c>
      <c r="L29" s="23">
        <f t="shared" si="23"/>
        <v>-8.3644756378077778E-2</v>
      </c>
      <c r="M29" s="23">
        <f t="shared" si="23"/>
        <v>-4.7693848520505955E-2</v>
      </c>
      <c r="N29" s="23">
        <f t="shared" si="23"/>
        <v>0.41481544111975355</v>
      </c>
      <c r="O29" s="23">
        <f t="shared" si="23"/>
        <v>0.71689933371426839</v>
      </c>
      <c r="P29" s="23">
        <f t="shared" si="23"/>
        <v>-0.11476883430937301</v>
      </c>
      <c r="Q29" s="23">
        <f t="shared" si="23"/>
        <v>-0.16861912159533343</v>
      </c>
      <c r="R29" s="23">
        <f t="shared" si="23"/>
        <v>0.88487404092124722</v>
      </c>
      <c r="S29" s="23">
        <f>IFERROR(+S11/R11-1,"n/a")</f>
        <v>-0.10448060143412019</v>
      </c>
    </row>
    <row r="30" spans="5:21" x14ac:dyDescent="0.15">
      <c r="E30" s="37" t="s">
        <v>113</v>
      </c>
      <c r="F30" s="25">
        <f>+F13/-F11</f>
        <v>0.16475160738440123</v>
      </c>
      <c r="G30" s="25">
        <f t="shared" ref="G30:S30" si="24">+G13/-G11</f>
        <v>0.72830385497750927</v>
      </c>
      <c r="H30" s="25">
        <f t="shared" si="24"/>
        <v>0.42611898212028571</v>
      </c>
      <c r="I30" s="25">
        <f t="shared" si="24"/>
        <v>0.22368155650768093</v>
      </c>
      <c r="K30" s="25">
        <f t="shared" si="24"/>
        <v>0.46345315192051045</v>
      </c>
      <c r="L30" s="25">
        <f t="shared" si="24"/>
        <v>0.4529764334782197</v>
      </c>
      <c r="M30" s="25">
        <f t="shared" si="24"/>
        <v>0.47876134023982858</v>
      </c>
      <c r="N30" s="25">
        <f t="shared" si="24"/>
        <v>0.33873840814850165</v>
      </c>
      <c r="O30" s="25">
        <f t="shared" si="24"/>
        <v>0.21853294820984753</v>
      </c>
      <c r="P30" s="25">
        <f t="shared" si="24"/>
        <v>0.25127687930972636</v>
      </c>
      <c r="Q30" s="25">
        <f t="shared" si="24"/>
        <v>0.31317805529902681</v>
      </c>
      <c r="R30" s="25">
        <f t="shared" si="24"/>
        <v>0.16230189946721238</v>
      </c>
      <c r="S30" s="25">
        <f t="shared" si="24"/>
        <v>0.17468852845826194</v>
      </c>
    </row>
    <row r="31" spans="5:21" x14ac:dyDescent="0.15">
      <c r="E31" s="37" t="s">
        <v>39</v>
      </c>
      <c r="F31" s="25">
        <f>IFERROR(+F22/F11,"n/a")</f>
        <v>0.38983721294520379</v>
      </c>
      <c r="G31" s="25">
        <f>IFERROR(+G22/G11,"n/a")</f>
        <v>-0.93158648403610533</v>
      </c>
      <c r="H31" s="25">
        <f>IFERROR(+H22/H11,"n/a")</f>
        <v>1.9048489198402311E-3</v>
      </c>
      <c r="I31" s="26">
        <f>IFERROR(+I22/I11,"n/a")</f>
        <v>0.35591469140594778</v>
      </c>
      <c r="K31" s="25">
        <f t="shared" ref="K31:R31" si="25">IFERROR(+K22/K11,"n/a")</f>
        <v>-0.18658199239122414</v>
      </c>
      <c r="L31" s="25">
        <f t="shared" si="25"/>
        <v>-8.0534134940691601E-2</v>
      </c>
      <c r="M31" s="25">
        <f t="shared" si="25"/>
        <v>8.229943573221335E-2</v>
      </c>
      <c r="N31" s="25">
        <f t="shared" si="25"/>
        <v>0.15893352345105569</v>
      </c>
      <c r="O31" s="25">
        <f t="shared" si="25"/>
        <v>0.49223300377999113</v>
      </c>
      <c r="P31" s="25">
        <f t="shared" si="25"/>
        <v>0.19266322118502108</v>
      </c>
      <c r="Q31" s="25">
        <f t="shared" si="25"/>
        <v>0.17392898896691247</v>
      </c>
      <c r="R31" s="25">
        <f t="shared" si="25"/>
        <v>0.45837429131502971</v>
      </c>
      <c r="S31" s="25">
        <f>IFERROR(+S22/S11,"n/a")</f>
        <v>0.34391177287463215</v>
      </c>
    </row>
    <row r="32" spans="5:21" x14ac:dyDescent="0.15">
      <c r="E32" s="37" t="s">
        <v>52</v>
      </c>
      <c r="F32" s="25">
        <f>-F26/F25</f>
        <v>-0.19728558180899761</v>
      </c>
      <c r="G32" s="25">
        <f>-G26/G25</f>
        <v>0.14345610592243901</v>
      </c>
      <c r="H32" s="25">
        <f>-H26/H25</f>
        <v>2.2345760947361497</v>
      </c>
      <c r="I32" s="26">
        <f>-I26/I25</f>
        <v>0.12355487106153509</v>
      </c>
      <c r="K32" s="25">
        <f t="shared" ref="K32:R32" si="26">-K26/K25</f>
        <v>0.52379342813684548</v>
      </c>
      <c r="L32" s="25">
        <f t="shared" si="26"/>
        <v>-0.23794212218649538</v>
      </c>
      <c r="M32" s="25">
        <f t="shared" si="26"/>
        <v>1.0653472202186844</v>
      </c>
      <c r="N32" s="25">
        <f t="shared" si="26"/>
        <v>-1.0581921371741732</v>
      </c>
      <c r="O32" s="25">
        <f t="shared" si="26"/>
        <v>0.18169934549583142</v>
      </c>
      <c r="P32" s="25">
        <f t="shared" si="26"/>
        <v>1.6001294885203381</v>
      </c>
      <c r="Q32" s="25">
        <f t="shared" si="26"/>
        <v>-0.1008150945597175</v>
      </c>
      <c r="R32" s="25">
        <f t="shared" si="26"/>
        <v>0.13741953241283841</v>
      </c>
      <c r="S32" s="25">
        <f>-S26/S25</f>
        <v>0.20432715630154286</v>
      </c>
    </row>
    <row r="33" spans="3:21" x14ac:dyDescent="0.15">
      <c r="E33" s="38" t="s">
        <v>40</v>
      </c>
      <c r="F33" s="27" t="str">
        <f>IFERROR(+F27/#REF!-1,"n/a")</f>
        <v>n/a</v>
      </c>
      <c r="G33" s="27">
        <f t="shared" ref="G33:I33" si="27">IFERROR(+G27/F27-1,"n/a")</f>
        <v>-1.7242996920631766</v>
      </c>
      <c r="H33" s="27">
        <f t="shared" si="27"/>
        <v>-1.0361420355214519</v>
      </c>
      <c r="I33" s="28">
        <f t="shared" si="27"/>
        <v>26.184977495757479</v>
      </c>
      <c r="K33" s="27" t="str">
        <f t="shared" ref="K33" si="28">IFERROR(+K27/J27-1,"n/a")</f>
        <v>n/a</v>
      </c>
      <c r="L33" s="27">
        <f t="shared" ref="L33" si="29">IFERROR(+L27/K27-1,"n/a")</f>
        <v>0.23459997972013746</v>
      </c>
      <c r="M33" s="27">
        <f t="shared" ref="M33" si="30">IFERROR(+M27/L27-1,"n/a")</f>
        <v>-0.97674657358451999</v>
      </c>
      <c r="N33" s="27">
        <f t="shared" ref="N33" si="31">IFERROR(+N27/M27-1,"n/a")</f>
        <v>-121.72273730685215</v>
      </c>
      <c r="O33" s="27">
        <f t="shared" ref="O33" si="32">IFERROR(+O27/N27-1,"n/a")</f>
        <v>3.3017038659727893</v>
      </c>
      <c r="P33" s="27">
        <f t="shared" ref="P33" si="33">IFERROR(+P27/O27-1,"n/a")</f>
        <v>-0.96926660687186794</v>
      </c>
      <c r="Q33" s="27">
        <f>IFERROR(+Q27/P27-1,"n/a")</f>
        <v>1.0883817427386071</v>
      </c>
      <c r="R33" s="27">
        <f t="shared" ref="R33" si="34">IFERROR(+R27/Q27-1,"n/a")</f>
        <v>16.102801510033753</v>
      </c>
      <c r="S33" s="27">
        <f t="shared" ref="S33" si="35">IFERROR(+S27/R27-1,"n/a")</f>
        <v>-0.94918740744871355</v>
      </c>
    </row>
    <row r="34" spans="3:21" ht="3" customHeight="1" x14ac:dyDescent="0.15"/>
    <row r="35" spans="3:21" ht="10.5" customHeight="1" x14ac:dyDescent="0.15">
      <c r="E35" s="29" t="s">
        <v>63</v>
      </c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3:21" x14ac:dyDescent="0.15">
      <c r="F36" s="16"/>
      <c r="G36" s="16"/>
      <c r="H36" s="16"/>
      <c r="I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3:21" x14ac:dyDescent="0.15">
      <c r="E37" s="8" t="s">
        <v>27</v>
      </c>
      <c r="F37" s="19">
        <v>3624.12</v>
      </c>
      <c r="G37" s="19">
        <v>-2624.9490000000001</v>
      </c>
      <c r="H37" s="19">
        <v>94.870999999999995</v>
      </c>
      <c r="I37" s="19">
        <v>2579.0659999999998</v>
      </c>
      <c r="K37" s="19">
        <v>-78.896000000000001</v>
      </c>
      <c r="L37" s="19">
        <v>-97.405000000000001</v>
      </c>
      <c r="M37" s="19">
        <v>-2.2650000000000001</v>
      </c>
      <c r="N37" s="19">
        <f>H37-SUM(K37:M37)</f>
        <v>273.43699999999995</v>
      </c>
      <c r="O37" s="19">
        <v>1176.2449999999999</v>
      </c>
      <c r="P37" s="19">
        <v>36.15</v>
      </c>
      <c r="Q37" s="19">
        <v>75.495000000000005</v>
      </c>
      <c r="R37" s="19">
        <f>I37-SUM(O37:Q37)</f>
        <v>1291.1759999999999</v>
      </c>
      <c r="S37" s="19">
        <v>65.608000000000004</v>
      </c>
    </row>
    <row r="38" spans="3:21" x14ac:dyDescent="0.15">
      <c r="C38" s="15" t="b" cm="1">
        <f t="array" ref="C38">AND(F38:I38&lt;$B$1,F38:I38&gt;-$B$1)</f>
        <v>1</v>
      </c>
      <c r="E38" s="8" t="s">
        <v>26</v>
      </c>
      <c r="F38" s="19">
        <f t="shared" ref="F38:I38" si="36">+F37-F27</f>
        <v>0</v>
      </c>
      <c r="G38" s="19">
        <f t="shared" si="36"/>
        <v>0</v>
      </c>
      <c r="H38" s="19">
        <f t="shared" si="36"/>
        <v>2.5579538487363607E-13</v>
      </c>
      <c r="I38" s="19">
        <f t="shared" si="36"/>
        <v>0</v>
      </c>
      <c r="J38" s="46"/>
      <c r="K38" s="19">
        <f t="shared" ref="K38" si="37">+K37-K27</f>
        <v>0</v>
      </c>
      <c r="L38" s="19">
        <f t="shared" ref="L38:M38" si="38">+L37-L27</f>
        <v>0</v>
      </c>
      <c r="M38" s="19">
        <f t="shared" si="38"/>
        <v>-1.7008616737257398E-13</v>
      </c>
      <c r="N38" s="19">
        <f t="shared" ref="N38" si="39">+N37-N27</f>
        <v>0</v>
      </c>
      <c r="O38" s="19">
        <f t="shared" ref="O38:P38" si="40">+O37-O27</f>
        <v>0</v>
      </c>
      <c r="P38" s="19">
        <f t="shared" si="40"/>
        <v>2.4868995751603507E-13</v>
      </c>
      <c r="Q38" s="19">
        <f t="shared" ref="Q38:S38" si="41">+Q37-Q27</f>
        <v>-1.2789769243681803E-13</v>
      </c>
      <c r="R38" s="19">
        <f t="shared" si="41"/>
        <v>0</v>
      </c>
      <c r="S38" s="19">
        <f t="shared" si="41"/>
        <v>0</v>
      </c>
    </row>
    <row r="39" spans="3:21" x14ac:dyDescent="0.15">
      <c r="F39" s="16"/>
      <c r="G39" s="16"/>
      <c r="H39" s="16"/>
      <c r="I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3:21" x14ac:dyDescent="0.15">
      <c r="E40" s="5" t="str">
        <f>Input!$E$8&amp;" - BS"</f>
        <v>COIN - BS</v>
      </c>
      <c r="I40" s="9"/>
      <c r="K40" s="9"/>
      <c r="L40" s="9"/>
      <c r="M40" s="9"/>
      <c r="N40" s="9"/>
      <c r="O40" s="9"/>
      <c r="P40" s="9"/>
      <c r="Q40" s="9"/>
      <c r="R40" s="9"/>
      <c r="S40" s="9"/>
      <c r="U40" s="34" t="s">
        <v>47</v>
      </c>
    </row>
    <row r="41" spans="3:21" x14ac:dyDescent="0.15">
      <c r="E41" s="10" t="str">
        <f>+Input!$E$14</f>
        <v>$m</v>
      </c>
      <c r="F41" s="21" t="s">
        <v>59</v>
      </c>
      <c r="G41" s="21" t="s">
        <v>60</v>
      </c>
      <c r="H41" s="21" t="s">
        <v>61</v>
      </c>
      <c r="I41" s="21" t="s">
        <v>62</v>
      </c>
      <c r="K41" s="47" t="s">
        <v>109</v>
      </c>
      <c r="L41" s="47" t="s">
        <v>28</v>
      </c>
      <c r="M41" s="47" t="s">
        <v>106</v>
      </c>
      <c r="N41" s="47" t="s">
        <v>61</v>
      </c>
      <c r="O41" s="48" t="s">
        <v>99</v>
      </c>
      <c r="P41" s="48" t="s">
        <v>29</v>
      </c>
      <c r="Q41" s="48" t="s">
        <v>100</v>
      </c>
      <c r="R41" s="48" t="s">
        <v>62</v>
      </c>
      <c r="S41" s="21" t="s">
        <v>98</v>
      </c>
      <c r="U41" s="33" t="s">
        <v>80</v>
      </c>
    </row>
    <row r="42" spans="3:21" ht="3" customHeight="1" x14ac:dyDescent="0.15"/>
    <row r="43" spans="3:21" x14ac:dyDescent="0.15">
      <c r="E43" s="13" t="s">
        <v>85</v>
      </c>
      <c r="F43" s="16">
        <v>988.19299999999998</v>
      </c>
      <c r="G43" s="16">
        <v>424.39299999999997</v>
      </c>
      <c r="H43" s="16">
        <v>330.61</v>
      </c>
      <c r="I43" s="16">
        <v>1552.9949999999999</v>
      </c>
      <c r="K43" s="16"/>
      <c r="L43" s="16"/>
      <c r="M43" s="16"/>
      <c r="N43" s="16">
        <f>H43</f>
        <v>330.61</v>
      </c>
      <c r="O43" s="16"/>
      <c r="P43" s="16"/>
      <c r="Q43" s="16"/>
      <c r="R43" s="16">
        <f>I43</f>
        <v>1552.9949999999999</v>
      </c>
      <c r="S43" s="16">
        <v>1268.001</v>
      </c>
      <c r="U43" s="25">
        <f t="shared" ref="U43:U55" si="42">IFERROR((I43/F43)^(1/3)-1,"n/a")</f>
        <v>0.16263330970848489</v>
      </c>
    </row>
    <row r="44" spans="3:21" x14ac:dyDescent="0.15">
      <c r="E44" s="13" t="s">
        <v>107</v>
      </c>
      <c r="F44" s="16">
        <f>625.758</f>
        <v>625.75800000000004</v>
      </c>
      <c r="G44" s="16">
        <f>1073.906</f>
        <v>1073.9059999999999</v>
      </c>
      <c r="H44" s="16">
        <f>1139.67</f>
        <v>1139.67</v>
      </c>
      <c r="I44" s="16">
        <f>1139.67</f>
        <v>1139.67</v>
      </c>
      <c r="K44" s="16"/>
      <c r="L44" s="16"/>
      <c r="M44" s="16"/>
      <c r="N44" s="16">
        <f>H44</f>
        <v>1139.67</v>
      </c>
      <c r="O44" s="16"/>
      <c r="P44" s="16"/>
      <c r="Q44" s="16"/>
      <c r="R44" s="16">
        <f t="shared" ref="R44:R45" si="43">I44</f>
        <v>1139.67</v>
      </c>
      <c r="S44" s="16">
        <v>1153.6210000000001</v>
      </c>
      <c r="U44" s="25">
        <f t="shared" si="42"/>
        <v>0.2212115466122897</v>
      </c>
    </row>
    <row r="45" spans="3:21" x14ac:dyDescent="0.15">
      <c r="E45" s="13" t="s">
        <v>86</v>
      </c>
      <c r="F45" s="18">
        <f>98.385+59.23+952.307+176.689</f>
        <v>1286.6110000000001</v>
      </c>
      <c r="G45" s="18">
        <f>69.357+171.853+1401.72+135.429</f>
        <v>1778.3590000000002</v>
      </c>
      <c r="H45" s="18">
        <f>1272.233+192.55+375.622+86.422</f>
        <v>1926.827</v>
      </c>
      <c r="I45" s="18">
        <f>941.298+200.08+548.451+46.804</f>
        <v>1736.633</v>
      </c>
      <c r="K45" s="18"/>
      <c r="L45" s="18"/>
      <c r="M45" s="18"/>
      <c r="N45" s="18">
        <f>H45</f>
        <v>1926.827</v>
      </c>
      <c r="O45" s="18"/>
      <c r="P45" s="18"/>
      <c r="Q45" s="18"/>
      <c r="R45" s="18">
        <f t="shared" si="43"/>
        <v>1736.633</v>
      </c>
      <c r="S45" s="18">
        <f>995.529+860.067</f>
        <v>1855.596</v>
      </c>
      <c r="U45" s="25">
        <f t="shared" si="42"/>
        <v>0.10514754450632835</v>
      </c>
    </row>
    <row r="46" spans="3:21" x14ac:dyDescent="0.15">
      <c r="E46" s="5" t="s">
        <v>87</v>
      </c>
      <c r="F46" s="17">
        <f>SUM(F43:F45)</f>
        <v>2900.5619999999999</v>
      </c>
      <c r="G46" s="17">
        <f>SUM(G43:G45)</f>
        <v>3276.6580000000004</v>
      </c>
      <c r="H46" s="17">
        <f>SUM(H43:H45)</f>
        <v>3397.107</v>
      </c>
      <c r="I46" s="17">
        <f>SUM(I43:I45)</f>
        <v>4429.2979999999998</v>
      </c>
      <c r="K46" s="17">
        <f t="shared" ref="K46:N46" si="44">SUM(K43:K45)</f>
        <v>0</v>
      </c>
      <c r="L46" s="17">
        <f t="shared" si="44"/>
        <v>0</v>
      </c>
      <c r="M46" s="17">
        <f t="shared" si="44"/>
        <v>0</v>
      </c>
      <c r="N46" s="17">
        <f t="shared" si="44"/>
        <v>3397.107</v>
      </c>
      <c r="O46" s="17">
        <f>SUM(O43:O45)</f>
        <v>0</v>
      </c>
      <c r="P46" s="17">
        <f>SUM(P43:P45)</f>
        <v>0</v>
      </c>
      <c r="Q46" s="17">
        <f t="shared" ref="Q46:S46" si="45">SUM(Q43:Q45)</f>
        <v>0</v>
      </c>
      <c r="R46" s="17">
        <f t="shared" si="45"/>
        <v>4429.2979999999998</v>
      </c>
      <c r="S46" s="17">
        <f t="shared" si="45"/>
        <v>4277.2180000000008</v>
      </c>
      <c r="U46" s="35">
        <f t="shared" si="42"/>
        <v>0.15155384322346599</v>
      </c>
    </row>
    <row r="47" spans="3:21" x14ac:dyDescent="0.15">
      <c r="E47" s="13" t="s">
        <v>30</v>
      </c>
      <c r="F47" s="16">
        <v>7123.4780000000001</v>
      </c>
      <c r="G47" s="16">
        <v>4425.0209999999997</v>
      </c>
      <c r="H47" s="16">
        <v>5139.3509999999997</v>
      </c>
      <c r="I47" s="16">
        <v>8543.9030000000002</v>
      </c>
      <c r="K47" s="16"/>
      <c r="L47" s="16"/>
      <c r="M47" s="16"/>
      <c r="N47" s="16">
        <f t="shared" ref="N47:N51" si="46">H47</f>
        <v>5139.3509999999997</v>
      </c>
      <c r="O47" s="16"/>
      <c r="P47" s="16"/>
      <c r="Q47" s="16"/>
      <c r="R47" s="16">
        <f t="shared" ref="R47:R51" si="47">I47</f>
        <v>8543.9030000000002</v>
      </c>
      <c r="S47" s="16">
        <v>8051.1689999999999</v>
      </c>
      <c r="U47" s="25">
        <f t="shared" si="42"/>
        <v>6.2481574428890241E-2</v>
      </c>
    </row>
    <row r="48" spans="3:21" x14ac:dyDescent="0.15">
      <c r="E48" s="13" t="s">
        <v>89</v>
      </c>
      <c r="F48" s="16">
        <v>100.096</v>
      </c>
      <c r="G48" s="16">
        <v>861.149</v>
      </c>
      <c r="H48" s="16">
        <v>576.02800000000002</v>
      </c>
      <c r="I48" s="16">
        <v>1241.808</v>
      </c>
      <c r="K48" s="16"/>
      <c r="L48" s="16"/>
      <c r="M48" s="16"/>
      <c r="N48" s="16">
        <f t="shared" si="46"/>
        <v>576.02800000000002</v>
      </c>
      <c r="O48" s="16"/>
      <c r="P48" s="16"/>
      <c r="Q48" s="16"/>
      <c r="R48" s="16">
        <f t="shared" si="47"/>
        <v>1241.808</v>
      </c>
      <c r="S48" s="16">
        <v>2225.0540000000001</v>
      </c>
      <c r="U48" s="25">
        <f t="shared" si="42"/>
        <v>1.3149728938807121</v>
      </c>
    </row>
    <row r="49" spans="3:21" x14ac:dyDescent="0.15">
      <c r="E49" s="13" t="s">
        <v>88</v>
      </c>
      <c r="F49" s="45" t="s">
        <v>93</v>
      </c>
      <c r="G49" s="45" t="s">
        <v>93</v>
      </c>
      <c r="H49" s="16">
        <v>74.102999999999994</v>
      </c>
      <c r="I49" s="16">
        <v>82.781000000000006</v>
      </c>
      <c r="K49" s="16"/>
      <c r="L49" s="16"/>
      <c r="M49" s="16"/>
      <c r="N49" s="16">
        <f t="shared" si="46"/>
        <v>74.102999999999994</v>
      </c>
      <c r="O49" s="16"/>
      <c r="P49" s="16"/>
      <c r="Q49" s="16"/>
      <c r="R49" s="16">
        <f t="shared" si="47"/>
        <v>82.781000000000006</v>
      </c>
      <c r="S49" s="16">
        <v>67.484999999999999</v>
      </c>
      <c r="U49" s="25" t="str">
        <f t="shared" si="42"/>
        <v>n/a</v>
      </c>
    </row>
    <row r="50" spans="3:21" x14ac:dyDescent="0.15">
      <c r="E50" s="13" t="s">
        <v>31</v>
      </c>
      <c r="F50" s="16">
        <v>304.70600000000002</v>
      </c>
      <c r="G50" s="16">
        <v>404.37599999999998</v>
      </c>
      <c r="H50" s="16">
        <f>193.425+168.29</f>
        <v>361.71500000000003</v>
      </c>
      <c r="I50" s="16">
        <f>475.37+265.251</f>
        <v>740.62099999999998</v>
      </c>
      <c r="K50" s="16"/>
      <c r="L50" s="16"/>
      <c r="M50" s="16"/>
      <c r="N50" s="16">
        <f t="shared" si="46"/>
        <v>361.71500000000003</v>
      </c>
      <c r="O50" s="16"/>
      <c r="P50" s="16"/>
      <c r="Q50" s="16"/>
      <c r="R50" s="16">
        <f t="shared" si="47"/>
        <v>740.62099999999998</v>
      </c>
      <c r="S50" s="16">
        <f>245.112+454.473</f>
        <v>699.58500000000004</v>
      </c>
      <c r="U50" s="25">
        <f t="shared" si="42"/>
        <v>0.34453363801232051</v>
      </c>
    </row>
    <row r="51" spans="3:21" x14ac:dyDescent="0.15">
      <c r="E51" s="13" t="s">
        <v>90</v>
      </c>
      <c r="F51" s="18">
        <f>18373.863-SUM(F47:F50)</f>
        <v>10845.583000000001</v>
      </c>
      <c r="G51" s="18">
        <f>86448.215-SUM(G47:G50)</f>
        <v>80757.668999999994</v>
      </c>
      <c r="H51" s="18">
        <f>11356.794-SUM(H47:H50)</f>
        <v>5205.5969999999998</v>
      </c>
      <c r="I51" s="18">
        <f>18112.653-SUM(I47:I50)</f>
        <v>7503.5399999999991</v>
      </c>
      <c r="K51" s="18"/>
      <c r="L51" s="18"/>
      <c r="M51" s="18"/>
      <c r="N51" s="18">
        <f t="shared" si="46"/>
        <v>5205.5969999999998</v>
      </c>
      <c r="O51" s="18"/>
      <c r="P51" s="18"/>
      <c r="Q51" s="18"/>
      <c r="R51" s="18">
        <f t="shared" si="47"/>
        <v>7503.5399999999991</v>
      </c>
      <c r="S51" s="18">
        <f>17453.788-SUM(S47:S50)</f>
        <v>6410.494999999999</v>
      </c>
      <c r="U51" s="25">
        <f t="shared" si="42"/>
        <v>-0.11555445256443708</v>
      </c>
    </row>
    <row r="52" spans="3:21" x14ac:dyDescent="0.15">
      <c r="E52" s="5" t="s">
        <v>32</v>
      </c>
      <c r="F52" s="17">
        <f>SUM(F47:F51)</f>
        <v>18373.863000000001</v>
      </c>
      <c r="G52" s="17">
        <f>SUM(G47:G51)</f>
        <v>86448.214999999997</v>
      </c>
      <c r="H52" s="17">
        <f>SUM(H47:H51)</f>
        <v>11356.794</v>
      </c>
      <c r="I52" s="17">
        <f>SUM(I47:I51)</f>
        <v>18112.652999999998</v>
      </c>
      <c r="K52" s="17">
        <f t="shared" ref="K52:N52" si="48">SUM(K47:K51)</f>
        <v>0</v>
      </c>
      <c r="L52" s="17">
        <f t="shared" si="48"/>
        <v>0</v>
      </c>
      <c r="M52" s="17">
        <f t="shared" si="48"/>
        <v>0</v>
      </c>
      <c r="N52" s="17">
        <f t="shared" si="48"/>
        <v>11356.794</v>
      </c>
      <c r="O52" s="17">
        <f>SUM(O47:O51)</f>
        <v>0</v>
      </c>
      <c r="P52" s="17">
        <f>SUM(P47:P51)</f>
        <v>0</v>
      </c>
      <c r="Q52" s="17">
        <f t="shared" ref="Q52:S52" si="49">SUM(Q47:Q51)</f>
        <v>0</v>
      </c>
      <c r="R52" s="17">
        <f t="shared" si="49"/>
        <v>18112.652999999998</v>
      </c>
      <c r="S52" s="17">
        <f t="shared" si="49"/>
        <v>17453.788</v>
      </c>
      <c r="U52" s="35">
        <f t="shared" si="42"/>
        <v>-4.7614318775033304E-3</v>
      </c>
    </row>
    <row r="53" spans="3:21" ht="14" thickBot="1" x14ac:dyDescent="0.2">
      <c r="E53" s="5" t="s">
        <v>33</v>
      </c>
      <c r="F53" s="20">
        <f>+F52+F46</f>
        <v>21274.425000000003</v>
      </c>
      <c r="G53" s="20">
        <f>+G52+G46</f>
        <v>89724.872999999992</v>
      </c>
      <c r="H53" s="20">
        <f>+H52+H46</f>
        <v>14753.901</v>
      </c>
      <c r="I53" s="20">
        <f>+I52+I46</f>
        <v>22541.950999999997</v>
      </c>
      <c r="K53" s="20">
        <f t="shared" ref="K53:N53" si="50">+K52+K46</f>
        <v>0</v>
      </c>
      <c r="L53" s="20">
        <f t="shared" si="50"/>
        <v>0</v>
      </c>
      <c r="M53" s="20">
        <f t="shared" si="50"/>
        <v>0</v>
      </c>
      <c r="N53" s="20">
        <f t="shared" si="50"/>
        <v>14753.901</v>
      </c>
      <c r="O53" s="20">
        <f>+O52+O46</f>
        <v>0</v>
      </c>
      <c r="P53" s="20">
        <f>+P52+P46</f>
        <v>0</v>
      </c>
      <c r="Q53" s="20">
        <f t="shared" ref="Q53:S53" si="51">+Q52+Q46</f>
        <v>0</v>
      </c>
      <c r="R53" s="20">
        <f t="shared" si="51"/>
        <v>22541.950999999997</v>
      </c>
      <c r="S53" s="20">
        <f t="shared" si="51"/>
        <v>21731.006000000001</v>
      </c>
      <c r="U53" s="35">
        <f t="shared" si="42"/>
        <v>1.9478074846015492E-2</v>
      </c>
    </row>
    <row r="54" spans="3:21" ht="3" customHeight="1" x14ac:dyDescent="0.15">
      <c r="F54" s="16"/>
      <c r="G54" s="16"/>
      <c r="H54" s="16"/>
      <c r="I54" s="16"/>
      <c r="K54" s="16"/>
      <c r="L54" s="16"/>
      <c r="M54" s="16"/>
      <c r="N54" s="16"/>
      <c r="O54" s="16"/>
      <c r="P54" s="16"/>
      <c r="Q54" s="16"/>
      <c r="R54" s="16"/>
      <c r="S54" s="16"/>
      <c r="U54" s="25" t="str">
        <f t="shared" si="42"/>
        <v>n/a</v>
      </c>
    </row>
    <row r="55" spans="3:21" x14ac:dyDescent="0.15">
      <c r="E55" s="5" t="s">
        <v>34</v>
      </c>
      <c r="F55" s="17">
        <v>6381.6890000000003</v>
      </c>
      <c r="G55" s="17">
        <v>5454.5569999999998</v>
      </c>
      <c r="H55" s="17">
        <v>6281.6490000000003</v>
      </c>
      <c r="I55" s="17">
        <v>10276.842000000001</v>
      </c>
      <c r="K55" s="17"/>
      <c r="L55" s="17"/>
      <c r="M55" s="17"/>
      <c r="N55" s="17"/>
      <c r="O55" s="17"/>
      <c r="P55" s="17"/>
      <c r="Q55" s="17"/>
      <c r="R55" s="17">
        <f>I55</f>
        <v>10276.842000000001</v>
      </c>
      <c r="S55" s="17">
        <v>10468.24</v>
      </c>
      <c r="U55" s="35">
        <f t="shared" si="42"/>
        <v>0.17212703022075493</v>
      </c>
    </row>
    <row r="56" spans="3:21" x14ac:dyDescent="0.15">
      <c r="E56" t="s">
        <v>91</v>
      </c>
      <c r="F56" s="16">
        <v>3938</v>
      </c>
      <c r="G56" s="16">
        <v>3641.3</v>
      </c>
      <c r="H56" s="16">
        <v>3046.8</v>
      </c>
      <c r="I56" s="16">
        <v>4629.6000000000004</v>
      </c>
      <c r="K56" s="16">
        <v>3499.7</v>
      </c>
      <c r="L56" s="16">
        <v>3499.7</v>
      </c>
      <c r="M56" s="16">
        <v>3203.6</v>
      </c>
      <c r="N56" s="16">
        <f>H56</f>
        <v>3046.8</v>
      </c>
      <c r="O56" s="16">
        <v>4506.6000000000004</v>
      </c>
      <c r="P56" s="16">
        <v>4465.5</v>
      </c>
      <c r="Q56" s="16">
        <v>4496.3</v>
      </c>
      <c r="R56" s="16">
        <f>I56</f>
        <v>4629.6000000000004</v>
      </c>
      <c r="S56" s="16">
        <v>4509.7</v>
      </c>
      <c r="U56" s="35"/>
    </row>
    <row r="57" spans="3:21" x14ac:dyDescent="0.15">
      <c r="E57" t="s">
        <v>108</v>
      </c>
      <c r="F57" s="16">
        <f>SUM(F47:F48)</f>
        <v>7223.5740000000005</v>
      </c>
      <c r="G57" s="16">
        <f t="shared" ref="G57:S57" si="52">SUM(G47:G48)</f>
        <v>5286.17</v>
      </c>
      <c r="H57" s="16">
        <f t="shared" si="52"/>
        <v>5715.3789999999999</v>
      </c>
      <c r="I57" s="16">
        <f t="shared" si="52"/>
        <v>9785.7109999999993</v>
      </c>
      <c r="K57" s="16">
        <f t="shared" ref="K57" si="53">SUM(K47:K48)</f>
        <v>0</v>
      </c>
      <c r="L57" s="16">
        <f t="shared" si="52"/>
        <v>0</v>
      </c>
      <c r="M57" s="16">
        <f t="shared" si="52"/>
        <v>0</v>
      </c>
      <c r="N57" s="16">
        <f t="shared" si="52"/>
        <v>5715.3789999999999</v>
      </c>
      <c r="O57" s="16">
        <f t="shared" si="52"/>
        <v>0</v>
      </c>
      <c r="P57" s="16">
        <f t="shared" si="52"/>
        <v>0</v>
      </c>
      <c r="Q57" s="16">
        <f t="shared" si="52"/>
        <v>0</v>
      </c>
      <c r="R57" s="16">
        <f t="shared" si="52"/>
        <v>9785.7109999999993</v>
      </c>
      <c r="S57" s="16">
        <f t="shared" si="52"/>
        <v>10276.223</v>
      </c>
      <c r="U57" s="35"/>
    </row>
    <row r="58" spans="3:21" x14ac:dyDescent="0.15">
      <c r="E58" s="5" t="s">
        <v>92</v>
      </c>
      <c r="F58" s="17">
        <f>+F56-F57</f>
        <v>-3285.5740000000005</v>
      </c>
      <c r="G58" s="17">
        <f t="shared" ref="G58:I58" si="54">+G56-G57</f>
        <v>-1644.87</v>
      </c>
      <c r="H58" s="17">
        <f t="shared" si="54"/>
        <v>-2668.5789999999997</v>
      </c>
      <c r="I58" s="17">
        <f t="shared" si="54"/>
        <v>-5156.110999999999</v>
      </c>
      <c r="K58" s="17">
        <f t="shared" ref="K58:L58" si="55">+K56-K57</f>
        <v>3499.7</v>
      </c>
      <c r="L58" s="17">
        <f t="shared" si="55"/>
        <v>3499.7</v>
      </c>
      <c r="M58" s="17">
        <f t="shared" ref="M58" si="56">+M56-M57</f>
        <v>3203.6</v>
      </c>
      <c r="N58" s="17">
        <f t="shared" ref="N58" si="57">+N56-N57</f>
        <v>-2668.5789999999997</v>
      </c>
      <c r="O58" s="17">
        <f t="shared" ref="O58" si="58">+O56-O57</f>
        <v>4506.6000000000004</v>
      </c>
      <c r="P58" s="17">
        <f t="shared" ref="P58" si="59">+P56-P57</f>
        <v>4465.5</v>
      </c>
      <c r="Q58" s="17">
        <f t="shared" ref="Q58" si="60">+Q56-Q57</f>
        <v>4496.3</v>
      </c>
      <c r="R58" s="17">
        <f t="shared" ref="R58" si="61">+R56-R57</f>
        <v>-5156.110999999999</v>
      </c>
      <c r="S58" s="17">
        <f t="shared" ref="S58" si="62">+S56-S57</f>
        <v>-5766.5230000000001</v>
      </c>
      <c r="U58" s="35"/>
    </row>
    <row r="59" spans="3:21" x14ac:dyDescent="0.15">
      <c r="F59" s="16"/>
      <c r="G59" s="16"/>
      <c r="H59" s="16"/>
      <c r="I59" s="16"/>
      <c r="K59" s="16"/>
      <c r="L59" s="16"/>
      <c r="M59" s="16"/>
      <c r="N59" s="16"/>
      <c r="O59" s="16"/>
      <c r="P59" s="16"/>
      <c r="Q59" s="16"/>
      <c r="R59" s="16"/>
      <c r="S59" s="16"/>
    </row>
    <row r="60" spans="3:21" x14ac:dyDescent="0.15">
      <c r="E60" s="8" t="s">
        <v>27</v>
      </c>
      <c r="F60" s="19">
        <v>21274.424999999999</v>
      </c>
      <c r="G60" s="19">
        <v>89724.873000000007</v>
      </c>
      <c r="H60" s="19">
        <v>14753.901</v>
      </c>
      <c r="I60" s="19">
        <v>22541.951000000001</v>
      </c>
      <c r="K60" s="19"/>
      <c r="L60" s="19"/>
      <c r="M60" s="19"/>
      <c r="N60" s="19">
        <f>H60</f>
        <v>14753.901</v>
      </c>
      <c r="O60" s="19"/>
      <c r="P60" s="19"/>
      <c r="Q60" s="19"/>
      <c r="R60" s="19">
        <f>I60</f>
        <v>22541.951000000001</v>
      </c>
      <c r="S60" s="19">
        <v>21731.006000000001</v>
      </c>
    </row>
    <row r="61" spans="3:21" x14ac:dyDescent="0.15">
      <c r="C61" s="15" t="b" cm="1">
        <f t="array" ref="C61">AND(F61:I61&lt;$B$1,F61:I61&gt;-$B$1)</f>
        <v>1</v>
      </c>
      <c r="E61" s="8" t="s">
        <v>26</v>
      </c>
      <c r="F61" s="19">
        <f t="shared" ref="F61:I61" si="63">+F60-F53</f>
        <v>0</v>
      </c>
      <c r="G61" s="19">
        <f t="shared" si="63"/>
        <v>0</v>
      </c>
      <c r="H61" s="19">
        <f t="shared" si="63"/>
        <v>0</v>
      </c>
      <c r="I61" s="19">
        <f t="shared" si="63"/>
        <v>0</v>
      </c>
      <c r="K61" s="19">
        <f t="shared" ref="K61" si="64">+K60-K53</f>
        <v>0</v>
      </c>
      <c r="L61" s="19">
        <f t="shared" ref="L61:M61" si="65">+L60-L53</f>
        <v>0</v>
      </c>
      <c r="M61" s="19">
        <f t="shared" si="65"/>
        <v>0</v>
      </c>
      <c r="N61" s="19">
        <f t="shared" ref="N61" si="66">+N60-N53</f>
        <v>0</v>
      </c>
      <c r="O61" s="19">
        <f t="shared" ref="O61:P61" si="67">+O60-O53</f>
        <v>0</v>
      </c>
      <c r="P61" s="19">
        <f t="shared" si="67"/>
        <v>0</v>
      </c>
      <c r="Q61" s="19">
        <f t="shared" ref="Q61:S61" si="68">+Q60-Q53</f>
        <v>0</v>
      </c>
      <c r="R61" s="19">
        <f t="shared" si="68"/>
        <v>0</v>
      </c>
      <c r="S61" s="19">
        <f t="shared" si="68"/>
        <v>0</v>
      </c>
    </row>
    <row r="62" spans="3:21" x14ac:dyDescent="0.15">
      <c r="F62" s="16"/>
      <c r="G62" s="16"/>
      <c r="H62" s="16"/>
      <c r="I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3:21" x14ac:dyDescent="0.15">
      <c r="E63" s="5" t="str">
        <f>Input!$E$8&amp;" - CF"</f>
        <v>COIN - CF</v>
      </c>
      <c r="I63" s="9"/>
      <c r="K63" s="9"/>
      <c r="L63" s="9"/>
      <c r="M63" s="9"/>
      <c r="N63" s="9"/>
      <c r="O63" s="9"/>
      <c r="P63" s="9"/>
      <c r="Q63" s="9"/>
      <c r="R63" s="9"/>
      <c r="S63" s="9"/>
      <c r="U63" s="34" t="s">
        <v>47</v>
      </c>
    </row>
    <row r="64" spans="3:21" x14ac:dyDescent="0.15">
      <c r="E64" s="10" t="str">
        <f>+Input!$E$14</f>
        <v>$m</v>
      </c>
      <c r="F64" s="21" t="s">
        <v>59</v>
      </c>
      <c r="G64" s="21" t="s">
        <v>60</v>
      </c>
      <c r="H64" s="21" t="s">
        <v>61</v>
      </c>
      <c r="I64" s="21" t="s">
        <v>62</v>
      </c>
      <c r="K64" s="47" t="s">
        <v>109</v>
      </c>
      <c r="L64" s="47" t="s">
        <v>28</v>
      </c>
      <c r="M64" s="47" t="s">
        <v>106</v>
      </c>
      <c r="N64" s="47" t="s">
        <v>61</v>
      </c>
      <c r="O64" s="48" t="s">
        <v>99</v>
      </c>
      <c r="P64" s="48" t="s">
        <v>29</v>
      </c>
      <c r="Q64" s="48" t="s">
        <v>100</v>
      </c>
      <c r="R64" s="48" t="s">
        <v>62</v>
      </c>
      <c r="S64" s="21" t="s">
        <v>98</v>
      </c>
      <c r="U64" s="33" t="s">
        <v>80</v>
      </c>
    </row>
    <row r="65" spans="5:23" ht="3" customHeight="1" x14ac:dyDescent="0.15"/>
    <row r="66" spans="5:23" x14ac:dyDescent="0.15">
      <c r="E66" s="13" t="s">
        <v>35</v>
      </c>
      <c r="F66" s="16">
        <v>4038.172</v>
      </c>
      <c r="G66" s="16">
        <v>-1585.4190000000001</v>
      </c>
      <c r="H66" s="16">
        <v>922.95100000000002</v>
      </c>
      <c r="I66" s="16">
        <v>2556.8440000000001</v>
      </c>
      <c r="K66" s="16">
        <v>463.07799999999997</v>
      </c>
      <c r="L66" s="16">
        <v>614.202</v>
      </c>
      <c r="M66" s="16">
        <f>928.137-SUM(K66:L66)</f>
        <v>-149.14300000000003</v>
      </c>
      <c r="N66" s="16">
        <f>I66-SUM(K66:M66)</f>
        <v>1628.7070000000001</v>
      </c>
      <c r="O66" s="16">
        <v>411.48500000000001</v>
      </c>
      <c r="P66" s="16">
        <f>895.682-O66</f>
        <v>484.197</v>
      </c>
      <c r="Q66" s="16">
        <f>1592.226-SUM(O66:P66)</f>
        <v>696.5440000000001</v>
      </c>
      <c r="R66" s="16">
        <f>I66-SUM(O66:Q66)</f>
        <v>964.61799999999994</v>
      </c>
      <c r="S66" s="16">
        <v>-182.727</v>
      </c>
      <c r="U66" s="25">
        <f>IFERROR((I66/F66)^(1/3)-1,"n/a")</f>
        <v>-0.14130327592383696</v>
      </c>
    </row>
    <row r="67" spans="5:23" x14ac:dyDescent="0.15">
      <c r="E67" s="13" t="s">
        <v>36</v>
      </c>
      <c r="F67" s="18">
        <v>-1124.74</v>
      </c>
      <c r="G67" s="18">
        <v>-663.822</v>
      </c>
      <c r="H67" s="18">
        <v>5.3920000000000003</v>
      </c>
      <c r="I67" s="18">
        <v>-282.38499999999999</v>
      </c>
      <c r="K67" s="18">
        <v>-26.08</v>
      </c>
      <c r="L67" s="18">
        <v>-12.754</v>
      </c>
      <c r="M67" s="18">
        <f>-85.117-SUM(K67:L67)</f>
        <v>-46.283000000000008</v>
      </c>
      <c r="N67" s="18">
        <f>I67-SUM(K67:M67)</f>
        <v>-197.26799999999997</v>
      </c>
      <c r="O67" s="18">
        <v>-125.681</v>
      </c>
      <c r="P67" s="18">
        <f>-144.292-O67</f>
        <v>-18.611000000000004</v>
      </c>
      <c r="Q67" s="18">
        <f>-232.969-SUM(O67:P67)</f>
        <v>-88.676999999999992</v>
      </c>
      <c r="R67" s="18">
        <f>I67-SUM(O67:Q67)</f>
        <v>-49.415999999999997</v>
      </c>
      <c r="S67" s="18">
        <v>-231.65299999999999</v>
      </c>
      <c r="U67" s="25">
        <f>IFERROR((I67/F67)^(1/3)-1,"n/a")</f>
        <v>-0.36914459589093829</v>
      </c>
    </row>
    <row r="68" spans="5:23" x14ac:dyDescent="0.15">
      <c r="E68" s="5" t="s">
        <v>37</v>
      </c>
      <c r="F68" s="17">
        <f t="shared" ref="F68:H68" si="69">+F66+F67</f>
        <v>2913.4319999999998</v>
      </c>
      <c r="G68" s="17">
        <f t="shared" si="69"/>
        <v>-2249.241</v>
      </c>
      <c r="H68" s="17">
        <f t="shared" si="69"/>
        <v>928.34300000000007</v>
      </c>
      <c r="I68" s="17">
        <f>+I66+I67</f>
        <v>2274.4589999999998</v>
      </c>
      <c r="K68" s="17">
        <f t="shared" ref="K68:N68" si="70">+K66+K67</f>
        <v>436.99799999999999</v>
      </c>
      <c r="L68" s="17">
        <f t="shared" si="70"/>
        <v>601.44799999999998</v>
      </c>
      <c r="M68" s="17">
        <f t="shared" si="70"/>
        <v>-195.42600000000004</v>
      </c>
      <c r="N68" s="17">
        <f t="shared" si="70"/>
        <v>1431.4390000000001</v>
      </c>
      <c r="O68" s="17">
        <f>+O66+O67</f>
        <v>285.80400000000003</v>
      </c>
      <c r="P68" s="17">
        <f>+P66+P67</f>
        <v>465.58600000000001</v>
      </c>
      <c r="Q68" s="17">
        <f t="shared" ref="Q68:S68" si="71">+Q66+Q67</f>
        <v>607.86700000000008</v>
      </c>
      <c r="R68" s="17">
        <f t="shared" si="71"/>
        <v>915.202</v>
      </c>
      <c r="S68" s="17">
        <f t="shared" si="71"/>
        <v>-414.38</v>
      </c>
      <c r="U68" s="35">
        <f>IFERROR((I68/F68)^(1/3)-1,"n/a")</f>
        <v>-7.9216046658247219E-2</v>
      </c>
    </row>
    <row r="69" spans="5:23" x14ac:dyDescent="0.15">
      <c r="E69" s="13" t="s">
        <v>112</v>
      </c>
      <c r="F69" s="16">
        <v>9976.0840000000007</v>
      </c>
      <c r="G69" s="16">
        <v>-5838.518</v>
      </c>
      <c r="H69" s="16">
        <v>-811.33199999999999</v>
      </c>
      <c r="I69" s="16">
        <v>2828.9209999999998</v>
      </c>
      <c r="K69" s="16">
        <v>460.12900000000002</v>
      </c>
      <c r="L69" s="16">
        <v>-1142.2629999999999</v>
      </c>
      <c r="M69" s="16">
        <f>-1734.128-SUM(K69:L69)</f>
        <v>-1051.9940000000001</v>
      </c>
      <c r="N69" s="16">
        <f>I69-SUM(K69:M69)</f>
        <v>4563.049</v>
      </c>
      <c r="O69" s="16">
        <v>1927.721</v>
      </c>
      <c r="P69" s="16">
        <f>993.988-O69</f>
        <v>-933.73299999999995</v>
      </c>
      <c r="Q69" s="16">
        <f>682.663-SUM(O69:P69)</f>
        <v>-311.32500000000005</v>
      </c>
      <c r="R69" s="16">
        <f>I69-SUM(O69:Q69)</f>
        <v>2146.2579999999998</v>
      </c>
      <c r="S69" s="16">
        <v>-893.80200000000002</v>
      </c>
      <c r="U69" s="25">
        <f>IFERROR((I69/F69)^(1/3)-1,"n/a")</f>
        <v>-0.34301784391940782</v>
      </c>
      <c r="W69" s="30" t="s">
        <v>131</v>
      </c>
    </row>
    <row r="72" spans="5:23" x14ac:dyDescent="0.15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5:23" x14ac:dyDescent="0.15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5:23" x14ac:dyDescent="0.15"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5:23" x14ac:dyDescent="0.15"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5:23" x14ac:dyDescent="0.15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3" x14ac:dyDescent="0.15"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5:23" x14ac:dyDescent="0.15"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5:23" x14ac:dyDescent="0.15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5:23" x14ac:dyDescent="0.15"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6:19" x14ac:dyDescent="0.15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6:19" x14ac:dyDescent="0.15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15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15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15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15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15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15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15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15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15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15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15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15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15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15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15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15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15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15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15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15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15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15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15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15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15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15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15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15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15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15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15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15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15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15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15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15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15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15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15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15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15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15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15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15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15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15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15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15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15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15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15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15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15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15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15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15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15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15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15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15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15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15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15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15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15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15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15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15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15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15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15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15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15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15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15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15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15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15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15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15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15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15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15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15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15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15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15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15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15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15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15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15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15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15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15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15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15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15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15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15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15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15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15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15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15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15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15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15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15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15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15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15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15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15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15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15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15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15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15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15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15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15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15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15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15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15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15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15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15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15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15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15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15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15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15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15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15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15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15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15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15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15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15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15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15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15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15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15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15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15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15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15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15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15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15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15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15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15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15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15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15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15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15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15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15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15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15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15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15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15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15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15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15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15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15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15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15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15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15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15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15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15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15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15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15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15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15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15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15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15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15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15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15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15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15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15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15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15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15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15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15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15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15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15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15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15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15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15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15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15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15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15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15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15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15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15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15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15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15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15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15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15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15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15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15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15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15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15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15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15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15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15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15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15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15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15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15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15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15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15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15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15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15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15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15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15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15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15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15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15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15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15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15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15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15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15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15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15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15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15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15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15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15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15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15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15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15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15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15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15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15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15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15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15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15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15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15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15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15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15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15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15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15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15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15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15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15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15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15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15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15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15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15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15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15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15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15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15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15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15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15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15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15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15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15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15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15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15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15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15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15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15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15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15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15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15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15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15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15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15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15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15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15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15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15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15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15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15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15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15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15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15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15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15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15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15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15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15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15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15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15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15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15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15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15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15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15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15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15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15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15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15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15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15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15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15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15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15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15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15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15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15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15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15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15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15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15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15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15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15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15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15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15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15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15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15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15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15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15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15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15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15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15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15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15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15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15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15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15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15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15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15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15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15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15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15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15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15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15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15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15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15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15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15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15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15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15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15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15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15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15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15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15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15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15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15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15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15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15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15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15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15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15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15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15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15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15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15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15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15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15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15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15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15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15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15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15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15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15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15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15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15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15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15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15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15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15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15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15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15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15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15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15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15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15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15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15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15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15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15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15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15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15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15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15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15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15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15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15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15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15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15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15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15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15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15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15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15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15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15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15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15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15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15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15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15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15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15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15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15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15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15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15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15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15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15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15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15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15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15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15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15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15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15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15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15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15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15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15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15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15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15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15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15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15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15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15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15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15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15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15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15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15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15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15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15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15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15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15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15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15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15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15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15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15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15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15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15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15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15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15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15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15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15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15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15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15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15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15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15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15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15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15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15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15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15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15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15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15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15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15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15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15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15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15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15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15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15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15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15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15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15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15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15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15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15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15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15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15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15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15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15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15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15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15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15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15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15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15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15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15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15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15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15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15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15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15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15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15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15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15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15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15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15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15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15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15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15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15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15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15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15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15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15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15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15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15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15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15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15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15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15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15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15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15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15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15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15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15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15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15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15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15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15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15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15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15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15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15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15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15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15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15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15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15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15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15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15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15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15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15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15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15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15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15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15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15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15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15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15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15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15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15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15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15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15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15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15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15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15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15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15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15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15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15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15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15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15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15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15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15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</sheetData>
  <conditionalFormatting sqref="B2">
    <cfRule type="cellIs" dxfId="2" priority="6" operator="equal">
      <formula>TRUE</formula>
    </cfRule>
  </conditionalFormatting>
  <conditionalFormatting sqref="C38">
    <cfRule type="cellIs" dxfId="1" priority="9" operator="equal">
      <formula>TRUE</formula>
    </cfRule>
  </conditionalFormatting>
  <conditionalFormatting sqref="C61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 K70:P210 S70:S210 K31:M65 K68:M68 M66:M67 M69 K20:M29" formulaRange="1"/>
    <ignoredError sqref="Q211:R221" formula="1"/>
    <ignoredError sqref="Q70:R210 S31:S69 N31:R65 Q66:Q67 Q69 N68:R68 O66:O67 O69 N20:S2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2025-05-21T22:08:18Z</dcterms:modified>
</cp:coreProperties>
</file>