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FE44177D-5C04-1E46-B38B-FC2474FB9E28}" xr6:coauthVersionLast="47" xr6:coauthVersionMax="47" xr10:uidLastSave="{00000000-0000-0000-0000-000000000000}"/>
  <bookViews>
    <workbookView xWindow="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75" i="12" l="1"/>
  <c r="R75" i="12" s="1"/>
  <c r="S75" i="12" s="1"/>
  <c r="T75" i="12" s="1"/>
  <c r="U75" i="12" s="1"/>
  <c r="Q74" i="12"/>
  <c r="R74" i="12" s="1"/>
  <c r="S74" i="12" s="1"/>
  <c r="T74" i="12" s="1"/>
  <c r="R73" i="12"/>
  <c r="S73" i="12" s="1"/>
  <c r="T73" i="12" s="1"/>
  <c r="U73" i="12" s="1"/>
  <c r="Q73" i="12"/>
  <c r="Q76" i="12" s="1"/>
  <c r="Q72" i="12"/>
  <c r="R72" i="12" s="1"/>
  <c r="R71" i="12"/>
  <c r="R76" i="12" s="1"/>
  <c r="Q71" i="12"/>
  <c r="P75" i="12"/>
  <c r="P74" i="12"/>
  <c r="P73" i="12"/>
  <c r="P72" i="12"/>
  <c r="P76" i="12" s="1"/>
  <c r="P71" i="12"/>
  <c r="U61" i="12"/>
  <c r="T61" i="12"/>
  <c r="S61" i="12"/>
  <c r="R61" i="12"/>
  <c r="Q61" i="12"/>
  <c r="P61" i="12"/>
  <c r="R70" i="12"/>
  <c r="S70" i="12" s="1"/>
  <c r="T70" i="12" s="1"/>
  <c r="U70" i="12" s="1"/>
  <c r="Q70" i="12"/>
  <c r="P70" i="12"/>
  <c r="T95" i="12"/>
  <c r="S95" i="12"/>
  <c r="R95" i="12"/>
  <c r="Q95" i="12"/>
  <c r="P95" i="12"/>
  <c r="F14" i="11"/>
  <c r="F12" i="11"/>
  <c r="M93" i="12"/>
  <c r="K93" i="12"/>
  <c r="O91" i="12"/>
  <c r="N91" i="12"/>
  <c r="M91" i="12"/>
  <c r="L91" i="12"/>
  <c r="K91" i="12"/>
  <c r="J91" i="12"/>
  <c r="I91" i="12"/>
  <c r="H91" i="12"/>
  <c r="G91" i="12"/>
  <c r="F91" i="12"/>
  <c r="O90" i="12"/>
  <c r="N90" i="12"/>
  <c r="M90" i="12"/>
  <c r="L90" i="12"/>
  <c r="K90" i="12"/>
  <c r="P90" i="12" s="1"/>
  <c r="Q90" i="12" s="1"/>
  <c r="R90" i="12" s="1"/>
  <c r="S90" i="12" s="1"/>
  <c r="T90" i="12" s="1"/>
  <c r="J90" i="12"/>
  <c r="I90" i="12"/>
  <c r="H90" i="12"/>
  <c r="G90" i="12"/>
  <c r="F90" i="12"/>
  <c r="E86" i="12"/>
  <c r="E87" i="12"/>
  <c r="O59" i="10"/>
  <c r="N59" i="10"/>
  <c r="M59" i="10"/>
  <c r="L59" i="10"/>
  <c r="K59" i="10"/>
  <c r="J59" i="10"/>
  <c r="I59" i="10"/>
  <c r="H59" i="10"/>
  <c r="G59" i="10"/>
  <c r="Q84" i="12"/>
  <c r="P84" i="12"/>
  <c r="O75" i="12"/>
  <c r="N75" i="12"/>
  <c r="M75" i="12"/>
  <c r="L75" i="12"/>
  <c r="K75" i="12"/>
  <c r="J75" i="12"/>
  <c r="I75" i="12"/>
  <c r="H75" i="12"/>
  <c r="G75" i="12"/>
  <c r="F75" i="12"/>
  <c r="O74" i="12"/>
  <c r="N74" i="12"/>
  <c r="M74" i="12"/>
  <c r="L74" i="12"/>
  <c r="X74" i="12" s="1"/>
  <c r="K74" i="12"/>
  <c r="J74" i="12"/>
  <c r="I74" i="12"/>
  <c r="H74" i="12"/>
  <c r="G74" i="12"/>
  <c r="F74" i="12"/>
  <c r="O73" i="12"/>
  <c r="N73" i="12"/>
  <c r="M73" i="12"/>
  <c r="L73" i="12"/>
  <c r="K73" i="12"/>
  <c r="J73" i="12"/>
  <c r="I73" i="12"/>
  <c r="H73" i="12"/>
  <c r="G73" i="12"/>
  <c r="F73" i="12"/>
  <c r="O72" i="12"/>
  <c r="N72" i="12"/>
  <c r="O80" i="12" s="1"/>
  <c r="M72" i="12"/>
  <c r="L72" i="12"/>
  <c r="K72" i="12"/>
  <c r="J72" i="12"/>
  <c r="I72" i="12"/>
  <c r="H72" i="12"/>
  <c r="I80" i="12" s="1"/>
  <c r="G72" i="12"/>
  <c r="H80" i="12" s="1"/>
  <c r="F72" i="12"/>
  <c r="G80" i="12" s="1"/>
  <c r="O71" i="12"/>
  <c r="N71" i="12"/>
  <c r="M71" i="12"/>
  <c r="L71" i="12"/>
  <c r="K71" i="12"/>
  <c r="J71" i="12"/>
  <c r="I71" i="12"/>
  <c r="H71" i="12"/>
  <c r="G71" i="12"/>
  <c r="F71" i="12"/>
  <c r="W71" i="12" s="1"/>
  <c r="O69" i="12"/>
  <c r="N69" i="12"/>
  <c r="M69" i="12"/>
  <c r="L69" i="12"/>
  <c r="X69" i="12" s="1"/>
  <c r="K69" i="12"/>
  <c r="J69" i="12"/>
  <c r="I69" i="12"/>
  <c r="H69" i="12"/>
  <c r="G69" i="12"/>
  <c r="F69" i="12"/>
  <c r="O68" i="12"/>
  <c r="N68" i="12"/>
  <c r="M68" i="12"/>
  <c r="L68" i="12"/>
  <c r="K68" i="12"/>
  <c r="J68" i="12"/>
  <c r="I68" i="12"/>
  <c r="H68" i="12"/>
  <c r="G68" i="12"/>
  <c r="F68" i="12"/>
  <c r="O64" i="12"/>
  <c r="N64" i="12"/>
  <c r="M64" i="12"/>
  <c r="L64" i="12"/>
  <c r="K64" i="12"/>
  <c r="J64" i="12"/>
  <c r="I64" i="12"/>
  <c r="H64" i="12"/>
  <c r="G64" i="12"/>
  <c r="F64" i="12"/>
  <c r="O63" i="12"/>
  <c r="N63" i="12"/>
  <c r="M63" i="12"/>
  <c r="L63" i="12"/>
  <c r="K63" i="12"/>
  <c r="J63" i="12"/>
  <c r="I63" i="12"/>
  <c r="H63" i="12"/>
  <c r="G63" i="12"/>
  <c r="F63" i="12"/>
  <c r="O62" i="12"/>
  <c r="N62" i="12"/>
  <c r="M62" i="12"/>
  <c r="L62" i="12"/>
  <c r="K62" i="12"/>
  <c r="J62" i="12"/>
  <c r="I62" i="12"/>
  <c r="H62" i="12"/>
  <c r="G62" i="12"/>
  <c r="F62" i="12"/>
  <c r="O61" i="12"/>
  <c r="N61" i="12"/>
  <c r="M61" i="12"/>
  <c r="L61" i="12"/>
  <c r="K61" i="12"/>
  <c r="J61" i="12"/>
  <c r="I61" i="12"/>
  <c r="H61" i="12"/>
  <c r="G61" i="12"/>
  <c r="F61" i="12"/>
  <c r="O59" i="12"/>
  <c r="N59" i="12"/>
  <c r="M59" i="12"/>
  <c r="L59" i="12"/>
  <c r="K59" i="12"/>
  <c r="J59" i="12"/>
  <c r="I59" i="12"/>
  <c r="H59" i="12"/>
  <c r="G59" i="12"/>
  <c r="F59" i="12"/>
  <c r="O58" i="12"/>
  <c r="Y58" i="12" s="1"/>
  <c r="N58" i="12"/>
  <c r="N93" i="12" s="1"/>
  <c r="M58" i="12"/>
  <c r="L58" i="12"/>
  <c r="L93" i="12" s="1"/>
  <c r="K58" i="12"/>
  <c r="K60" i="12" s="1"/>
  <c r="K96" i="12" s="1"/>
  <c r="J58" i="12"/>
  <c r="J93" i="12" s="1"/>
  <c r="I58" i="12"/>
  <c r="I93" i="12" s="1"/>
  <c r="H58" i="12"/>
  <c r="H93" i="12" s="1"/>
  <c r="G58" i="12"/>
  <c r="G93" i="12" s="1"/>
  <c r="F58" i="12"/>
  <c r="F93" i="12" s="1"/>
  <c r="Y69" i="12"/>
  <c r="E56" i="12"/>
  <c r="E55" i="12"/>
  <c r="F32" i="4"/>
  <c r="O26" i="10"/>
  <c r="N26" i="10"/>
  <c r="M26" i="10"/>
  <c r="L26" i="10"/>
  <c r="K26" i="10"/>
  <c r="J26" i="10"/>
  <c r="I26" i="10"/>
  <c r="H26" i="10"/>
  <c r="G26" i="10"/>
  <c r="F26" i="10"/>
  <c r="K30" i="11"/>
  <c r="G27" i="11"/>
  <c r="H27" i="11" s="1"/>
  <c r="I27" i="11" s="1"/>
  <c r="F28" i="11"/>
  <c r="G28" i="11" s="1"/>
  <c r="H28" i="11" s="1"/>
  <c r="F27" i="11"/>
  <c r="F26" i="11"/>
  <c r="G26" i="11" s="1"/>
  <c r="F25" i="11"/>
  <c r="G25" i="11" s="1"/>
  <c r="H25" i="11" s="1"/>
  <c r="I25" i="11" s="1"/>
  <c r="J25" i="11" s="1"/>
  <c r="K25" i="11" s="1"/>
  <c r="S72" i="12" l="1"/>
  <c r="R84" i="12"/>
  <c r="R80" i="12"/>
  <c r="S80" i="12"/>
  <c r="U74" i="12"/>
  <c r="Y74" i="12"/>
  <c r="Y73" i="12"/>
  <c r="Y75" i="12"/>
  <c r="S71" i="12"/>
  <c r="Q80" i="12"/>
  <c r="P80" i="12"/>
  <c r="O96" i="12"/>
  <c r="I60" i="12"/>
  <c r="I96" i="12" s="1"/>
  <c r="J80" i="12"/>
  <c r="L80" i="12"/>
  <c r="O93" i="12"/>
  <c r="L89" i="12"/>
  <c r="L92" i="12" s="1"/>
  <c r="J89" i="12"/>
  <c r="J92" i="12" s="1"/>
  <c r="L84" i="12"/>
  <c r="F60" i="12"/>
  <c r="N60" i="12"/>
  <c r="J70" i="12"/>
  <c r="M60" i="12"/>
  <c r="N89" i="12" s="1"/>
  <c r="N92" i="12" s="1"/>
  <c r="N80" i="12"/>
  <c r="R77" i="12"/>
  <c r="R79" i="12" s="1"/>
  <c r="G70" i="12"/>
  <c r="W69" i="12"/>
  <c r="K80" i="12"/>
  <c r="W74" i="12"/>
  <c r="Q77" i="12"/>
  <c r="Q79" i="12" s="1"/>
  <c r="K70" i="12"/>
  <c r="X72" i="12"/>
  <c r="F65" i="12"/>
  <c r="F66" i="12" s="1"/>
  <c r="W75" i="12"/>
  <c r="I84" i="12"/>
  <c r="P77" i="12"/>
  <c r="P79" i="12" s="1"/>
  <c r="M80" i="12"/>
  <c r="W64" i="12"/>
  <c r="G60" i="12"/>
  <c r="H89" i="12" s="1"/>
  <c r="H92" i="12" s="1"/>
  <c r="X64" i="12"/>
  <c r="L65" i="12"/>
  <c r="F84" i="12"/>
  <c r="O65" i="12"/>
  <c r="W68" i="12"/>
  <c r="G84" i="12"/>
  <c r="W72" i="12"/>
  <c r="J60" i="12"/>
  <c r="K89" i="12" s="1"/>
  <c r="K92" i="12" s="1"/>
  <c r="F83" i="12"/>
  <c r="N83" i="12"/>
  <c r="N76" i="12"/>
  <c r="O60" i="12"/>
  <c r="G65" i="12"/>
  <c r="K83" i="12"/>
  <c r="H65" i="12"/>
  <c r="F76" i="12"/>
  <c r="X73" i="12"/>
  <c r="N70" i="12"/>
  <c r="X71" i="12"/>
  <c r="N84" i="12"/>
  <c r="X58" i="12"/>
  <c r="X61" i="12"/>
  <c r="O70" i="12"/>
  <c r="Y70" i="12" s="1"/>
  <c r="O84" i="12"/>
  <c r="H60" i="12"/>
  <c r="G76" i="12"/>
  <c r="G77" i="12" s="1"/>
  <c r="G79" i="12" s="1"/>
  <c r="Y68" i="12"/>
  <c r="I65" i="12"/>
  <c r="G83" i="12"/>
  <c r="O83" i="12"/>
  <c r="K65" i="12"/>
  <c r="K66" i="12" s="1"/>
  <c r="L76" i="12"/>
  <c r="F70" i="12"/>
  <c r="W58" i="12"/>
  <c r="W73" i="12"/>
  <c r="L60" i="12"/>
  <c r="M89" i="12" s="1"/>
  <c r="M92" i="12" s="1"/>
  <c r="J65" i="12"/>
  <c r="J84" i="12"/>
  <c r="X63" i="12"/>
  <c r="X75" i="12"/>
  <c r="L83" i="12"/>
  <c r="H83" i="12"/>
  <c r="I83" i="12"/>
  <c r="M83" i="12"/>
  <c r="K76" i="12"/>
  <c r="M84" i="12"/>
  <c r="H84" i="12"/>
  <c r="K84" i="12"/>
  <c r="H76" i="12"/>
  <c r="M76" i="12"/>
  <c r="M77" i="12" s="1"/>
  <c r="J76" i="12"/>
  <c r="J83" i="12"/>
  <c r="I76" i="12"/>
  <c r="L70" i="12"/>
  <c r="H70" i="12"/>
  <c r="M70" i="12"/>
  <c r="W70" i="12"/>
  <c r="I70" i="12"/>
  <c r="X68" i="12"/>
  <c r="M65" i="12"/>
  <c r="W62" i="12"/>
  <c r="W61" i="12"/>
  <c r="X62" i="12"/>
  <c r="N65" i="12"/>
  <c r="N66" i="12" s="1"/>
  <c r="W63" i="12"/>
  <c r="Y61" i="12"/>
  <c r="X59" i="12"/>
  <c r="Y59" i="12"/>
  <c r="W59" i="12"/>
  <c r="O76" i="12"/>
  <c r="G29" i="11"/>
  <c r="G31" i="11" s="1"/>
  <c r="H26" i="11"/>
  <c r="I26" i="11" s="1"/>
  <c r="J26" i="11" s="1"/>
  <c r="K26" i="11" s="1"/>
  <c r="F29" i="11"/>
  <c r="F31" i="11" s="1"/>
  <c r="F32" i="11" s="1"/>
  <c r="I28" i="11"/>
  <c r="J28" i="11" s="1"/>
  <c r="K28" i="11" s="1"/>
  <c r="H29" i="11"/>
  <c r="H31" i="11" s="1"/>
  <c r="J27" i="11"/>
  <c r="E19" i="11"/>
  <c r="E20" i="11"/>
  <c r="S76" i="12" l="1"/>
  <c r="S77" i="12" s="1"/>
  <c r="S79" i="12" s="1"/>
  <c r="T71" i="12"/>
  <c r="T72" i="12"/>
  <c r="S84" i="12"/>
  <c r="T80" i="12"/>
  <c r="K77" i="12"/>
  <c r="J66" i="12"/>
  <c r="G96" i="12"/>
  <c r="I66" i="12"/>
  <c r="X60" i="12"/>
  <c r="M96" i="12"/>
  <c r="L96" i="12"/>
  <c r="O89" i="12"/>
  <c r="O92" i="12" s="1"/>
  <c r="N96" i="12"/>
  <c r="J96" i="12"/>
  <c r="I89" i="12"/>
  <c r="I92" i="12" s="1"/>
  <c r="H96" i="12"/>
  <c r="G89" i="12"/>
  <c r="G92" i="12" s="1"/>
  <c r="F96" i="12"/>
  <c r="J77" i="12"/>
  <c r="J79" i="12" s="1"/>
  <c r="M66" i="12"/>
  <c r="L66" i="12"/>
  <c r="W60" i="12"/>
  <c r="N77" i="12"/>
  <c r="N79" i="12"/>
  <c r="X70" i="12"/>
  <c r="K79" i="12"/>
  <c r="M79" i="12"/>
  <c r="G66" i="12"/>
  <c r="P89" i="12"/>
  <c r="F77" i="12"/>
  <c r="F79" i="12" s="1"/>
  <c r="X65" i="12"/>
  <c r="W65" i="12"/>
  <c r="O66" i="12"/>
  <c r="X66" i="12" s="1"/>
  <c r="H66" i="12"/>
  <c r="I77" i="12"/>
  <c r="I79" i="12" s="1"/>
  <c r="L77" i="12"/>
  <c r="L79" i="12" s="1"/>
  <c r="H77" i="12"/>
  <c r="H79" i="12" s="1"/>
  <c r="X76" i="12"/>
  <c r="W76" i="12"/>
  <c r="W66" i="12"/>
  <c r="O77" i="12"/>
  <c r="O79" i="12" s="1"/>
  <c r="G32" i="11"/>
  <c r="K27" i="11"/>
  <c r="K29" i="11" s="1"/>
  <c r="K31" i="11" s="1"/>
  <c r="J29" i="11"/>
  <c r="J31" i="11" s="1"/>
  <c r="I29" i="11"/>
  <c r="I31" i="11" s="1"/>
  <c r="P38" i="12"/>
  <c r="Y34" i="12"/>
  <c r="Y21" i="12"/>
  <c r="Y17" i="12"/>
  <c r="Y16" i="12"/>
  <c r="Y14" i="12"/>
  <c r="Y13" i="12"/>
  <c r="Y12" i="12"/>
  <c r="B3" i="12"/>
  <c r="U90" i="12" s="1"/>
  <c r="G16" i="4"/>
  <c r="H16" i="4" s="1"/>
  <c r="I16" i="4" s="1"/>
  <c r="J16" i="4" s="1"/>
  <c r="O24" i="12"/>
  <c r="E46" i="12"/>
  <c r="O44" i="12"/>
  <c r="N44" i="12"/>
  <c r="N49" i="12" s="1"/>
  <c r="M44" i="12"/>
  <c r="M49" i="12" s="1"/>
  <c r="L44" i="12"/>
  <c r="L49" i="12" s="1"/>
  <c r="K44" i="12"/>
  <c r="K49" i="12" s="1"/>
  <c r="J44" i="12"/>
  <c r="J49" i="12" s="1"/>
  <c r="I44" i="12"/>
  <c r="I49" i="12" s="1"/>
  <c r="H44" i="12"/>
  <c r="H49" i="12" s="1"/>
  <c r="G44" i="12"/>
  <c r="G49" i="12" s="1"/>
  <c r="F44" i="12"/>
  <c r="F49" i="12" s="1"/>
  <c r="O43" i="12"/>
  <c r="N43" i="12"/>
  <c r="N48" i="12" s="1"/>
  <c r="M43" i="12"/>
  <c r="M48" i="12" s="1"/>
  <c r="L43" i="12"/>
  <c r="L48" i="12" s="1"/>
  <c r="K43" i="12"/>
  <c r="K48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F21" i="4" s="1"/>
  <c r="G21" i="4" s="1"/>
  <c r="H21" i="4" s="1"/>
  <c r="I21" i="4" s="1"/>
  <c r="J21" i="4" s="1"/>
  <c r="N42" i="12"/>
  <c r="N47" i="12" s="1"/>
  <c r="M42" i="12"/>
  <c r="M47" i="12" s="1"/>
  <c r="L42" i="12"/>
  <c r="K42" i="12"/>
  <c r="K47" i="12" s="1"/>
  <c r="J42" i="12"/>
  <c r="J47" i="12" s="1"/>
  <c r="I42" i="12"/>
  <c r="I47" i="12" s="1"/>
  <c r="H42" i="12"/>
  <c r="H47" i="12" s="1"/>
  <c r="G42" i="12"/>
  <c r="G47" i="12" s="1"/>
  <c r="F42" i="12"/>
  <c r="F47" i="12" s="1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E31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P18" i="12" s="1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3" i="12"/>
  <c r="O51" i="10"/>
  <c r="R51" i="10" s="1"/>
  <c r="E8" i="11"/>
  <c r="E9" i="11"/>
  <c r="D5" i="11"/>
  <c r="D3" i="11"/>
  <c r="F101" i="10"/>
  <c r="F93" i="10"/>
  <c r="G101" i="10"/>
  <c r="H101" i="10"/>
  <c r="I101" i="10"/>
  <c r="G93" i="10"/>
  <c r="H93" i="10"/>
  <c r="H102" i="10" s="1"/>
  <c r="H104" i="10" s="1"/>
  <c r="I93" i="10"/>
  <c r="F54" i="10"/>
  <c r="F53" i="10"/>
  <c r="G50" i="10"/>
  <c r="G53" i="10"/>
  <c r="G54" i="10"/>
  <c r="F52" i="10"/>
  <c r="G52" i="10"/>
  <c r="F51" i="10"/>
  <c r="G51" i="10"/>
  <c r="F50" i="10"/>
  <c r="F43" i="10"/>
  <c r="F44" i="10" s="1"/>
  <c r="G43" i="10"/>
  <c r="F38" i="10"/>
  <c r="G38" i="10"/>
  <c r="G39" i="10" s="1"/>
  <c r="H54" i="10"/>
  <c r="H52" i="10"/>
  <c r="I52" i="10"/>
  <c r="I54" i="10"/>
  <c r="H53" i="10"/>
  <c r="I53" i="10"/>
  <c r="H51" i="10"/>
  <c r="I51" i="10"/>
  <c r="H50" i="10"/>
  <c r="I50" i="10"/>
  <c r="H43" i="10"/>
  <c r="H44" i="10" s="1"/>
  <c r="I43" i="10"/>
  <c r="I44" i="10" s="1"/>
  <c r="H38" i="10"/>
  <c r="H39" i="10" s="1"/>
  <c r="I38" i="10"/>
  <c r="J54" i="10"/>
  <c r="K54" i="10"/>
  <c r="J53" i="10"/>
  <c r="K53" i="10"/>
  <c r="J52" i="10"/>
  <c r="K52" i="10"/>
  <c r="J51" i="10"/>
  <c r="K51" i="10"/>
  <c r="J50" i="10"/>
  <c r="K50" i="10"/>
  <c r="J43" i="10"/>
  <c r="K43" i="10"/>
  <c r="K44" i="10" s="1"/>
  <c r="J38" i="10"/>
  <c r="J39" i="10" s="1"/>
  <c r="K38" i="10"/>
  <c r="K39" i="10" s="1"/>
  <c r="Q14" i="10"/>
  <c r="Q95" i="10"/>
  <c r="R100" i="10"/>
  <c r="Q100" i="10"/>
  <c r="R99" i="10"/>
  <c r="Q99" i="10"/>
  <c r="R98" i="10"/>
  <c r="Q98" i="10"/>
  <c r="R97" i="10"/>
  <c r="Q97" i="10"/>
  <c r="R96" i="10"/>
  <c r="Q96" i="10"/>
  <c r="R95" i="10"/>
  <c r="R94" i="10"/>
  <c r="Q94" i="10"/>
  <c r="R85" i="10"/>
  <c r="Q85" i="10"/>
  <c r="R84" i="10"/>
  <c r="Q84" i="10"/>
  <c r="R83" i="10"/>
  <c r="Q83" i="10"/>
  <c r="R82" i="10"/>
  <c r="Q82" i="10"/>
  <c r="R73" i="10"/>
  <c r="Q73" i="10"/>
  <c r="R71" i="10"/>
  <c r="Q71" i="10"/>
  <c r="R48" i="10"/>
  <c r="Q48" i="10"/>
  <c r="R47" i="10"/>
  <c r="Q47" i="10"/>
  <c r="R46" i="10"/>
  <c r="Q46" i="10"/>
  <c r="R42" i="10"/>
  <c r="Q42" i="10"/>
  <c r="R41" i="10"/>
  <c r="Q41" i="10"/>
  <c r="R40" i="10"/>
  <c r="Q40" i="10"/>
  <c r="R81" i="10"/>
  <c r="Q81" i="10"/>
  <c r="R70" i="10"/>
  <c r="Q70" i="10"/>
  <c r="R37" i="10"/>
  <c r="Q37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2" i="10"/>
  <c r="F104" i="10" s="1"/>
  <c r="F86" i="10"/>
  <c r="F88" i="10" s="1"/>
  <c r="F72" i="10"/>
  <c r="F49" i="10"/>
  <c r="F39" i="10"/>
  <c r="F18" i="10"/>
  <c r="F15" i="10"/>
  <c r="J101" i="10"/>
  <c r="K101" i="10"/>
  <c r="L101" i="10"/>
  <c r="J93" i="10"/>
  <c r="K93" i="10"/>
  <c r="L93" i="10"/>
  <c r="K86" i="10"/>
  <c r="K88" i="10" s="1"/>
  <c r="J86" i="10"/>
  <c r="J88" i="10" s="1"/>
  <c r="I86" i="10"/>
  <c r="I88" i="10" s="1"/>
  <c r="H86" i="10"/>
  <c r="H88" i="10" s="1"/>
  <c r="G86" i="10"/>
  <c r="G88" i="10" s="1"/>
  <c r="O86" i="10"/>
  <c r="O88" i="10" s="1"/>
  <c r="N86" i="10"/>
  <c r="N88" i="10" s="1"/>
  <c r="M86" i="10"/>
  <c r="M88" i="10" s="1"/>
  <c r="L86" i="10"/>
  <c r="L88" i="10" s="1"/>
  <c r="L54" i="10"/>
  <c r="M54" i="10"/>
  <c r="L53" i="10"/>
  <c r="M53" i="10"/>
  <c r="L52" i="10"/>
  <c r="M52" i="10"/>
  <c r="L51" i="10"/>
  <c r="M51" i="10"/>
  <c r="L43" i="10"/>
  <c r="L44" i="10" s="1"/>
  <c r="M43" i="10"/>
  <c r="M44" i="10" s="1"/>
  <c r="L38" i="10"/>
  <c r="L39" i="10" s="1"/>
  <c r="M38" i="10"/>
  <c r="M39" i="10" s="1"/>
  <c r="M101" i="10"/>
  <c r="N101" i="10"/>
  <c r="O101" i="10"/>
  <c r="M93" i="10"/>
  <c r="N93" i="10"/>
  <c r="O93" i="10"/>
  <c r="Q93" i="10" s="1"/>
  <c r="E90" i="10"/>
  <c r="E91" i="10"/>
  <c r="E78" i="10"/>
  <c r="E79" i="10"/>
  <c r="L15" i="10"/>
  <c r="L25" i="10" s="1"/>
  <c r="I15" i="10"/>
  <c r="I25" i="10" s="1"/>
  <c r="H15" i="10"/>
  <c r="H25" i="10" s="1"/>
  <c r="G15" i="10"/>
  <c r="G25" i="10" s="1"/>
  <c r="E68" i="10"/>
  <c r="E35" i="10"/>
  <c r="E9" i="10"/>
  <c r="N72" i="10"/>
  <c r="M72" i="10"/>
  <c r="L72" i="10"/>
  <c r="K72" i="10"/>
  <c r="J72" i="10"/>
  <c r="I72" i="10"/>
  <c r="H72" i="10"/>
  <c r="G72" i="10"/>
  <c r="O72" i="10"/>
  <c r="O24" i="10"/>
  <c r="N24" i="10"/>
  <c r="M24" i="10"/>
  <c r="L24" i="10"/>
  <c r="K24" i="10"/>
  <c r="J24" i="10"/>
  <c r="I24" i="10"/>
  <c r="H24" i="10"/>
  <c r="E67" i="10"/>
  <c r="N54" i="10"/>
  <c r="O54" i="10"/>
  <c r="Q54" i="10" s="1"/>
  <c r="N53" i="10"/>
  <c r="O53" i="10"/>
  <c r="R53" i="10" s="1"/>
  <c r="N52" i="10"/>
  <c r="O52" i="10"/>
  <c r="N51" i="10"/>
  <c r="N50" i="10"/>
  <c r="O50" i="10"/>
  <c r="R50" i="10" s="1"/>
  <c r="M49" i="10"/>
  <c r="L49" i="10"/>
  <c r="K49" i="10"/>
  <c r="J49" i="10"/>
  <c r="I49" i="10"/>
  <c r="H49" i="10"/>
  <c r="G49" i="10"/>
  <c r="N49" i="10"/>
  <c r="O49" i="10"/>
  <c r="F17" i="11" s="1"/>
  <c r="J44" i="10"/>
  <c r="G44" i="10"/>
  <c r="N43" i="10"/>
  <c r="N44" i="10" s="1"/>
  <c r="O43" i="10"/>
  <c r="O44" i="10" s="1"/>
  <c r="I39" i="10"/>
  <c r="N38" i="10"/>
  <c r="N39" i="10" s="1"/>
  <c r="O38" i="10"/>
  <c r="O39" i="10" s="1"/>
  <c r="E34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T84" i="12" l="1"/>
  <c r="U72" i="12"/>
  <c r="U84" i="12" s="1"/>
  <c r="Y72" i="12"/>
  <c r="T76" i="12"/>
  <c r="U71" i="12"/>
  <c r="U76" i="12" s="1"/>
  <c r="U77" i="12" s="1"/>
  <c r="U79" i="12" s="1"/>
  <c r="Y71" i="12"/>
  <c r="P96" i="12"/>
  <c r="W42" i="12"/>
  <c r="K53" i="12"/>
  <c r="P42" i="12"/>
  <c r="K51" i="12"/>
  <c r="X42" i="12"/>
  <c r="X77" i="12"/>
  <c r="W77" i="12"/>
  <c r="F13" i="11"/>
  <c r="R39" i="10"/>
  <c r="Q101" i="10"/>
  <c r="R44" i="10"/>
  <c r="I102" i="10"/>
  <c r="I104" i="10" s="1"/>
  <c r="O49" i="12"/>
  <c r="X49" i="12" s="1"/>
  <c r="F23" i="4"/>
  <c r="G23" i="4" s="1"/>
  <c r="H23" i="4" s="1"/>
  <c r="I23" i="4" s="1"/>
  <c r="J23" i="4" s="1"/>
  <c r="W44" i="12"/>
  <c r="L53" i="12"/>
  <c r="O47" i="12"/>
  <c r="O51" i="12" s="1"/>
  <c r="H51" i="12"/>
  <c r="X43" i="12"/>
  <c r="F22" i="4"/>
  <c r="G22" i="4" s="1"/>
  <c r="H22" i="4" s="1"/>
  <c r="I22" i="4" s="1"/>
  <c r="J22" i="4" s="1"/>
  <c r="M53" i="12"/>
  <c r="Q42" i="12"/>
  <c r="H32" i="11"/>
  <c r="U52" i="12"/>
  <c r="K23" i="11"/>
  <c r="Q38" i="12"/>
  <c r="R38" i="12" s="1"/>
  <c r="S38" i="12" s="1"/>
  <c r="T38" i="12" s="1"/>
  <c r="Q18" i="12"/>
  <c r="R18" i="12" s="1"/>
  <c r="S18" i="12" s="1"/>
  <c r="T18" i="12" s="1"/>
  <c r="H53" i="12"/>
  <c r="J51" i="12"/>
  <c r="N53" i="12"/>
  <c r="N51" i="12"/>
  <c r="K52" i="12"/>
  <c r="D4" i="12"/>
  <c r="U53" i="12"/>
  <c r="D4" i="11"/>
  <c r="M52" i="12"/>
  <c r="L52" i="12"/>
  <c r="N52" i="12"/>
  <c r="G52" i="12"/>
  <c r="H52" i="12"/>
  <c r="I52" i="12"/>
  <c r="J52" i="12"/>
  <c r="O48" i="12"/>
  <c r="X48" i="12" s="1"/>
  <c r="X44" i="12"/>
  <c r="I51" i="12"/>
  <c r="G53" i="12"/>
  <c r="L47" i="12"/>
  <c r="M51" i="12" s="1"/>
  <c r="J53" i="12"/>
  <c r="I53" i="12"/>
  <c r="W43" i="12"/>
  <c r="U51" i="12"/>
  <c r="G51" i="12"/>
  <c r="W18" i="12"/>
  <c r="N19" i="12"/>
  <c r="W15" i="12"/>
  <c r="O19" i="12"/>
  <c r="H19" i="12"/>
  <c r="H25" i="12"/>
  <c r="J19" i="12"/>
  <c r="K19" i="12"/>
  <c r="X15" i="12"/>
  <c r="G19" i="12"/>
  <c r="X18" i="12"/>
  <c r="G25" i="12"/>
  <c r="I19" i="12"/>
  <c r="N25" i="12"/>
  <c r="F19" i="12"/>
  <c r="F26" i="12" s="1"/>
  <c r="M19" i="12"/>
  <c r="L19" i="12"/>
  <c r="W39" i="12"/>
  <c r="I25" i="12"/>
  <c r="X39" i="12"/>
  <c r="J25" i="12"/>
  <c r="K25" i="12"/>
  <c r="G102" i="10"/>
  <c r="G104" i="10" s="1"/>
  <c r="R49" i="10"/>
  <c r="Q51" i="10"/>
  <c r="R54" i="10"/>
  <c r="Q18" i="10"/>
  <c r="R52" i="10"/>
  <c r="R101" i="10"/>
  <c r="R93" i="10"/>
  <c r="Q39" i="10"/>
  <c r="Q86" i="10"/>
  <c r="K102" i="10"/>
  <c r="K104" i="10" s="1"/>
  <c r="Q44" i="10"/>
  <c r="R86" i="10"/>
  <c r="Q52" i="10"/>
  <c r="Q49" i="10"/>
  <c r="Q38" i="10"/>
  <c r="R38" i="10"/>
  <c r="Q43" i="10"/>
  <c r="Q53" i="10"/>
  <c r="Q72" i="10"/>
  <c r="R43" i="10"/>
  <c r="R72" i="10"/>
  <c r="F55" i="10"/>
  <c r="G55" i="10"/>
  <c r="G56" i="10" s="1"/>
  <c r="G58" i="10" s="1"/>
  <c r="Q50" i="10"/>
  <c r="I55" i="10"/>
  <c r="I56" i="10" s="1"/>
  <c r="I58" i="10" s="1"/>
  <c r="H55" i="10"/>
  <c r="H56" i="10" s="1"/>
  <c r="H58" i="10" s="1"/>
  <c r="J55" i="10"/>
  <c r="J56" i="10" s="1"/>
  <c r="J58" i="10" s="1"/>
  <c r="K55" i="10"/>
  <c r="K56" i="10" s="1"/>
  <c r="K58" i="10" s="1"/>
  <c r="J102" i="10"/>
  <c r="J104" i="10" s="1"/>
  <c r="F45" i="10"/>
  <c r="F19" i="10"/>
  <c r="F25" i="10"/>
  <c r="L102" i="10"/>
  <c r="L104" i="10" s="1"/>
  <c r="N102" i="10"/>
  <c r="N104" i="10" s="1"/>
  <c r="M102" i="10"/>
  <c r="M104" i="10" s="1"/>
  <c r="L55" i="10"/>
  <c r="L56" i="10" s="1"/>
  <c r="L58" i="10" s="1"/>
  <c r="M55" i="10"/>
  <c r="M56" i="10" s="1"/>
  <c r="M58" i="10" s="1"/>
  <c r="O102" i="10"/>
  <c r="C88" i="10" a="1"/>
  <c r="C88" i="10" s="1"/>
  <c r="O15" i="10"/>
  <c r="N55" i="10"/>
  <c r="N56" i="10" s="1"/>
  <c r="N58" i="10" s="1"/>
  <c r="M45" i="10"/>
  <c r="I45" i="10"/>
  <c r="O55" i="10"/>
  <c r="G45" i="10"/>
  <c r="H45" i="10"/>
  <c r="J45" i="10"/>
  <c r="K45" i="10"/>
  <c r="L45" i="10"/>
  <c r="O45" i="10"/>
  <c r="R45" i="10" s="1"/>
  <c r="N45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2" i="10" s="1"/>
  <c r="M19" i="10"/>
  <c r="M22" i="10" s="1"/>
  <c r="N19" i="10"/>
  <c r="N22" i="10" s="1"/>
  <c r="A2" i="4"/>
  <c r="D4" i="10"/>
  <c r="A2" i="1"/>
  <c r="A3" i="1"/>
  <c r="A1" i="3"/>
  <c r="U80" i="12" l="1"/>
  <c r="T77" i="12"/>
  <c r="Y76" i="12"/>
  <c r="Q96" i="12"/>
  <c r="R96" i="12" s="1"/>
  <c r="S96" i="12" s="1"/>
  <c r="T96" i="12" s="1"/>
  <c r="U96" i="12" s="1"/>
  <c r="P91" i="12"/>
  <c r="P93" i="12" s="1"/>
  <c r="W49" i="12"/>
  <c r="O53" i="12"/>
  <c r="P44" i="12"/>
  <c r="Q44" i="12" s="1"/>
  <c r="R44" i="12" s="1"/>
  <c r="U18" i="12"/>
  <c r="Y18" i="12"/>
  <c r="W47" i="12"/>
  <c r="P47" i="12"/>
  <c r="Q47" i="12" s="1"/>
  <c r="P49" i="12"/>
  <c r="P43" i="12"/>
  <c r="I32" i="11"/>
  <c r="S44" i="12"/>
  <c r="R42" i="12"/>
  <c r="U38" i="12"/>
  <c r="Y38" i="12"/>
  <c r="G22" i="12"/>
  <c r="G26" i="12"/>
  <c r="L22" i="12"/>
  <c r="L26" i="12"/>
  <c r="M22" i="12"/>
  <c r="M26" i="12"/>
  <c r="J22" i="12"/>
  <c r="J26" i="12"/>
  <c r="Q43" i="12"/>
  <c r="I22" i="12"/>
  <c r="I26" i="12"/>
  <c r="H22" i="12"/>
  <c r="H26" i="12"/>
  <c r="N22" i="12"/>
  <c r="N27" i="12" s="1"/>
  <c r="N26" i="12"/>
  <c r="K22" i="12"/>
  <c r="K26" i="12"/>
  <c r="R43" i="12"/>
  <c r="S43" i="12" s="1"/>
  <c r="O22" i="12"/>
  <c r="O26" i="12"/>
  <c r="T44" i="12"/>
  <c r="Y44" i="12" s="1"/>
  <c r="O52" i="12"/>
  <c r="W48" i="12"/>
  <c r="P48" i="12"/>
  <c r="X47" i="12"/>
  <c r="L51" i="12"/>
  <c r="W19" i="12"/>
  <c r="F22" i="12"/>
  <c r="X19" i="12"/>
  <c r="O25" i="10"/>
  <c r="F30" i="4" s="1"/>
  <c r="R15" i="10"/>
  <c r="O56" i="10"/>
  <c r="R55" i="10"/>
  <c r="O104" i="10"/>
  <c r="R102" i="10"/>
  <c r="Q102" i="10"/>
  <c r="Q45" i="10"/>
  <c r="Q55" i="10"/>
  <c r="Q15" i="10"/>
  <c r="F56" i="10"/>
  <c r="F65" i="10" s="1"/>
  <c r="F22" i="10"/>
  <c r="C104" i="10" a="1"/>
  <c r="C104" i="10" s="1"/>
  <c r="O19" i="10"/>
  <c r="R19" i="10" s="1"/>
  <c r="H65" i="10"/>
  <c r="G65" i="10"/>
  <c r="I65" i="10"/>
  <c r="M65" i="10"/>
  <c r="L65" i="10"/>
  <c r="K65" i="10"/>
  <c r="J65" i="10"/>
  <c r="N65" i="10"/>
  <c r="I32" i="10"/>
  <c r="I27" i="10"/>
  <c r="N32" i="10"/>
  <c r="N27" i="10"/>
  <c r="L32" i="10"/>
  <c r="L27" i="10"/>
  <c r="J32" i="10"/>
  <c r="J27" i="10"/>
  <c r="M32" i="10"/>
  <c r="M27" i="10"/>
  <c r="H32" i="10"/>
  <c r="H27" i="10"/>
  <c r="G32" i="10"/>
  <c r="K27" i="10"/>
  <c r="A1" i="1"/>
  <c r="T79" i="12" l="1"/>
  <c r="Y77" i="12"/>
  <c r="P60" i="12"/>
  <c r="Q91" i="12"/>
  <c r="P37" i="12"/>
  <c r="K27" i="12"/>
  <c r="L27" i="12"/>
  <c r="I27" i="12"/>
  <c r="O27" i="12"/>
  <c r="M27" i="12"/>
  <c r="X22" i="12"/>
  <c r="G27" i="12"/>
  <c r="Q49" i="12"/>
  <c r="R49" i="12" s="1"/>
  <c r="S49" i="12" s="1"/>
  <c r="T49" i="12" s="1"/>
  <c r="Y49" i="12" s="1"/>
  <c r="J27" i="12"/>
  <c r="H27" i="12"/>
  <c r="P25" i="12"/>
  <c r="G30" i="4"/>
  <c r="P35" i="12"/>
  <c r="P36" i="12"/>
  <c r="J32" i="11"/>
  <c r="T42" i="12"/>
  <c r="S42" i="12"/>
  <c r="Q25" i="12"/>
  <c r="H30" i="4"/>
  <c r="Q48" i="12"/>
  <c r="R48" i="12" s="1"/>
  <c r="S48" i="12" s="1"/>
  <c r="T48" i="12" s="1"/>
  <c r="T43" i="12"/>
  <c r="Y43" i="12" s="1"/>
  <c r="G32" i="4"/>
  <c r="P26" i="12"/>
  <c r="R47" i="12"/>
  <c r="Q35" i="12"/>
  <c r="F27" i="12"/>
  <c r="W22" i="12"/>
  <c r="B2" i="12"/>
  <c r="B2" i="11"/>
  <c r="Q19" i="10"/>
  <c r="Q56" i="10"/>
  <c r="O65" i="10"/>
  <c r="F58" i="10"/>
  <c r="R56" i="10"/>
  <c r="O58" i="10"/>
  <c r="F32" i="10"/>
  <c r="F27" i="10"/>
  <c r="G27" i="10"/>
  <c r="O22" i="10"/>
  <c r="F16" i="11" s="1"/>
  <c r="C65" i="10" a="1"/>
  <c r="C65" i="10" s="1"/>
  <c r="Q36" i="12" l="1"/>
  <c r="U49" i="12"/>
  <c r="Q37" i="12"/>
  <c r="U48" i="12"/>
  <c r="Y48" i="12"/>
  <c r="P39" i="12"/>
  <c r="K32" i="11"/>
  <c r="Y42" i="12"/>
  <c r="U42" i="12"/>
  <c r="Q26" i="12"/>
  <c r="H32" i="4"/>
  <c r="R25" i="12"/>
  <c r="I30" i="4"/>
  <c r="Q39" i="12"/>
  <c r="Q11" i="12" s="1"/>
  <c r="Q15" i="12" s="1"/>
  <c r="S47" i="12"/>
  <c r="R35" i="12"/>
  <c r="R36" i="12"/>
  <c r="R37" i="12"/>
  <c r="O27" i="10"/>
  <c r="R22" i="10"/>
  <c r="Q22" i="10"/>
  <c r="O32" i="10"/>
  <c r="C32" i="10" s="1" a="1"/>
  <c r="C32" i="10" s="1"/>
  <c r="B2" i="10" s="1"/>
  <c r="J30" i="4" l="1"/>
  <c r="T25" i="12" s="1"/>
  <c r="U25" i="12" s="1"/>
  <c r="S25" i="12"/>
  <c r="P11" i="12"/>
  <c r="R26" i="12"/>
  <c r="I32" i="4"/>
  <c r="Q24" i="12"/>
  <c r="S37" i="12"/>
  <c r="S36" i="12"/>
  <c r="R39" i="12"/>
  <c r="R11" i="12" s="1"/>
  <c r="R15" i="12" s="1"/>
  <c r="T47" i="12"/>
  <c r="Y47" i="12" s="1"/>
  <c r="S35" i="12"/>
  <c r="J32" i="4" l="1"/>
  <c r="T26" i="12" s="1"/>
  <c r="U26" i="12" s="1"/>
  <c r="S26" i="12"/>
  <c r="P15" i="12"/>
  <c r="P24" i="12"/>
  <c r="U43" i="12"/>
  <c r="U36" i="12" s="1"/>
  <c r="T36" i="12"/>
  <c r="Y36" i="12" s="1"/>
  <c r="T37" i="12"/>
  <c r="Y37" i="12" s="1"/>
  <c r="U44" i="12"/>
  <c r="U37" i="12" s="1"/>
  <c r="S39" i="12"/>
  <c r="S11" i="12" s="1"/>
  <c r="S15" i="12" s="1"/>
  <c r="U47" i="12"/>
  <c r="U35" i="12" s="1"/>
  <c r="T35" i="12"/>
  <c r="Y35" i="12" s="1"/>
  <c r="R24" i="12"/>
  <c r="Q19" i="12"/>
  <c r="P63" i="12" l="1"/>
  <c r="Q63" i="12" s="1"/>
  <c r="R63" i="12" s="1"/>
  <c r="P62" i="12"/>
  <c r="P64" i="12"/>
  <c r="P19" i="12"/>
  <c r="Q20" i="12"/>
  <c r="Q22" i="12" s="1"/>
  <c r="G22" i="11" s="1"/>
  <c r="G24" i="11" s="1"/>
  <c r="G33" i="11" s="1"/>
  <c r="T39" i="12"/>
  <c r="R19" i="12"/>
  <c r="S24" i="12"/>
  <c r="U39" i="12"/>
  <c r="U11" i="12" s="1"/>
  <c r="U15" i="12" s="1"/>
  <c r="S63" i="12" l="1"/>
  <c r="P65" i="12"/>
  <c r="Q64" i="12"/>
  <c r="R64" i="12" s="1"/>
  <c r="S64" i="12" s="1"/>
  <c r="Q62" i="12"/>
  <c r="P83" i="12"/>
  <c r="T11" i="12"/>
  <c r="U24" i="12" s="1"/>
  <c r="Y39" i="12"/>
  <c r="P20" i="12"/>
  <c r="R20" i="12"/>
  <c r="R22" i="12" s="1"/>
  <c r="S19" i="12"/>
  <c r="R62" i="12" l="1"/>
  <c r="Q83" i="12"/>
  <c r="Q65" i="12"/>
  <c r="R27" i="12"/>
  <c r="H22" i="11"/>
  <c r="H24" i="11" s="1"/>
  <c r="H33" i="11" s="1"/>
  <c r="T24" i="12"/>
  <c r="T63" i="12" s="1"/>
  <c r="T15" i="12"/>
  <c r="Y15" i="12" s="1"/>
  <c r="Y11" i="12"/>
  <c r="P22" i="12"/>
  <c r="F22" i="11" s="1"/>
  <c r="F24" i="11" s="1"/>
  <c r="F33" i="11" s="1"/>
  <c r="S20" i="12"/>
  <c r="S22" i="12" s="1"/>
  <c r="U19" i="12"/>
  <c r="U63" i="12" l="1"/>
  <c r="Y63" i="12"/>
  <c r="T64" i="12"/>
  <c r="S62" i="12"/>
  <c r="R83" i="12"/>
  <c r="R65" i="12"/>
  <c r="S27" i="12"/>
  <c r="I22" i="11"/>
  <c r="I24" i="11" s="1"/>
  <c r="I33" i="11" s="1"/>
  <c r="T19" i="12"/>
  <c r="Y19" i="12" s="1"/>
  <c r="P27" i="12"/>
  <c r="Q27" i="12"/>
  <c r="U20" i="12"/>
  <c r="U22" i="12" s="1"/>
  <c r="K22" i="11" s="1"/>
  <c r="K24" i="11" s="1"/>
  <c r="K33" i="11" s="1"/>
  <c r="T62" i="12" l="1"/>
  <c r="S65" i="12"/>
  <c r="S83" i="12"/>
  <c r="U64" i="12"/>
  <c r="Y64" i="12"/>
  <c r="T20" i="12"/>
  <c r="T22" i="12" s="1"/>
  <c r="U62" i="12" l="1"/>
  <c r="T65" i="12"/>
  <c r="T83" i="12"/>
  <c r="Y62" i="12"/>
  <c r="U27" i="12"/>
  <c r="J22" i="11"/>
  <c r="J24" i="11" s="1"/>
  <c r="J33" i="11" s="1"/>
  <c r="F34" i="11" s="1"/>
  <c r="Y20" i="12"/>
  <c r="T27" i="12"/>
  <c r="Y22" i="12"/>
  <c r="P66" i="12"/>
  <c r="Q89" i="12"/>
  <c r="Q93" i="12" l="1"/>
  <c r="Y65" i="12"/>
  <c r="U65" i="12"/>
  <c r="U83" i="12"/>
  <c r="Q60" i="12" l="1"/>
  <c r="Q66" i="12" s="1"/>
  <c r="R91" i="12"/>
  <c r="R89" i="12"/>
  <c r="R93" i="12" l="1"/>
  <c r="R60" i="12" l="1"/>
  <c r="R66" i="12" s="1"/>
  <c r="S91" i="12"/>
  <c r="S89" i="12"/>
  <c r="S93" i="12" l="1"/>
  <c r="S60" i="12" l="1"/>
  <c r="S66" i="12" s="1"/>
  <c r="T91" i="12"/>
  <c r="T89" i="12"/>
  <c r="T93" i="12" l="1"/>
  <c r="T60" i="12" l="1"/>
  <c r="T66" i="12" s="1"/>
  <c r="Y66" i="12" s="1"/>
  <c r="U91" i="12"/>
  <c r="U89" i="12"/>
  <c r="U93" i="12" s="1"/>
  <c r="U60" i="12" s="1"/>
  <c r="U66" i="12" s="1"/>
  <c r="Y6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<sst xmlns="http://schemas.openxmlformats.org/spreadsheetml/2006/main" count="393" uniqueCount="181">
  <si>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</si>
  <si>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</si>
  <si>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</si>
  <si>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</si>
  <si>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</si>
  <si>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</si>
  <si>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</si>
  <si>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</si>
  <si>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</si>
  <si>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</si>
  <si>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</si>
  <si>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</si>
  <si>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</si>
  <si>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</si>
  <si>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</si>
  <si>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</si>
  <si>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</si>
  <si>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</si>
  <si>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</si>
  <si>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</si>
  <si>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</si>
  <si>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</si>
  <si>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</si>
  <si>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</si>
  <si>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</si>
  <si>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</si>
  <si>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</si>
  <si>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</si>
  <si>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</si>
  <si>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</si>
  <si>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</si>
  <si>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</si>
  <si>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</si>
  <si>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</si>
  <si>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</si>
  <si>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</si>
  <si>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</si>
  <si>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</si>
  <si>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</si>
  <si>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</si>
  <si>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</si>
  <si>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</si>
  <si>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</si>
  <si>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</si>
  <si>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</si>
  <si>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</si>
  <si>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</si>
  <si>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</si>
  <si>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</si>
  <si>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</si>
  <si>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</si>
  <si>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</si>
  <si>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</si>
  <si>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</si>
  <si>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</si>
  <si>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</si>
  <si>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</si>
  <si>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</si>
  <si>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</si>
  <si>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</si>
  <si>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</si>
  <si>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</si>
  <si>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</si>
  <si>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</si>
  <si>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</si>
  <si>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</si>
  <si>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</si>
  <si>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</si>
  <si>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</si>
  <si>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</si>
  <si>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</si>
  <si>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</si>
  <si>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</si>
  <si>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</si>
  <si>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</si>
  <si>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</si>
  <si>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</si>
  <si>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</si>
  <si>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</si>
  <si>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</si>
  <si>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</si>
  <si>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</si>
  <si>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</si>
  <si>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</si>
  <si>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</si>
  <si>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</si>
  <si>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</si>
  <si>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</si>
  <si>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</si>
  <si>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</si>
  <si>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</si>
  <si>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</si>
  <si>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</si>
  <si>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</si>
  <si>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</si>
  <si>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</si>
  <si>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</si>
  <si>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</si>
  <si>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</si>
  <si>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</si>
  <si>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</si>
  <si>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</si>
  <si>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</si>
  <si>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</si>
  <si>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</si>
  <si>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</si>
  <si>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</si>
  <si>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</si>
  <si>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</si>
  <si>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</si>
  <si>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</si>
  <si>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</si>
  <si>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</si>
  <si>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</si>
  <si>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</si>
  <si>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</si>
  <si>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</si>
  <si>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</si>
  <si>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</si>
  <si>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</si>
  <si>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</si>
  <si>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</si>
  <si>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</si>
  <si>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</si>
  <si>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</si>
  <si>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</si>
  <si>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</si>
  <si>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</si>
  <si>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</si>
  <si>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</si>
  <si>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</si>
  <si>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</si>
  <si>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</si>
  <si>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</si>
  <si>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</si>
  <si>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</si>
  <si>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</si>
  <si>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</si>
  <si>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</si>
  <si>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</si>
  <si>
    <t>Commodity Prices</t>
  </si>
  <si>
    <t>Volume</t>
  </si>
  <si>
    <t>EBIT-Margin</t>
  </si>
  <si>
    <t>Median of the last 5 years</t>
  </si>
  <si>
    <t>No volume growth in the last 10 years. Assumption therefore also 0%</t>
  </si>
  <si>
    <t>FY24-29E</t>
  </si>
  <si>
    <t>2% increases yoy from FY24</t>
  </si>
  <si>
    <t>Retention of earnings</t>
  </si>
  <si>
    <t>Distributable profits</t>
  </si>
  <si>
    <t>No retention needed, TV growth retention</t>
  </si>
  <si>
    <t>Discount rate</t>
  </si>
  <si>
    <t>Risk free rate</t>
  </si>
  <si>
    <t>Market risk premium</t>
  </si>
  <si>
    <t>Betafactor</t>
  </si>
  <si>
    <t>yfinance (5Y monthly)</t>
  </si>
  <si>
    <t>Rough</t>
  </si>
  <si>
    <t>Risk premium</t>
  </si>
  <si>
    <t>Discount factor</t>
  </si>
  <si>
    <t>Valuation date</t>
  </si>
  <si>
    <t>Country risk premium</t>
  </si>
  <si>
    <t>Present values</t>
  </si>
  <si>
    <t>Sum of present values</t>
  </si>
  <si>
    <t>Median of the last 10 years</t>
  </si>
  <si>
    <t>FA</t>
  </si>
  <si>
    <t>EQ</t>
  </si>
  <si>
    <t>ND</t>
  </si>
  <si>
    <t>Net working capital</t>
  </si>
  <si>
    <t>Net debt</t>
  </si>
  <si>
    <t>NWC</t>
  </si>
  <si>
    <t>Average interest rate</t>
  </si>
  <si>
    <t>Fixed assets BoP</t>
  </si>
  <si>
    <t>Fixed assets EoP</t>
  </si>
  <si>
    <t>CAPEX</t>
  </si>
  <si>
    <t>D&amp;A (implied, calculated)</t>
  </si>
  <si>
    <t>Reconciling difference</t>
  </si>
  <si>
    <t>5Y average including Inflation of 2%</t>
  </si>
  <si>
    <t>Inflation rate</t>
  </si>
  <si>
    <t>D&amp;A/ Last year FA</t>
  </si>
  <si>
    <t>10Y average</t>
  </si>
  <si>
    <t>Stable Equity (Assumption: Full distribution of net income)</t>
  </si>
  <si>
    <t>Balancing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</si>
</sst>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[$-409]d\-mmm\-yy;@"/>
    <numFmt numFmtId="168" formatCode="#,###.0\x"/>
    <numFmt numFmtId="169" formatCode="_(* #,##0.0_);_(* \(#,##0.0\);_(* &quot;-&quot;_);_(@_)"/>
    <numFmt numFmtId="170" formatCode="0.00%;\(0.00%\)"/>
    <numFmt numFmtId="171" formatCode="_(* #,##0.00_);_(* \(#,##0.00\);_(* &quot;-&quot;_);_(@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6" xfId="1" applyNumberFormat="1" applyFont="1" applyBorder="1" applyAlignment="1">
      <alignment horizontal="right"/>
    </xf>
    <xf numFmtId="166" fontId="6" fillId="0" borderId="7" xfId="1" applyNumberFormat="1" applyFont="1" applyBorder="1" applyAlignment="1">
      <alignment horizontal="right"/>
    </xf>
    <xf numFmtId="0" fontId="0" fillId="0" borderId="8" xfId="0" applyBorder="1"/>
    <xf numFmtId="166" fontId="6" fillId="0" borderId="0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0" fillId="0" borderId="10" xfId="0" applyBorder="1"/>
    <xf numFmtId="166" fontId="6" fillId="0" borderId="2" xfId="1" applyNumberFormat="1" applyFont="1" applyBorder="1" applyAlignment="1">
      <alignment horizontal="right"/>
    </xf>
    <xf numFmtId="166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16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8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6" fontId="11" fillId="0" borderId="0" xfId="1" applyNumberFormat="1" applyFont="1" applyBorder="1" applyAlignment="1">
      <alignment horizontal="right"/>
    </xf>
    <xf numFmtId="169" fontId="4" fillId="0" borderId="0" xfId="0" applyNumberFormat="1" applyFont="1"/>
    <xf numFmtId="166" fontId="11" fillId="0" borderId="1" xfId="1" applyNumberFormat="1" applyFont="1" applyBorder="1" applyAlignment="1">
      <alignment horizontal="right"/>
    </xf>
    <xf numFmtId="164" fontId="3" fillId="2" borderId="1" xfId="0" applyNumberFormat="1" applyFont="1" applyFill="1" applyBorder="1"/>
    <xf numFmtId="164" fontId="0" fillId="1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6" fontId="11" fillId="0" borderId="6" xfId="1" applyNumberFormat="1" applyFont="1" applyBorder="1" applyAlignment="1">
      <alignment horizontal="right"/>
    </xf>
    <xf numFmtId="166" fontId="11" fillId="0" borderId="2" xfId="1" applyNumberFormat="1" applyFont="1" applyBorder="1" applyAlignment="1">
      <alignment horizontal="right"/>
    </xf>
    <xf numFmtId="166" fontId="12" fillId="2" borderId="1" xfId="1" applyNumberFormat="1" applyFont="1" applyFill="1" applyBorder="1" applyAlignment="1">
      <alignment horizontal="right"/>
    </xf>
    <xf numFmtId="0" fontId="13" fillId="0" borderId="0" xfId="0" applyFont="1"/>
    <xf numFmtId="166" fontId="12" fillId="2" borderId="1" xfId="1" applyNumberFormat="1" applyFont="1" applyFill="1" applyBorder="1" applyAlignment="1">
      <alignment horizontal="center"/>
    </xf>
    <xf numFmtId="164" fontId="2" fillId="0" borderId="6" xfId="0" applyNumberFormat="1" applyFont="1" applyBorder="1"/>
    <xf numFmtId="170" fontId="6" fillId="0" borderId="0" xfId="1" applyNumberFormat="1" applyFont="1" applyBorder="1" applyAlignment="1">
      <alignment horizontal="right"/>
    </xf>
    <xf numFmtId="15" fontId="3" fillId="2" borderId="1" xfId="0" applyNumberFormat="1" applyFont="1" applyFill="1" applyBorder="1" applyAlignment="1">
      <alignment horizontal="center"/>
    </xf>
    <xf numFmtId="171" fontId="0" fillId="0" borderId="0" xfId="0" applyNumberFormat="1"/>
    <xf numFmtId="17" fontId="8" fillId="7" borderId="0" xfId="0" applyNumberFormat="1" applyFont="1" applyFill="1" applyAlignment="1">
      <alignment horizontal="right"/>
    </xf>
    <xf numFmtId="0" fontId="14" fillId="9" borderId="0" xfId="0" applyFont="1" applyFill="1"/>
    <xf numFmtId="0" fontId="0" fillId="0" borderId="5" xfId="0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11" xfId="0" applyNumberFormat="1" applyBorder="1"/>
    <xf numFmtId="164" fontId="2" fillId="0" borderId="0" xfId="0" applyNumberFormat="1" applyFont="1" applyAlignment="1">
      <alignment horizontal="right"/>
    </xf>
    <xf numFmtId="164" fontId="0" fillId="10" borderId="0" xfId="0" applyNumberFormat="1" applyFill="1" applyAlignment="1">
      <alignment horizontal="right"/>
    </xf>
    <xf numFmtId="0" fontId="6" fillId="0" borderId="5" xfId="0" applyFont="1" applyBorder="1" applyAlignment="1">
      <alignment horizontal="left"/>
    </xf>
    <xf numFmtId="164" fontId="0" fillId="1" borderId="6" xfId="0" applyNumberFormat="1" applyFill="1" applyBorder="1" applyAlignment="1">
      <alignment horizontal="right"/>
    </xf>
    <xf numFmtId="164" fontId="0" fillId="1" borderId="7" xfId="0" applyNumberFormat="1" applyFill="1" applyBorder="1" applyAlignment="1">
      <alignment horizontal="right"/>
    </xf>
    <xf numFmtId="0" fontId="6" fillId="0" borderId="10" xfId="0" applyFont="1" applyBorder="1" applyAlignment="1">
      <alignment horizontal="left"/>
    </xf>
    <xf numFmtId="164" fontId="2" fillId="0" borderId="3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right"/>
    </xf>
  </cellXfs>
  <cellStyles count="2">
    <cellStyle name="Normal" xfId="0" builtinId="0"/>
    <cellStyle name="Per 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nstantin/Documents/valuations/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BHP Group Limited: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5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BHP Group Limited: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M38"/>
  <sheetViews>
    <sheetView showGridLines="0" topLeftCell="A3" zoomScale="133" workbookViewId="0">
      <selection activeCell="F19" sqref="F19:J19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13" x14ac:dyDescent="0.15">
      <c r="A1" s="5" t="str">
        <f ca="1">MID(CELL("filename",A1),FIND("]",CELL("filename",A1))+1,256)</f>
        <v>Input</v>
      </c>
    </row>
    <row r="2" spans="1:13" x14ac:dyDescent="0.15">
      <c r="A2" s="6" t="str">
        <f>Cover!$A$2</f>
        <v>Indicative valuation of BHP Group Limited: Public information</v>
      </c>
    </row>
    <row r="3" spans="1:13" x14ac:dyDescent="0.15">
      <c r="A3" s="6" t="str">
        <f>Cover!$A$3</f>
        <v>Educational purposes only, no financial advice</v>
      </c>
    </row>
    <row r="7" spans="1:13" x14ac:dyDescent="0.15">
      <c r="B7" t="s">
        <v>16</v>
      </c>
      <c r="E7" s="11" t="s">
        <v>40</v>
      </c>
    </row>
    <row r="8" spans="1:13" x14ac:dyDescent="0.15">
      <c r="B8" t="s">
        <v>17</v>
      </c>
      <c r="E8" s="11" t="s">
        <v>21</v>
      </c>
    </row>
    <row r="9" spans="1:13" x14ac:dyDescent="0.15">
      <c r="B9" t="s">
        <v>22</v>
      </c>
      <c r="E9" s="11" t="s">
        <v>23</v>
      </c>
    </row>
    <row r="10" spans="1:13" x14ac:dyDescent="0.15">
      <c r="B10" t="s">
        <v>24</v>
      </c>
      <c r="E10" s="11" t="s">
        <v>25</v>
      </c>
    </row>
    <row r="11" spans="1:13" x14ac:dyDescent="0.15">
      <c r="B11" t="s">
        <v>18</v>
      </c>
      <c r="E11" s="11" t="s">
        <v>21</v>
      </c>
    </row>
    <row r="12" spans="1:13" x14ac:dyDescent="0.15">
      <c r="B12" t="s">
        <v>20</v>
      </c>
      <c r="E12" s="12">
        <v>45473</v>
      </c>
    </row>
    <row r="13" spans="1:13" x14ac:dyDescent="0.15">
      <c r="B13" t="s">
        <v>158</v>
      </c>
      <c r="E13" s="66">
        <v>45838</v>
      </c>
    </row>
    <row r="14" spans="1:13" x14ac:dyDescent="0.15">
      <c r="B14" t="s">
        <v>77</v>
      </c>
      <c r="E14" s="11" t="s">
        <v>26</v>
      </c>
    </row>
    <row r="16" spans="1:13" x14ac:dyDescent="0.15">
      <c r="B16" s="5" t="s">
        <v>135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58" t="s">
        <v>126</v>
      </c>
      <c r="M16" t="s">
        <v>92</v>
      </c>
    </row>
    <row r="18" spans="2:13" x14ac:dyDescent="0.15">
      <c r="B18" t="s">
        <v>136</v>
      </c>
      <c r="E18" s="51"/>
      <c r="F18" s="51"/>
      <c r="G18" s="51"/>
      <c r="H18" s="51"/>
      <c r="I18" s="51"/>
      <c r="J18" s="51"/>
      <c r="K18" s="52">
        <v>0.01</v>
      </c>
      <c r="M18" t="s">
        <v>137</v>
      </c>
    </row>
    <row r="19" spans="2:13" x14ac:dyDescent="0.15">
      <c r="F19" s="52">
        <v>0.02</v>
      </c>
      <c r="G19" s="52">
        <v>0.02</v>
      </c>
      <c r="H19" s="52">
        <v>0.02</v>
      </c>
      <c r="I19" s="52">
        <v>0.02</v>
      </c>
      <c r="J19" s="52">
        <v>0.02</v>
      </c>
      <c r="K19" s="51"/>
    </row>
    <row r="20" spans="2:13" x14ac:dyDescent="0.15">
      <c r="B20" s="5" t="s">
        <v>140</v>
      </c>
    </row>
    <row r="21" spans="2:13" x14ac:dyDescent="0.15">
      <c r="B21" t="s">
        <v>128</v>
      </c>
      <c r="E21" s="51"/>
      <c r="F21" s="56">
        <f>Model!O42*1.02</f>
        <v>9324.9435912262397</v>
      </c>
      <c r="G21" s="56">
        <f>F21*1.02</f>
        <v>9511.4424630507656</v>
      </c>
      <c r="H21" s="56">
        <f t="shared" ref="H21:J21" si="1">G21*1.02</f>
        <v>9701.6713123117806</v>
      </c>
      <c r="I21" s="56">
        <f t="shared" si="1"/>
        <v>9895.7047385580172</v>
      </c>
      <c r="J21" s="56">
        <f t="shared" si="1"/>
        <v>10093.618833329178</v>
      </c>
      <c r="M21" t="s">
        <v>146</v>
      </c>
    </row>
    <row r="22" spans="2:13" x14ac:dyDescent="0.15">
      <c r="B22" t="s">
        <v>129</v>
      </c>
      <c r="E22" s="51"/>
      <c r="F22" s="56">
        <f>Model!O43*1.02</f>
        <v>113.28261890645587</v>
      </c>
      <c r="G22" s="56">
        <f>F22*1.02</f>
        <v>115.54827128458498</v>
      </c>
      <c r="H22" s="56">
        <f t="shared" ref="H22:J22" si="2">G22*1.02</f>
        <v>117.85923671027669</v>
      </c>
      <c r="I22" s="56">
        <f t="shared" si="2"/>
        <v>120.21642144448222</v>
      </c>
      <c r="J22" s="56">
        <f t="shared" si="2"/>
        <v>122.62074987337186</v>
      </c>
    </row>
    <row r="23" spans="2:13" x14ac:dyDescent="0.15">
      <c r="B23" t="s">
        <v>130</v>
      </c>
      <c r="E23" s="51"/>
      <c r="F23" s="56">
        <f>Model!O44*1.02</f>
        <v>146.42240943877738</v>
      </c>
      <c r="G23" s="56">
        <f>F23*1.02</f>
        <v>149.35085762755293</v>
      </c>
      <c r="H23" s="56">
        <f t="shared" ref="H23:J23" si="3">G23*1.02</f>
        <v>152.33787478010399</v>
      </c>
      <c r="I23" s="56">
        <f t="shared" si="3"/>
        <v>155.38463227570608</v>
      </c>
      <c r="J23" s="56">
        <f t="shared" si="3"/>
        <v>158.49232492122022</v>
      </c>
    </row>
    <row r="25" spans="2:13" x14ac:dyDescent="0.15">
      <c r="B25" s="5" t="s">
        <v>141</v>
      </c>
    </row>
    <row r="26" spans="2:13" x14ac:dyDescent="0.15">
      <c r="B26" t="s">
        <v>88</v>
      </c>
      <c r="E26" s="51"/>
      <c r="F26" s="61">
        <v>0</v>
      </c>
      <c r="G26" s="61">
        <v>0</v>
      </c>
      <c r="H26" s="61">
        <v>0</v>
      </c>
      <c r="I26" s="61">
        <v>0</v>
      </c>
      <c r="J26" s="61">
        <v>0</v>
      </c>
      <c r="M26" t="s">
        <v>144</v>
      </c>
    </row>
    <row r="27" spans="2:13" x14ac:dyDescent="0.15">
      <c r="B27" t="s">
        <v>93</v>
      </c>
      <c r="E27" s="51"/>
      <c r="F27" s="61">
        <v>0</v>
      </c>
      <c r="G27" s="61">
        <v>0</v>
      </c>
      <c r="H27" s="61">
        <v>0</v>
      </c>
      <c r="I27" s="61">
        <v>0</v>
      </c>
      <c r="J27" s="61">
        <v>0</v>
      </c>
      <c r="M27" t="s">
        <v>144</v>
      </c>
    </row>
    <row r="28" spans="2:13" x14ac:dyDescent="0.15">
      <c r="B28" t="s">
        <v>94</v>
      </c>
      <c r="E28" s="51"/>
      <c r="F28" s="61">
        <v>0</v>
      </c>
      <c r="G28" s="61">
        <v>0</v>
      </c>
      <c r="H28" s="61">
        <v>0</v>
      </c>
      <c r="I28" s="61">
        <v>0</v>
      </c>
      <c r="J28" s="61">
        <v>0</v>
      </c>
      <c r="M28" t="s">
        <v>144</v>
      </c>
    </row>
    <row r="29" spans="2:13" x14ac:dyDescent="0.15">
      <c r="F29" s="62"/>
      <c r="G29" s="62"/>
      <c r="H29" s="62"/>
      <c r="I29" s="62"/>
      <c r="J29" s="62"/>
    </row>
    <row r="30" spans="2:13" x14ac:dyDescent="0.15">
      <c r="B30" t="s">
        <v>142</v>
      </c>
      <c r="E30" s="51"/>
      <c r="F30" s="61">
        <f>MEDIAN(Historical!F25:O25)</f>
        <v>0.35562127849432246</v>
      </c>
      <c r="G30" s="61">
        <f>F30</f>
        <v>0.35562127849432246</v>
      </c>
      <c r="H30" s="61">
        <f t="shared" ref="H30:J30" si="4">G30</f>
        <v>0.35562127849432246</v>
      </c>
      <c r="I30" s="61">
        <f t="shared" si="4"/>
        <v>0.35562127849432246</v>
      </c>
      <c r="J30" s="61">
        <f t="shared" si="4"/>
        <v>0.35562127849432246</v>
      </c>
      <c r="M30" t="s">
        <v>162</v>
      </c>
    </row>
    <row r="31" spans="2:13" x14ac:dyDescent="0.15">
      <c r="F31" s="62"/>
      <c r="G31" s="62"/>
      <c r="H31" s="62"/>
      <c r="I31" s="62"/>
      <c r="J31" s="62"/>
    </row>
    <row r="32" spans="2:13" x14ac:dyDescent="0.15">
      <c r="B32" t="s">
        <v>139</v>
      </c>
      <c r="E32" s="51"/>
      <c r="F32" s="61">
        <f>MEDIAN(Historical!F26:O26)</f>
        <v>0.40033638589931919</v>
      </c>
      <c r="G32" s="61">
        <f>F32</f>
        <v>0.40033638589931919</v>
      </c>
      <c r="H32" s="61">
        <f t="shared" ref="H32:J32" si="5">G32</f>
        <v>0.40033638589931919</v>
      </c>
      <c r="I32" s="61">
        <f t="shared" si="5"/>
        <v>0.40033638589931919</v>
      </c>
      <c r="J32" s="61">
        <f t="shared" si="5"/>
        <v>0.40033638589931919</v>
      </c>
      <c r="M32" t="s">
        <v>143</v>
      </c>
    </row>
    <row r="34" spans="2:13" x14ac:dyDescent="0.15">
      <c r="B34" s="5" t="s">
        <v>150</v>
      </c>
    </row>
    <row r="35" spans="2:13" x14ac:dyDescent="0.15">
      <c r="B35" t="s">
        <v>151</v>
      </c>
      <c r="E35" s="63">
        <v>0.04</v>
      </c>
      <c r="M35" t="s">
        <v>155</v>
      </c>
    </row>
    <row r="36" spans="2:13" x14ac:dyDescent="0.15">
      <c r="B36" t="s">
        <v>152</v>
      </c>
      <c r="E36" s="63">
        <v>0.04</v>
      </c>
      <c r="M36" t="s">
        <v>155</v>
      </c>
    </row>
    <row r="37" spans="2:13" x14ac:dyDescent="0.15">
      <c r="B37" t="s">
        <v>153</v>
      </c>
      <c r="E37" s="11">
        <v>0.78</v>
      </c>
      <c r="M37" t="s">
        <v>154</v>
      </c>
    </row>
    <row r="38" spans="2:13" x14ac:dyDescent="0.15">
      <c r="B38" t="s">
        <v>159</v>
      </c>
      <c r="E38" s="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topLeftCell="A7" zoomScale="183" workbookViewId="0">
      <selection activeCell="G8" sqref="G8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7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Cover!$A$2</f>
        <v>Indicative valuation of BHP Group Limited: Public information</v>
      </c>
    </row>
    <row r="5" spans="2:16" x14ac:dyDescent="0.15">
      <c r="D5" s="6" t="str">
        <f>Cover!$A$3</f>
        <v>Educational purposes only, no financial advice</v>
      </c>
    </row>
    <row r="8" spans="2:16" x14ac:dyDescent="0.15">
      <c r="E8" s="5" t="str">
        <f>Input!$E$8</f>
        <v>BHP</v>
      </c>
      <c r="P8" s="9"/>
    </row>
    <row r="9" spans="2:16" x14ac:dyDescent="0.15">
      <c r="E9" s="10" t="str">
        <f>+Input!$E$14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15"/>
    <row r="11" spans="2:16" x14ac:dyDescent="0.15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15">
      <c r="E12" s="13" t="s">
        <v>50</v>
      </c>
      <c r="F12" s="18">
        <f>-Historical!O40</f>
        <v>-12501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15">
      <c r="E13" s="13" t="s">
        <v>117</v>
      </c>
      <c r="F13" s="18">
        <f>+Historical!O51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15">
      <c r="E14" s="5" t="s">
        <v>118</v>
      </c>
      <c r="F14" s="19">
        <f>SUM(F11:F13)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15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15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15">
      <c r="E17" t="s">
        <v>120</v>
      </c>
      <c r="F17" s="45">
        <f>F11/Historical!O49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15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15">
      <c r="E19" s="5" t="str">
        <f>Input!$E$8&amp;" - DDM valuation"</f>
        <v>BHP - DDM valuation</v>
      </c>
      <c r="P19" s="9"/>
    </row>
    <row r="20" spans="5:16" x14ac:dyDescent="0.15">
      <c r="E20" s="10" t="str">
        <f>+Input!$E$14</f>
        <v>USDmn</v>
      </c>
      <c r="F20" s="46" t="s">
        <v>121</v>
      </c>
      <c r="G20" s="46" t="s">
        <v>122</v>
      </c>
      <c r="H20" s="46" t="s">
        <v>123</v>
      </c>
      <c r="I20" s="46" t="s">
        <v>124</v>
      </c>
      <c r="J20" s="46" t="s">
        <v>125</v>
      </c>
      <c r="K20" s="47" t="s">
        <v>126</v>
      </c>
      <c r="L20" s="18"/>
      <c r="M20" s="18"/>
      <c r="N20" s="18"/>
      <c r="O20" s="18"/>
      <c r="P20" s="18"/>
    </row>
    <row r="21" spans="5:16" ht="3" customHeight="1" x14ac:dyDescent="0.15"/>
    <row r="22" spans="5:16" x14ac:dyDescent="0.15">
      <c r="E22" s="5" t="s">
        <v>37</v>
      </c>
      <c r="F22" s="19">
        <f>Model!P22</f>
        <v>11238.534678607626</v>
      </c>
      <c r="G22" s="19">
        <f>Model!Q22</f>
        <v>11477.709080227949</v>
      </c>
      <c r="H22" s="19">
        <f>Model!R22</f>
        <v>11721.632427136881</v>
      </c>
      <c r="I22" s="19">
        <f>Model!S22</f>
        <v>11970.399352812754</v>
      </c>
      <c r="J22" s="19">
        <f>Model!T22</f>
        <v>12224.1063799492</v>
      </c>
      <c r="K22" s="19">
        <f>Model!U22</f>
        <v>12355.27643496265</v>
      </c>
      <c r="L22" s="18"/>
      <c r="M22" s="18"/>
      <c r="N22" s="18"/>
      <c r="O22" s="18"/>
      <c r="P22" s="18"/>
    </row>
    <row r="23" spans="5:16" x14ac:dyDescent="0.15">
      <c r="E23" t="s">
        <v>147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f>Historical!O49*Model!B3*-1</f>
        <v>-491.2</v>
      </c>
      <c r="L23" s="18"/>
      <c r="M23" s="18" t="s">
        <v>149</v>
      </c>
      <c r="N23" s="18"/>
      <c r="O23" s="18"/>
      <c r="P23" s="18"/>
    </row>
    <row r="24" spans="5:16" x14ac:dyDescent="0.15">
      <c r="E24" s="5" t="s">
        <v>148</v>
      </c>
      <c r="F24" s="64">
        <f>SUM(F22:F23)</f>
        <v>11238.534678607626</v>
      </c>
      <c r="G24" s="64">
        <f t="shared" ref="G24:K24" si="0">SUM(G22:G23)</f>
        <v>11477.709080227949</v>
      </c>
      <c r="H24" s="64">
        <f t="shared" si="0"/>
        <v>11721.632427136881</v>
      </c>
      <c r="I24" s="64">
        <f t="shared" si="0"/>
        <v>11970.399352812754</v>
      </c>
      <c r="J24" s="64">
        <f t="shared" si="0"/>
        <v>12224.1063799492</v>
      </c>
      <c r="K24" s="64">
        <f t="shared" si="0"/>
        <v>11864.07643496265</v>
      </c>
      <c r="L24" s="18"/>
      <c r="M24" s="18"/>
      <c r="N24" s="18"/>
      <c r="O24" s="18"/>
      <c r="P24" s="18"/>
    </row>
    <row r="25" spans="5:16" outlineLevel="1" x14ac:dyDescent="0.15">
      <c r="E25" t="s">
        <v>151</v>
      </c>
      <c r="F25" s="65">
        <f>Input!$E$35</f>
        <v>0.04</v>
      </c>
      <c r="G25" s="65">
        <f>F25</f>
        <v>0.04</v>
      </c>
      <c r="H25" s="65">
        <f t="shared" ref="H25:K25" si="1">G25</f>
        <v>0.04</v>
      </c>
      <c r="I25" s="65">
        <f t="shared" si="1"/>
        <v>0.04</v>
      </c>
      <c r="J25" s="65">
        <f t="shared" si="1"/>
        <v>0.04</v>
      </c>
      <c r="K25" s="65">
        <f t="shared" si="1"/>
        <v>0.04</v>
      </c>
      <c r="L25" s="18"/>
      <c r="M25" s="18"/>
      <c r="N25" s="18"/>
      <c r="O25" s="18"/>
      <c r="P25" s="18"/>
    </row>
    <row r="26" spans="5:16" outlineLevel="1" x14ac:dyDescent="0.15">
      <c r="E26" t="s">
        <v>153</v>
      </c>
      <c r="F26" s="67">
        <f>Input!E37</f>
        <v>0.78</v>
      </c>
      <c r="G26" s="67">
        <f>F26</f>
        <v>0.78</v>
      </c>
      <c r="H26" s="67">
        <f t="shared" ref="H26:K26" si="2">G26</f>
        <v>0.78</v>
      </c>
      <c r="I26" s="67">
        <f t="shared" si="2"/>
        <v>0.78</v>
      </c>
      <c r="J26" s="67">
        <f t="shared" si="2"/>
        <v>0.78</v>
      </c>
      <c r="K26" s="67">
        <f t="shared" si="2"/>
        <v>0.78</v>
      </c>
      <c r="L26" s="18"/>
      <c r="M26" s="18"/>
      <c r="N26" s="18"/>
      <c r="O26" s="18"/>
      <c r="P26" s="18"/>
    </row>
    <row r="27" spans="5:16" outlineLevel="1" x14ac:dyDescent="0.15">
      <c r="E27" t="s">
        <v>152</v>
      </c>
      <c r="F27" s="65">
        <f>Input!E36</f>
        <v>0.04</v>
      </c>
      <c r="G27" s="65">
        <f>F27</f>
        <v>0.04</v>
      </c>
      <c r="H27" s="65">
        <f t="shared" ref="H27:K27" si="3">G27</f>
        <v>0.04</v>
      </c>
      <c r="I27" s="65">
        <f t="shared" si="3"/>
        <v>0.04</v>
      </c>
      <c r="J27" s="65">
        <f t="shared" si="3"/>
        <v>0.04</v>
      </c>
      <c r="K27" s="65">
        <f t="shared" si="3"/>
        <v>0.04</v>
      </c>
      <c r="L27" s="18"/>
      <c r="M27" s="18"/>
      <c r="N27" s="18"/>
      <c r="O27" s="18"/>
      <c r="P27" s="18"/>
    </row>
    <row r="28" spans="5:16" outlineLevel="1" x14ac:dyDescent="0.15">
      <c r="E28" t="s">
        <v>159</v>
      </c>
      <c r="F28" s="65">
        <f>Input!E38</f>
        <v>0</v>
      </c>
      <c r="G28" s="65">
        <f t="shared" ref="G28:K28" si="4">F28</f>
        <v>0</v>
      </c>
      <c r="H28" s="65">
        <f t="shared" si="4"/>
        <v>0</v>
      </c>
      <c r="I28" s="65">
        <f t="shared" si="4"/>
        <v>0</v>
      </c>
      <c r="J28" s="65">
        <f t="shared" si="4"/>
        <v>0</v>
      </c>
      <c r="K28" s="65">
        <f t="shared" si="4"/>
        <v>0</v>
      </c>
      <c r="L28" s="18"/>
      <c r="M28" s="18"/>
      <c r="N28" s="18"/>
      <c r="O28" s="18"/>
      <c r="P28" s="18"/>
    </row>
    <row r="29" spans="5:16" outlineLevel="1" x14ac:dyDescent="0.15">
      <c r="E29" t="s">
        <v>156</v>
      </c>
      <c r="F29" s="65">
        <f>F26*F27+F28</f>
        <v>3.1200000000000002E-2</v>
      </c>
      <c r="G29" s="65">
        <f t="shared" ref="G29:K29" si="5">G26*G27+G28</f>
        <v>3.1200000000000002E-2</v>
      </c>
      <c r="H29" s="65">
        <f t="shared" si="5"/>
        <v>3.1200000000000002E-2</v>
      </c>
      <c r="I29" s="65">
        <f t="shared" si="5"/>
        <v>3.1200000000000002E-2</v>
      </c>
      <c r="J29" s="65">
        <f t="shared" si="5"/>
        <v>3.1200000000000002E-2</v>
      </c>
      <c r="K29" s="65">
        <f t="shared" si="5"/>
        <v>3.1200000000000002E-2</v>
      </c>
      <c r="L29" s="65"/>
      <c r="M29" s="18"/>
      <c r="N29" s="18"/>
      <c r="O29" s="18"/>
      <c r="P29" s="18"/>
    </row>
    <row r="30" spans="5:16" outlineLevel="1" x14ac:dyDescent="0.15">
      <c r="E30" t="s">
        <v>136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f>Input!K18*-1</f>
        <v>-0.01</v>
      </c>
      <c r="L30" s="18"/>
      <c r="M30" s="18"/>
      <c r="N30" s="18"/>
      <c r="O30" s="18"/>
      <c r="P30" s="18"/>
    </row>
    <row r="31" spans="5:16" outlineLevel="1" x14ac:dyDescent="0.15">
      <c r="E31" t="s">
        <v>150</v>
      </c>
      <c r="F31" s="65">
        <f>F29+F25+F30</f>
        <v>7.1199999999999999E-2</v>
      </c>
      <c r="G31" s="65">
        <f t="shared" ref="G31:K31" si="6">G29+G25+G30</f>
        <v>7.1199999999999999E-2</v>
      </c>
      <c r="H31" s="65">
        <f t="shared" si="6"/>
        <v>7.1199999999999999E-2</v>
      </c>
      <c r="I31" s="65">
        <f t="shared" si="6"/>
        <v>7.1199999999999999E-2</v>
      </c>
      <c r="J31" s="65">
        <f t="shared" si="6"/>
        <v>7.1199999999999999E-2</v>
      </c>
      <c r="K31" s="65">
        <f t="shared" si="6"/>
        <v>6.1199999999999997E-2</v>
      </c>
      <c r="L31" s="18"/>
      <c r="M31" s="18"/>
      <c r="N31" s="18"/>
      <c r="O31" s="18"/>
      <c r="P31" s="18"/>
    </row>
    <row r="32" spans="5:16" x14ac:dyDescent="0.15">
      <c r="E32" t="s">
        <v>157</v>
      </c>
      <c r="F32" s="67">
        <f>1/(1+F31)^1</f>
        <v>0.93353248693054525</v>
      </c>
      <c r="G32" s="67">
        <f>F32/(1+G31)^1</f>
        <v>0.87148290415472862</v>
      </c>
      <c r="H32" s="67">
        <f t="shared" ref="H32:J32" si="7">G32/(1+H31)^1</f>
        <v>0.81355760283301781</v>
      </c>
      <c r="I32" s="67">
        <f t="shared" si="7"/>
        <v>0.75948245223395994</v>
      </c>
      <c r="J32" s="67">
        <f t="shared" si="7"/>
        <v>0.70900154241407765</v>
      </c>
      <c r="K32" s="67">
        <f>J32/K31</f>
        <v>11.584992523105845</v>
      </c>
      <c r="L32" s="18"/>
      <c r="M32" s="18"/>
      <c r="N32" s="18"/>
      <c r="O32" s="18"/>
      <c r="P32" s="18"/>
    </row>
    <row r="33" spans="5:16" x14ac:dyDescent="0.15">
      <c r="E33" s="5" t="s">
        <v>160</v>
      </c>
      <c r="F33" s="19">
        <f>F24*F32</f>
        <v>10491.537227975754</v>
      </c>
      <c r="G33" s="19">
        <f t="shared" ref="G33:K33" si="8">G24*G32</f>
        <v>10002.627242280152</v>
      </c>
      <c r="H33" s="19">
        <f t="shared" si="8"/>
        <v>9536.2231787112487</v>
      </c>
      <c r="I33" s="19">
        <f t="shared" si="8"/>
        <v>9091.3082546940368</v>
      </c>
      <c r="J33" s="19">
        <f t="shared" si="8"/>
        <v>8666.9102780177509</v>
      </c>
      <c r="K33" s="19">
        <f t="shared" si="8"/>
        <v>137445.23679259853</v>
      </c>
      <c r="L33" s="18"/>
      <c r="M33" s="18"/>
      <c r="N33" s="18"/>
      <c r="O33" s="18"/>
      <c r="P33" s="18"/>
    </row>
    <row r="34" spans="5:16" x14ac:dyDescent="0.15">
      <c r="E34" s="5" t="s">
        <v>161</v>
      </c>
      <c r="F34" s="19">
        <f>SUM(F33:K33)</f>
        <v>185233.84297427748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5:16" x14ac:dyDescent="0.15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5:16" x14ac:dyDescent="0.15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5:16" x14ac:dyDescent="0.15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5:16" x14ac:dyDescent="0.15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5:16" x14ac:dyDescent="0.15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5:16" x14ac:dyDescent="0.15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5:16" x14ac:dyDescent="0.15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5:16" x14ac:dyDescent="0.15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5:16" x14ac:dyDescent="0.15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5:16" x14ac:dyDescent="0.15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5:1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5:16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5:16" x14ac:dyDescent="0.15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5:16" x14ac:dyDescent="0.15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15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15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1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1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AA753"/>
  <sheetViews>
    <sheetView showGridLines="0" tabSelected="1" topLeftCell="A27" zoomScale="132" zoomScaleNormal="130" workbookViewId="0">
      <selection activeCell="E30" sqref="E30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6" max="19" width="9" bestFit="1" customWidth="1"/>
    <col min="20" max="20" width="9.1640625" bestFit="1" customWidth="1"/>
    <col min="21" max="21" width="9" bestFit="1" customWidth="1"/>
    <col min="23" max="25" width="9" bestFit="1" customWidth="1"/>
    <col min="27" max="27" width="52.83203125" style="35" bestFit="1" customWidth="1"/>
  </cols>
  <sheetData>
    <row r="1" spans="1:27" s="8" customFormat="1" outlineLevel="1" x14ac:dyDescent="0.15">
      <c r="B1" s="8">
        <v>0.1</v>
      </c>
    </row>
    <row r="2" spans="1:27" s="8" customFormat="1" outlineLevel="1" x14ac:dyDescent="0.15">
      <c r="B2" s="17" t="e">
        <f>AND(C:C)</f>
        <v>#VALUE!</v>
      </c>
    </row>
    <row r="3" spans="1:27" x14ac:dyDescent="0.15">
      <c r="A3" s="8" t="s">
        <v>138</v>
      </c>
      <c r="B3" s="55">
        <f>Input!$K$18</f>
        <v>0.01</v>
      </c>
      <c r="D3" s="5" t="str">
        <f ca="1">MID(CELL("filename",D3),FIND("]",CELL("filename",D3))+1,256)</f>
        <v>Model</v>
      </c>
    </row>
    <row r="4" spans="1:27" x14ac:dyDescent="0.15">
      <c r="D4" s="6" t="str">
        <f>Cover!$A$2</f>
        <v>Indicative valuation of BHP Group Limited: Public information</v>
      </c>
    </row>
    <row r="5" spans="1:27" x14ac:dyDescent="0.15">
      <c r="D5" s="6" t="str">
        <f>Cover!$A$3</f>
        <v>Educational purposes only, no financial advice</v>
      </c>
    </row>
    <row r="8" spans="1:27" x14ac:dyDescent="0.15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Y8" s="39"/>
      <c r="AA8" s="36" t="s">
        <v>92</v>
      </c>
    </row>
    <row r="9" spans="1:27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  <c r="Y9" s="39" t="s">
        <v>145</v>
      </c>
    </row>
    <row r="10" spans="1:27" ht="3" customHeight="1" x14ac:dyDescent="0.15"/>
    <row r="11" spans="1:27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56887.479999999996</v>
      </c>
      <c r="Q11" s="18">
        <f t="shared" ref="Q11:U11" si="0">Q39</f>
        <v>58009.031600000002</v>
      </c>
      <c r="R11" s="18">
        <f t="shared" si="0"/>
        <v>59152.852252000004</v>
      </c>
      <c r="S11" s="18">
        <f t="shared" si="0"/>
        <v>60319.385717239995</v>
      </c>
      <c r="T11" s="18">
        <f t="shared" si="0"/>
        <v>61509.084615986802</v>
      </c>
      <c r="U11" s="18">
        <f t="shared" si="0"/>
        <v>62124.175462146668</v>
      </c>
      <c r="W11" s="29">
        <f>IFERROR((O11/F11)^(1/9)-1,"n/a")</f>
        <v>2.4823669769025392E-2</v>
      </c>
      <c r="X11" s="29">
        <f>IFERROR((O11/L11)^(1/3)-1,"n/a")</f>
        <v>-2.9115574512328934E-2</v>
      </c>
      <c r="Y11" s="29">
        <f>IFERROR((T11/O11)^(1/5)-1,"n/a")</f>
        <v>2.0192986291499571E-2</v>
      </c>
    </row>
    <row r="12" spans="1:27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1"/>
      <c r="Q12" s="51"/>
      <c r="R12" s="51"/>
      <c r="S12" s="51"/>
      <c r="T12" s="51"/>
      <c r="U12" s="51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  <c r="Y12" s="29">
        <f t="shared" ref="Y12:Y22" si="3">IFERROR((T12/O12)^(1/5)-1,"n/a")</f>
        <v>-1</v>
      </c>
    </row>
    <row r="13" spans="1:27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1"/>
      <c r="Q13" s="51"/>
      <c r="R13" s="51"/>
      <c r="S13" s="51"/>
      <c r="T13" s="51"/>
      <c r="U13" s="51"/>
      <c r="W13" s="29">
        <f t="shared" si="1"/>
        <v>-7.8301780801481868E-4</v>
      </c>
      <c r="X13" s="29">
        <f t="shared" si="2"/>
        <v>2.1282952880393058E-2</v>
      </c>
      <c r="Y13" s="29">
        <f t="shared" si="3"/>
        <v>-1</v>
      </c>
    </row>
    <row r="14" spans="1:27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7"/>
      <c r="Q14" s="57"/>
      <c r="R14" s="57"/>
      <c r="S14" s="57"/>
      <c r="T14" s="57"/>
      <c r="U14" s="57"/>
      <c r="W14" s="29">
        <f>IFERROR((O14/F14)^(1/9)-1,"n/a")</f>
        <v>-2.1916832490021325</v>
      </c>
      <c r="X14" s="29">
        <f t="shared" si="2"/>
        <v>0.42338640502534819</v>
      </c>
      <c r="Y14" s="29">
        <f t="shared" si="3"/>
        <v>-1</v>
      </c>
    </row>
    <row r="15" spans="1:27" x14ac:dyDescent="0.15">
      <c r="E15" s="5" t="s">
        <v>34</v>
      </c>
      <c r="F15" s="19">
        <f t="shared" ref="F15:O15" si="4">SUM(F11:F14)</f>
        <v>8670</v>
      </c>
      <c r="G15" s="19">
        <f t="shared" si="4"/>
        <v>2804</v>
      </c>
      <c r="H15" s="19">
        <f t="shared" si="4"/>
        <v>12554</v>
      </c>
      <c r="I15" s="19">
        <f t="shared" si="4"/>
        <v>15996</v>
      </c>
      <c r="J15" s="19">
        <f t="shared" si="4"/>
        <v>16113</v>
      </c>
      <c r="K15" s="19">
        <f t="shared" si="4"/>
        <v>14421</v>
      </c>
      <c r="L15" s="19">
        <f t="shared" si="4"/>
        <v>25906</v>
      </c>
      <c r="M15" s="19">
        <f t="shared" si="4"/>
        <v>34106</v>
      </c>
      <c r="N15" s="19">
        <f t="shared" si="4"/>
        <v>22932</v>
      </c>
      <c r="O15" s="19">
        <f t="shared" si="4"/>
        <v>17537</v>
      </c>
      <c r="P15" s="19">
        <f>P11*P25</f>
        <v>20230.398367920199</v>
      </c>
      <c r="Q15" s="19">
        <f t="shared" ref="Q15:U15" si="5">Q11*Q25</f>
        <v>20629.245981809552</v>
      </c>
      <c r="R15" s="19">
        <f t="shared" si="5"/>
        <v>21036.012944442002</v>
      </c>
      <c r="S15" s="19">
        <f t="shared" si="5"/>
        <v>21450.85706675706</v>
      </c>
      <c r="T15" s="19">
        <f t="shared" si="5"/>
        <v>21873.939310152688</v>
      </c>
      <c r="U15" s="19">
        <f t="shared" si="5"/>
        <v>22092.678703254212</v>
      </c>
      <c r="W15" s="41">
        <f t="shared" si="1"/>
        <v>8.1416300690199561E-2</v>
      </c>
      <c r="X15" s="41">
        <f t="shared" si="2"/>
        <v>-0.12195188761232589</v>
      </c>
      <c r="Y15" s="41">
        <f t="shared" si="3"/>
        <v>4.5187820225881303E-2</v>
      </c>
    </row>
    <row r="16" spans="1:27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1"/>
      <c r="Q16" s="51"/>
      <c r="R16" s="51"/>
      <c r="S16" s="51"/>
      <c r="T16" s="51"/>
      <c r="U16" s="51"/>
      <c r="W16" s="29">
        <f t="shared" si="1"/>
        <v>0.13521136582617932</v>
      </c>
      <c r="X16" s="29">
        <f t="shared" si="2"/>
        <v>0.16840343073730279</v>
      </c>
      <c r="Y16" s="29">
        <f t="shared" si="3"/>
        <v>-1</v>
      </c>
    </row>
    <row r="17" spans="5:25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1"/>
      <c r="Q17" s="51"/>
      <c r="R17" s="51"/>
      <c r="S17" s="51"/>
      <c r="T17" s="51"/>
      <c r="U17" s="51"/>
      <c r="W17" s="29">
        <f t="shared" si="1"/>
        <v>0.26091218130279215</v>
      </c>
      <c r="X17" s="29">
        <f t="shared" si="2"/>
        <v>1.1335743996040399</v>
      </c>
      <c r="Y17" s="29">
        <f t="shared" si="3"/>
        <v>-1</v>
      </c>
    </row>
    <row r="18" spans="5:25" x14ac:dyDescent="0.15">
      <c r="E18" s="14" t="s">
        <v>33</v>
      </c>
      <c r="F18" s="22">
        <f t="shared" ref="F18:N18" si="6">SUM(F16:F17)</f>
        <v>-614</v>
      </c>
      <c r="G18" s="22">
        <f t="shared" si="6"/>
        <v>-1013</v>
      </c>
      <c r="H18" s="22">
        <f t="shared" si="6"/>
        <v>-1417</v>
      </c>
      <c r="I18" s="22">
        <f t="shared" si="6"/>
        <v>-1245</v>
      </c>
      <c r="J18" s="22">
        <f t="shared" si="6"/>
        <v>-1064</v>
      </c>
      <c r="K18" s="22">
        <f t="shared" si="6"/>
        <v>-911</v>
      </c>
      <c r="L18" s="22">
        <f t="shared" si="6"/>
        <v>-1305</v>
      </c>
      <c r="M18" s="22">
        <f t="shared" si="6"/>
        <v>-969</v>
      </c>
      <c r="N18" s="22">
        <f t="shared" si="6"/>
        <v>-1531</v>
      </c>
      <c r="O18" s="22">
        <f>SUM(O16:O17)</f>
        <v>-1489</v>
      </c>
      <c r="P18" s="22">
        <f>O18</f>
        <v>-1489</v>
      </c>
      <c r="Q18" s="80">
        <f t="shared" ref="Q18:U18" si="7">P18</f>
        <v>-1489</v>
      </c>
      <c r="R18" s="22">
        <f t="shared" si="7"/>
        <v>-1489</v>
      </c>
      <c r="S18" s="22">
        <f t="shared" si="7"/>
        <v>-1489</v>
      </c>
      <c r="T18" s="22">
        <f t="shared" si="7"/>
        <v>-1489</v>
      </c>
      <c r="U18" s="22">
        <f t="shared" si="7"/>
        <v>-1489</v>
      </c>
      <c r="W18" s="41">
        <f t="shared" si="1"/>
        <v>0.10343656088580055</v>
      </c>
      <c r="X18" s="41">
        <f t="shared" si="2"/>
        <v>4.4948119363673822E-2</v>
      </c>
      <c r="Y18" s="41">
        <f t="shared" si="3"/>
        <v>0</v>
      </c>
    </row>
    <row r="19" spans="5:25" x14ac:dyDescent="0.15">
      <c r="E19" s="15" t="s">
        <v>35</v>
      </c>
      <c r="F19" s="19">
        <f t="shared" ref="F19:N19" si="8">+F15+F18</f>
        <v>8056</v>
      </c>
      <c r="G19" s="19">
        <f t="shared" si="8"/>
        <v>1791</v>
      </c>
      <c r="H19" s="19">
        <f t="shared" si="8"/>
        <v>11137</v>
      </c>
      <c r="I19" s="19">
        <f t="shared" si="8"/>
        <v>14751</v>
      </c>
      <c r="J19" s="19">
        <f t="shared" si="8"/>
        <v>15049</v>
      </c>
      <c r="K19" s="19">
        <f t="shared" si="8"/>
        <v>13510</v>
      </c>
      <c r="L19" s="19">
        <f t="shared" si="8"/>
        <v>24601</v>
      </c>
      <c r="M19" s="19">
        <f t="shared" si="8"/>
        <v>33137</v>
      </c>
      <c r="N19" s="19">
        <f t="shared" si="8"/>
        <v>21401</v>
      </c>
      <c r="O19" s="19">
        <f>+O15+O18</f>
        <v>16048</v>
      </c>
      <c r="P19" s="19">
        <f t="shared" ref="P19:U19" si="9">+P15+P18</f>
        <v>18741.398367920199</v>
      </c>
      <c r="Q19" s="19">
        <f t="shared" si="9"/>
        <v>19140.245981809552</v>
      </c>
      <c r="R19" s="19">
        <f t="shared" si="9"/>
        <v>19547.012944442002</v>
      </c>
      <c r="S19" s="19">
        <f t="shared" si="9"/>
        <v>19961.85706675706</v>
      </c>
      <c r="T19" s="19">
        <f t="shared" si="9"/>
        <v>20384.939310152688</v>
      </c>
      <c r="U19" s="19">
        <f t="shared" si="9"/>
        <v>20603.678703254212</v>
      </c>
      <c r="W19" s="41">
        <f t="shared" si="1"/>
        <v>7.9582205501450343E-2</v>
      </c>
      <c r="X19" s="41">
        <f t="shared" si="2"/>
        <v>-0.13272654979285703</v>
      </c>
      <c r="Y19" s="41">
        <f t="shared" si="3"/>
        <v>4.9005345884367557E-2</v>
      </c>
    </row>
    <row r="20" spans="5:25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-7502.8636893125722</v>
      </c>
      <c r="Q20" s="18">
        <f t="shared" ref="Q20:U20" si="10">Q19*Q26*-1</f>
        <v>-7662.5369015816023</v>
      </c>
      <c r="R20" s="18">
        <f t="shared" si="10"/>
        <v>-7825.3805173051205</v>
      </c>
      <c r="S20" s="18">
        <f t="shared" si="10"/>
        <v>-7991.4577139443063</v>
      </c>
      <c r="T20" s="18">
        <f t="shared" si="10"/>
        <v>-8160.8329302034881</v>
      </c>
      <c r="U20" s="18">
        <f t="shared" si="10"/>
        <v>-8248.402268291562</v>
      </c>
      <c r="W20" s="29">
        <f t="shared" si="1"/>
        <v>6.4732667019081092E-2</v>
      </c>
      <c r="X20" s="29">
        <f t="shared" si="2"/>
        <v>-0.16690549943429955</v>
      </c>
      <c r="Y20" s="29">
        <f t="shared" si="3"/>
        <v>4.8275325370643607E-2</v>
      </c>
    </row>
    <row r="21" spans="5:25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  <c r="Y21" s="29" t="str">
        <f t="shared" si="3"/>
        <v>n/a</v>
      </c>
    </row>
    <row r="22" spans="5:25" ht="14" thickBot="1" x14ac:dyDescent="0.2">
      <c r="E22" s="5" t="s">
        <v>37</v>
      </c>
      <c r="F22" s="23">
        <f t="shared" ref="F22:U22" si="11">SUM(F19:F21)</f>
        <v>2878</v>
      </c>
      <c r="G22" s="23">
        <f t="shared" si="11"/>
        <v>-6207</v>
      </c>
      <c r="H22" s="23">
        <f t="shared" si="11"/>
        <v>6222</v>
      </c>
      <c r="I22" s="23">
        <f t="shared" si="11"/>
        <v>4823</v>
      </c>
      <c r="J22" s="23">
        <f t="shared" si="11"/>
        <v>9185</v>
      </c>
      <c r="K22" s="23">
        <f t="shared" si="11"/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P22" s="23">
        <f t="shared" si="11"/>
        <v>11238.534678607626</v>
      </c>
      <c r="Q22" s="23">
        <f t="shared" si="11"/>
        <v>11477.709080227949</v>
      </c>
      <c r="R22" s="23">
        <f t="shared" si="11"/>
        <v>11721.632427136881</v>
      </c>
      <c r="S22" s="23">
        <f t="shared" si="11"/>
        <v>11970.399352812754</v>
      </c>
      <c r="T22" s="23">
        <f t="shared" si="11"/>
        <v>12224.1063799492</v>
      </c>
      <c r="U22" s="23">
        <f t="shared" si="11"/>
        <v>12355.27643496265</v>
      </c>
      <c r="W22" s="41">
        <f t="shared" si="1"/>
        <v>0.14323677638903964</v>
      </c>
      <c r="X22" s="41">
        <f t="shared" si="2"/>
        <v>-0.10630917563829623</v>
      </c>
      <c r="Y22" s="41">
        <f t="shared" si="3"/>
        <v>4.9494411181012499E-2</v>
      </c>
    </row>
    <row r="23" spans="5:25" ht="3" customHeight="1" x14ac:dyDescent="0.15"/>
    <row r="24" spans="5:25" x14ac:dyDescent="0.15">
      <c r="E24" s="48" t="s">
        <v>72</v>
      </c>
      <c r="F24" s="26" t="str">
        <f t="shared" ref="F24:N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6">
        <f t="shared" ref="O24:U24" si="13">IFERROR(+O11/N11-1,"n/a")</f>
        <v>3.4208521470910691E-2</v>
      </c>
      <c r="P24" s="26">
        <f t="shared" si="13"/>
        <v>2.2089906212943156E-2</v>
      </c>
      <c r="Q24" s="26">
        <f t="shared" si="13"/>
        <v>1.9715262479547357E-2</v>
      </c>
      <c r="R24" s="26">
        <f t="shared" si="13"/>
        <v>1.9717975295419299E-2</v>
      </c>
      <c r="S24" s="26">
        <f t="shared" si="13"/>
        <v>1.9720663008275352E-2</v>
      </c>
      <c r="T24" s="26">
        <f t="shared" si="13"/>
        <v>1.9723325836303651E-2</v>
      </c>
      <c r="U24" s="27">
        <f t="shared" si="13"/>
        <v>1.0000000000000009E-2</v>
      </c>
    </row>
    <row r="25" spans="5:25" x14ac:dyDescent="0.15">
      <c r="E25" s="49" t="s">
        <v>73</v>
      </c>
      <c r="F25" s="29">
        <f t="shared" ref="F25:N25" si="14">IFERROR(+F15/F11,"n/a")</f>
        <v>0.19423783493144547</v>
      </c>
      <c r="G25" s="29">
        <f t="shared" si="14"/>
        <v>9.8155214058179022E-2</v>
      </c>
      <c r="H25" s="29">
        <f t="shared" si="14"/>
        <v>0.34741939947419398</v>
      </c>
      <c r="I25" s="29">
        <f t="shared" si="14"/>
        <v>0.36656125395297678</v>
      </c>
      <c r="J25" s="29">
        <f t="shared" si="14"/>
        <v>0.36382315751445088</v>
      </c>
      <c r="K25" s="29">
        <f t="shared" si="14"/>
        <v>0.33591111318161704</v>
      </c>
      <c r="L25" s="29">
        <f t="shared" si="14"/>
        <v>0.42596642386174915</v>
      </c>
      <c r="M25" s="29">
        <f t="shared" si="14"/>
        <v>0.5239177854926419</v>
      </c>
      <c r="N25" s="29">
        <f t="shared" si="14"/>
        <v>0.42611070851218019</v>
      </c>
      <c r="O25" s="29">
        <f t="shared" ref="O25" si="15">IFERROR(+O15/O11,"n/a")</f>
        <v>0.31508498329081175</v>
      </c>
      <c r="P25" s="53">
        <f>Input!F30</f>
        <v>0.35562127849432246</v>
      </c>
      <c r="Q25" s="53">
        <f>Input!G30</f>
        <v>0.35562127849432246</v>
      </c>
      <c r="R25" s="53">
        <f>Input!H30</f>
        <v>0.35562127849432246</v>
      </c>
      <c r="S25" s="53">
        <f>Input!I30</f>
        <v>0.35562127849432246</v>
      </c>
      <c r="T25" s="53">
        <f>Input!J30</f>
        <v>0.35562127849432246</v>
      </c>
      <c r="U25" s="30">
        <f>T25</f>
        <v>0.35562127849432246</v>
      </c>
      <c r="W25" s="42"/>
    </row>
    <row r="26" spans="5:25" x14ac:dyDescent="0.15">
      <c r="E26" s="49" t="s">
        <v>139</v>
      </c>
      <c r="F26" s="29">
        <f>-F20/F19</f>
        <v>0.45506454816285996</v>
      </c>
      <c r="G26" s="29">
        <f t="shared" ref="G26:O26" si="16">-G20/G19</f>
        <v>1.1742043551088777</v>
      </c>
      <c r="H26" s="29">
        <f t="shared" si="16"/>
        <v>0.39894046870791056</v>
      </c>
      <c r="I26" s="29">
        <f t="shared" si="16"/>
        <v>0.47501864280387768</v>
      </c>
      <c r="J26" s="29">
        <f t="shared" si="16"/>
        <v>0.36739982723104525</v>
      </c>
      <c r="K26" s="29">
        <f t="shared" si="16"/>
        <v>0.35336787564766842</v>
      </c>
      <c r="L26" s="29">
        <f t="shared" si="16"/>
        <v>0.45323360838990284</v>
      </c>
      <c r="M26" s="29">
        <f t="shared" si="16"/>
        <v>0.32401846878112078</v>
      </c>
      <c r="N26" s="29">
        <f t="shared" si="16"/>
        <v>0.33068548198682307</v>
      </c>
      <c r="O26" s="29">
        <f t="shared" si="16"/>
        <v>0.40173230309072783</v>
      </c>
      <c r="P26" s="53">
        <f>Input!F32</f>
        <v>0.40033638589931919</v>
      </c>
      <c r="Q26" s="53">
        <f>Input!G32</f>
        <v>0.40033638589931919</v>
      </c>
      <c r="R26" s="53">
        <f>Input!H32</f>
        <v>0.40033638589931919</v>
      </c>
      <c r="S26" s="53">
        <f>Input!I32</f>
        <v>0.40033638589931919</v>
      </c>
      <c r="T26" s="53">
        <f>Input!J32</f>
        <v>0.40033638589931919</v>
      </c>
      <c r="U26" s="30">
        <f>T26</f>
        <v>0.40033638589931919</v>
      </c>
      <c r="W26" s="42"/>
    </row>
    <row r="27" spans="5:25" x14ac:dyDescent="0.15">
      <c r="E27" s="50" t="s">
        <v>74</v>
      </c>
      <c r="F27" s="32" t="str">
        <f t="shared" ref="F27:O27" si="17">IFERROR(+F22/E22-1,"n/a")</f>
        <v>n/a</v>
      </c>
      <c r="G27" s="32">
        <f t="shared" si="17"/>
        <v>-3.1567060458651843</v>
      </c>
      <c r="H27" s="32">
        <f t="shared" si="17"/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2">
        <f t="shared" si="17"/>
        <v>-0.32972633342641722</v>
      </c>
      <c r="P27" s="32">
        <f t="shared" ref="P27" si="18">IFERROR(+P22/O22-1,"n/a")</f>
        <v>0.17055876248386892</v>
      </c>
      <c r="Q27" s="32">
        <f t="shared" ref="Q27" si="19">IFERROR(+Q22/P22-1,"n/a")</f>
        <v>2.1281635770149521E-2</v>
      </c>
      <c r="R27" s="32">
        <f t="shared" ref="R27" si="20">IFERROR(+R22/Q22-1,"n/a")</f>
        <v>2.1251919281446652E-2</v>
      </c>
      <c r="S27" s="32">
        <f t="shared" ref="S27" si="21">IFERROR(+S22/R22-1,"n/a")</f>
        <v>2.1222890857757193E-2</v>
      </c>
      <c r="T27" s="32">
        <f t="shared" ref="T27" si="22">IFERROR(+T22/S22-1,"n/a")</f>
        <v>2.1194533253130921E-2</v>
      </c>
      <c r="U27" s="33">
        <f t="shared" ref="U27" si="23">IFERROR(+U22/T22-1,"n/a")</f>
        <v>1.0730441222975839E-2</v>
      </c>
    </row>
    <row r="28" spans="5:25" ht="3" customHeight="1" x14ac:dyDescent="0.15"/>
    <row r="29" spans="5:25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5" x14ac:dyDescent="0.15">
      <c r="E31" s="5" t="str">
        <f>Input!$E$8&amp;" Revenues"</f>
        <v>BHP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  <c r="Y31" s="39"/>
    </row>
    <row r="32" spans="5:25" x14ac:dyDescent="0.15">
      <c r="E32" s="10" t="str">
        <f>+Input!$E$14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  <c r="Y32" s="39" t="s">
        <v>145</v>
      </c>
    </row>
    <row r="33" spans="5:27" ht="3" customHeight="1" x14ac:dyDescent="0.15"/>
    <row r="34" spans="5:27" x14ac:dyDescent="0.15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1"/>
      <c r="Q34" s="51"/>
      <c r="R34" s="51"/>
      <c r="S34" s="51"/>
      <c r="T34" s="51"/>
      <c r="U34" s="51"/>
      <c r="W34" s="29" t="str">
        <f>IFERROR((O34/F34)^(1/9)-1,"n/a")</f>
        <v>n/a</v>
      </c>
      <c r="X34" s="29" t="str">
        <f>IFERROR((O34/L34)^(1/3)-1,"n/a")</f>
        <v>n/a</v>
      </c>
      <c r="Y34" s="29" t="str">
        <f t="shared" ref="Y34:Y39" si="24">IFERROR((T34/O34)^(1/5)-1,"n/a")</f>
        <v>n/a</v>
      </c>
      <c r="AA34" s="35" t="s">
        <v>108</v>
      </c>
    </row>
    <row r="35" spans="5:27" x14ac:dyDescent="0.15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18937.319999999996</v>
      </c>
      <c r="Q35" s="18">
        <f t="shared" ref="Q35:U35" si="25">Q42*Q47/10^3</f>
        <v>19316.0664</v>
      </c>
      <c r="R35" s="18">
        <f t="shared" si="25"/>
        <v>19702.387728000002</v>
      </c>
      <c r="S35" s="18">
        <f t="shared" si="25"/>
        <v>20096.435482560002</v>
      </c>
      <c r="T35" s="18">
        <f t="shared" si="25"/>
        <v>20498.364192211204</v>
      </c>
      <c r="U35" s="18">
        <f t="shared" si="25"/>
        <v>20703.347834133314</v>
      </c>
      <c r="W35" s="29">
        <f t="shared" ref="W35:W39" si="26">IFERROR((O35/F35)^(1/9)-1,"n/a")</f>
        <v>5.5142240492537464E-2</v>
      </c>
      <c r="X35" s="29">
        <f t="shared" ref="X35:X39" si="27">IFERROR((O35/L35)^(1/3)-1,"n/a")</f>
        <v>5.6898686735249449E-2</v>
      </c>
      <c r="Y35" s="29">
        <f t="shared" si="24"/>
        <v>2.0000000000000018E-2</v>
      </c>
      <c r="AA35" s="35" t="s">
        <v>89</v>
      </c>
    </row>
    <row r="36" spans="5:27" x14ac:dyDescent="0.15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28511.039999999997</v>
      </c>
      <c r="Q36" s="18">
        <f t="shared" ref="Q36:U36" si="28">Q43*Q48/10^3</f>
        <v>29081.260799999996</v>
      </c>
      <c r="R36" s="18">
        <f t="shared" si="28"/>
        <v>29662.886016</v>
      </c>
      <c r="S36" s="18">
        <f t="shared" si="28"/>
        <v>30256.143736319995</v>
      </c>
      <c r="T36" s="18">
        <f t="shared" si="28"/>
        <v>30861.266611046398</v>
      </c>
      <c r="U36" s="18">
        <f t="shared" si="28"/>
        <v>31169.879277156859</v>
      </c>
      <c r="W36" s="29">
        <f t="shared" si="26"/>
        <v>7.3586271885691446E-2</v>
      </c>
      <c r="X36" s="29">
        <f t="shared" si="27"/>
        <v>-6.7527131592702072E-2</v>
      </c>
      <c r="Y36" s="29">
        <f t="shared" si="24"/>
        <v>2.0000000000000018E-2</v>
      </c>
      <c r="AA36" s="35" t="s">
        <v>90</v>
      </c>
    </row>
    <row r="37" spans="5:27" x14ac:dyDescent="0.15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7819.32</v>
      </c>
      <c r="Q37" s="18">
        <f t="shared" ref="Q37:U37" si="29">Q44*Q49/10^3</f>
        <v>7975.7064</v>
      </c>
      <c r="R37" s="18">
        <f t="shared" si="29"/>
        <v>8135.2205279999998</v>
      </c>
      <c r="S37" s="18">
        <f t="shared" si="29"/>
        <v>8297.9249385600015</v>
      </c>
      <c r="T37" s="18">
        <f t="shared" si="29"/>
        <v>8463.883437331202</v>
      </c>
      <c r="U37" s="18">
        <f t="shared" si="29"/>
        <v>8548.5222717045144</v>
      </c>
      <c r="W37" s="29">
        <f t="shared" si="26"/>
        <v>2.9812214481835575E-2</v>
      </c>
      <c r="X37" s="29">
        <f t="shared" si="27"/>
        <v>0.14149706778136784</v>
      </c>
      <c r="Y37" s="29">
        <f t="shared" si="24"/>
        <v>2.0000000000000018E-2</v>
      </c>
      <c r="AA37" s="35" t="s">
        <v>91</v>
      </c>
    </row>
    <row r="38" spans="5:27" x14ac:dyDescent="0.15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AVERAGE(K38:O38)</f>
        <v>1619.8</v>
      </c>
      <c r="Q38" s="18">
        <f>P38*(1+$B$3)</f>
        <v>1635.998</v>
      </c>
      <c r="R38" s="18">
        <f>Q38*(1+$B$3)</f>
        <v>1652.35798</v>
      </c>
      <c r="S38" s="18">
        <f>R38*(1+$B$3)</f>
        <v>1668.8815598000001</v>
      </c>
      <c r="T38" s="18">
        <f>S38*(1+$B$3)</f>
        <v>1685.5703753980001</v>
      </c>
      <c r="U38" s="18">
        <f>T38*(1+$B$3)</f>
        <v>1702.42607915198</v>
      </c>
      <c r="W38" s="29">
        <f t="shared" si="26"/>
        <v>3.326227060457887E-2</v>
      </c>
      <c r="X38" s="29">
        <f t="shared" si="27"/>
        <v>-9.3214479088485902E-3</v>
      </c>
      <c r="Y38" s="29">
        <f t="shared" si="24"/>
        <v>2.7187867752968886E-2</v>
      </c>
    </row>
    <row r="39" spans="5:27" ht="14" thickBot="1" x14ac:dyDescent="0.2">
      <c r="E39" s="5" t="s">
        <v>87</v>
      </c>
      <c r="F39" s="23">
        <f t="shared" ref="F39:K39" si="30">SUM(F34:F38)</f>
        <v>44636</v>
      </c>
      <c r="G39" s="23">
        <f t="shared" si="30"/>
        <v>28567</v>
      </c>
      <c r="H39" s="23">
        <f t="shared" si="30"/>
        <v>36135</v>
      </c>
      <c r="I39" s="23">
        <f t="shared" si="30"/>
        <v>43638</v>
      </c>
      <c r="J39" s="23">
        <f t="shared" si="30"/>
        <v>44288</v>
      </c>
      <c r="K39" s="23">
        <f t="shared" si="30"/>
        <v>42931</v>
      </c>
      <c r="L39" s="23">
        <f>SUM(L34:L38)</f>
        <v>60817</v>
      </c>
      <c r="M39" s="23">
        <f t="shared" ref="M39:U39" si="31">SUM(M34:M38)</f>
        <v>65098</v>
      </c>
      <c r="N39" s="23">
        <f t="shared" si="31"/>
        <v>53817</v>
      </c>
      <c r="O39" s="23">
        <f t="shared" si="31"/>
        <v>55658</v>
      </c>
      <c r="P39" s="23">
        <f>SUM(P34:P38)</f>
        <v>56887.479999999996</v>
      </c>
      <c r="Q39" s="23">
        <f t="shared" si="31"/>
        <v>58009.031600000002</v>
      </c>
      <c r="R39" s="23">
        <f t="shared" si="31"/>
        <v>59152.852252000004</v>
      </c>
      <c r="S39" s="23">
        <f t="shared" si="31"/>
        <v>60319.385717239995</v>
      </c>
      <c r="T39" s="23">
        <f t="shared" si="31"/>
        <v>61509.084615986802</v>
      </c>
      <c r="U39" s="23">
        <f t="shared" si="31"/>
        <v>62124.175462146668</v>
      </c>
      <c r="W39" s="41">
        <f t="shared" si="26"/>
        <v>2.4823669769025392E-2</v>
      </c>
      <c r="X39" s="41">
        <f t="shared" si="27"/>
        <v>-2.9115574512328934E-2</v>
      </c>
      <c r="Y39" s="41">
        <f t="shared" si="24"/>
        <v>2.0192986291499571E-2</v>
      </c>
    </row>
    <row r="41" spans="5:27" x14ac:dyDescent="0.15">
      <c r="E41" s="5" t="s">
        <v>127</v>
      </c>
    </row>
    <row r="42" spans="5:27" x14ac:dyDescent="0.15">
      <c r="E42" t="s">
        <v>128</v>
      </c>
      <c r="F42" s="54">
        <f>[1]Prices!AC11</f>
        <v>5510.4571127155004</v>
      </c>
      <c r="G42" s="54">
        <f>[1]Prices!AD11</f>
        <v>4867.897429653679</v>
      </c>
      <c r="H42" s="54">
        <f>[1]Prices!AE11</f>
        <v>6169.9399418513613</v>
      </c>
      <c r="I42" s="54">
        <f>[1]Prices!AF11</f>
        <v>6529.7983709685941</v>
      </c>
      <c r="J42" s="54">
        <f>[1]Prices!AG11</f>
        <v>6010.145429645836</v>
      </c>
      <c r="K42" s="54">
        <f>[1]Prices!AH11</f>
        <v>6174.5579173221258</v>
      </c>
      <c r="L42" s="54">
        <f>[1]Prices!AI11</f>
        <v>9317.4091658824254</v>
      </c>
      <c r="M42" s="54">
        <f>[1]Prices!AJ11</f>
        <v>8828.9168140645579</v>
      </c>
      <c r="N42" s="54">
        <f>[1]Prices!AK11</f>
        <v>8490.7617314997788</v>
      </c>
      <c r="O42" s="54">
        <f>[1]Prices!AL11</f>
        <v>9142.1015600257251</v>
      </c>
      <c r="P42" s="54">
        <f>Input!F21</f>
        <v>9324.9435912262397</v>
      </c>
      <c r="Q42" s="54">
        <f>Input!G21</f>
        <v>9511.4424630507656</v>
      </c>
      <c r="R42" s="54">
        <f>Input!H21</f>
        <v>9701.6713123117806</v>
      </c>
      <c r="S42" s="54">
        <f>Input!I21</f>
        <v>9895.7047385580172</v>
      </c>
      <c r="T42" s="54">
        <f>Input!J21</f>
        <v>10093.618833329178</v>
      </c>
      <c r="U42" s="18">
        <f>T42</f>
        <v>10093.618833329178</v>
      </c>
      <c r="W42" s="29">
        <f>IFERROR((O42/F42)^(1/9)-1,"n/a")</f>
        <v>5.786125919274121E-2</v>
      </c>
      <c r="X42" s="29">
        <f>IFERROR((O42/L42)^(1/3)-1,"n/a")</f>
        <v>-6.3114368604682003E-3</v>
      </c>
      <c r="Y42" s="29">
        <f t="shared" ref="Y42:Y44" si="32">IFERROR((T42/O42)^(1/5)-1,"n/a")</f>
        <v>2.0000000000000018E-2</v>
      </c>
      <c r="AA42" s="35" t="s">
        <v>134</v>
      </c>
    </row>
    <row r="43" spans="5:27" x14ac:dyDescent="0.15">
      <c r="E43" t="s">
        <v>129</v>
      </c>
      <c r="F43" s="54">
        <f>[1]Prices!AC12</f>
        <v>56.137484315201696</v>
      </c>
      <c r="G43" s="54">
        <f>[1]Prices!AD12</f>
        <v>58.56519072714724</v>
      </c>
      <c r="H43" s="54">
        <f>[1]Prices!AE12</f>
        <v>71.134474402409182</v>
      </c>
      <c r="I43" s="54">
        <f>[1]Prices!AF12</f>
        <v>70.13840422862161</v>
      </c>
      <c r="J43" s="54">
        <f>[1]Prices!AG12</f>
        <v>93.624179214505304</v>
      </c>
      <c r="K43" s="54">
        <f>[1]Prices!AH12</f>
        <v>108.07149327122153</v>
      </c>
      <c r="L43" s="54">
        <f>[1]Prices!AI12</f>
        <v>158.16166811235101</v>
      </c>
      <c r="M43" s="54">
        <f>[1]Prices!AJ12</f>
        <v>120.7038647342995</v>
      </c>
      <c r="N43" s="54">
        <f>[1]Prices!AK12</f>
        <v>120.31531698977351</v>
      </c>
      <c r="O43" s="54">
        <f>[1]Prices!AL12</f>
        <v>111.06139108476066</v>
      </c>
      <c r="P43" s="54">
        <f>Input!F22</f>
        <v>113.28261890645587</v>
      </c>
      <c r="Q43" s="54">
        <f>Input!G22</f>
        <v>115.54827128458498</v>
      </c>
      <c r="R43" s="54">
        <f>Input!H22</f>
        <v>117.85923671027669</v>
      </c>
      <c r="S43" s="54">
        <f>Input!I22</f>
        <v>120.21642144448222</v>
      </c>
      <c r="T43" s="54">
        <f>Input!J22</f>
        <v>122.62074987337186</v>
      </c>
      <c r="U43" s="18">
        <f>T43</f>
        <v>122.62074987337186</v>
      </c>
      <c r="W43" s="29">
        <f>IFERROR((O43/F43)^(1/9)-1,"n/a")</f>
        <v>7.8756315680935884E-2</v>
      </c>
      <c r="X43" s="29">
        <f>IFERROR((O43/L43)^(1/3)-1,"n/a")</f>
        <v>-0.11116607165505865</v>
      </c>
      <c r="Y43" s="29">
        <f t="shared" si="32"/>
        <v>2.0000000000000018E-2</v>
      </c>
    </row>
    <row r="44" spans="5:27" x14ac:dyDescent="0.15">
      <c r="E44" t="s">
        <v>130</v>
      </c>
      <c r="F44" s="54">
        <f>[1]Prices!AC10</f>
        <v>62.692552690750638</v>
      </c>
      <c r="G44" s="54">
        <f>[1]Prices!AD10</f>
        <v>70.08180639301159</v>
      </c>
      <c r="H44" s="54">
        <f>[1]Prices!AE10</f>
        <v>94.138079349276438</v>
      </c>
      <c r="I44" s="54">
        <f>[1]Prices!AF10</f>
        <v>113.23078537013389</v>
      </c>
      <c r="J44" s="54">
        <f>[1]Prices!AG10</f>
        <v>82.193236275241134</v>
      </c>
      <c r="K44" s="54">
        <f>[1]Prices!AH10</f>
        <v>61.983198111650417</v>
      </c>
      <c r="L44" s="54">
        <f>[1]Prices!AI10</f>
        <v>143.98474438540202</v>
      </c>
      <c r="M44" s="54">
        <f>[1]Prices!AJ10</f>
        <v>384.16973325553721</v>
      </c>
      <c r="N44" s="54">
        <f>[1]Prices!AK10</f>
        <v>188.15258386900859</v>
      </c>
      <c r="O44" s="54">
        <f>[1]Prices!AL10</f>
        <v>143.55138180272291</v>
      </c>
      <c r="P44" s="54">
        <f>Input!F23</f>
        <v>146.42240943877738</v>
      </c>
      <c r="Q44" s="54">
        <f>Input!G23</f>
        <v>149.35085762755293</v>
      </c>
      <c r="R44" s="54">
        <f>Input!H23</f>
        <v>152.33787478010399</v>
      </c>
      <c r="S44" s="54">
        <f>Input!I23</f>
        <v>155.38463227570608</v>
      </c>
      <c r="T44" s="54">
        <f>Input!J23</f>
        <v>158.49232492122022</v>
      </c>
      <c r="U44" s="18">
        <f>T44</f>
        <v>158.49232492122022</v>
      </c>
      <c r="W44" s="29">
        <f>IFERROR((O44/F44)^(1/9)-1,"n/a")</f>
        <v>9.6419686612922328E-2</v>
      </c>
      <c r="X44" s="29">
        <f>IFERROR((O44/L44)^(1/3)-1,"n/a")</f>
        <v>-1.0042686316182881E-3</v>
      </c>
      <c r="Y44" s="29">
        <f t="shared" si="32"/>
        <v>2.0000000000000018E-2</v>
      </c>
    </row>
    <row r="45" spans="5:27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7" x14ac:dyDescent="0.15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7" x14ac:dyDescent="0.15">
      <c r="E47" t="s">
        <v>88</v>
      </c>
      <c r="F47" s="18">
        <f>F35/F42*10^3</f>
        <v>2078.4119657826486</v>
      </c>
      <c r="G47" s="18">
        <f t="shared" ref="G47:O47" si="33">G35/G42*10^3</f>
        <v>1694.5714488045132</v>
      </c>
      <c r="H47" s="18">
        <f t="shared" si="33"/>
        <v>1350.9045596153708</v>
      </c>
      <c r="I47" s="18">
        <f t="shared" si="33"/>
        <v>2034.8254639950055</v>
      </c>
      <c r="J47" s="18">
        <f t="shared" si="33"/>
        <v>1803.2841512520038</v>
      </c>
      <c r="K47" s="18">
        <f t="shared" si="33"/>
        <v>1727.4111187907993</v>
      </c>
      <c r="L47" s="18">
        <f t="shared" si="33"/>
        <v>1687.8082436890206</v>
      </c>
      <c r="M47" s="18">
        <f t="shared" si="33"/>
        <v>1908.3881244819709</v>
      </c>
      <c r="N47" s="18">
        <f t="shared" si="33"/>
        <v>1887.5809387680281</v>
      </c>
      <c r="O47" s="18">
        <f t="shared" si="33"/>
        <v>2030.8240811041433</v>
      </c>
      <c r="P47" s="18">
        <f>O47*(1+P51)</f>
        <v>2030.8240811041433</v>
      </c>
      <c r="Q47" s="18">
        <f t="shared" ref="Q47:U47" si="34">P47*(1+Q51)</f>
        <v>2030.8240811041433</v>
      </c>
      <c r="R47" s="18">
        <f t="shared" si="34"/>
        <v>2030.8240811041433</v>
      </c>
      <c r="S47" s="18">
        <f t="shared" si="34"/>
        <v>2030.8240811041433</v>
      </c>
      <c r="T47" s="18">
        <f t="shared" si="34"/>
        <v>2030.8240811041433</v>
      </c>
      <c r="U47" s="18">
        <f t="shared" si="34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  <c r="Y47" s="29">
        <f t="shared" ref="Y47:Y49" si="35">IFERROR((T47/O47)^(1/5)-1,"n/a")</f>
        <v>0</v>
      </c>
    </row>
    <row r="48" spans="5:27" x14ac:dyDescent="0.15">
      <c r="E48" t="s">
        <v>93</v>
      </c>
      <c r="F48" s="18">
        <f>F36/F43*10^3</f>
        <v>262801.23129787232</v>
      </c>
      <c r="G48" s="18">
        <f t="shared" ref="G48:O48" si="36">G36/G43*10^3</f>
        <v>179936.23634039031</v>
      </c>
      <c r="H48" s="18">
        <f t="shared" si="36"/>
        <v>205582.45664783759</v>
      </c>
      <c r="I48" s="18">
        <f t="shared" si="36"/>
        <v>211153.93432285183</v>
      </c>
      <c r="J48" s="18">
        <f t="shared" si="36"/>
        <v>184300.68113565541</v>
      </c>
      <c r="K48" s="18">
        <f t="shared" si="36"/>
        <v>192437.42610094993</v>
      </c>
      <c r="L48" s="18">
        <f t="shared" si="36"/>
        <v>217973.16891922572</v>
      </c>
      <c r="M48" s="18">
        <f t="shared" si="36"/>
        <v>254896.56083279639</v>
      </c>
      <c r="N48" s="18">
        <f t="shared" si="36"/>
        <v>206224.78185474055</v>
      </c>
      <c r="O48" s="18">
        <f t="shared" si="36"/>
        <v>251680.62210446637</v>
      </c>
      <c r="P48" s="18">
        <f t="shared" ref="P48:U48" si="37">O48*(1+P52)</f>
        <v>251680.62210446637</v>
      </c>
      <c r="Q48" s="18">
        <f t="shared" si="37"/>
        <v>251680.62210446637</v>
      </c>
      <c r="R48" s="18">
        <f t="shared" si="37"/>
        <v>251680.62210446637</v>
      </c>
      <c r="S48" s="18">
        <f t="shared" si="37"/>
        <v>251680.62210446637</v>
      </c>
      <c r="T48" s="18">
        <f t="shared" si="37"/>
        <v>251680.62210446637</v>
      </c>
      <c r="U48" s="18">
        <f t="shared" si="37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  <c r="Y48" s="29">
        <f t="shared" si="35"/>
        <v>0</v>
      </c>
    </row>
    <row r="49" spans="3:27" x14ac:dyDescent="0.15">
      <c r="E49" t="s">
        <v>94</v>
      </c>
      <c r="F49" s="18">
        <f>F37/F44*10^3</f>
        <v>93870.798801725061</v>
      </c>
      <c r="G49" s="18">
        <f t="shared" ref="G49:O49" si="38">G37/G44*10^3</f>
        <v>64467.516357434033</v>
      </c>
      <c r="H49" s="18">
        <f t="shared" si="38"/>
        <v>80498.774272668932</v>
      </c>
      <c r="I49" s="18">
        <f t="shared" si="38"/>
        <v>78503.38554963861</v>
      </c>
      <c r="J49" s="18">
        <f t="shared" si="38"/>
        <v>110970.20160462397</v>
      </c>
      <c r="K49" s="18">
        <f t="shared" si="38"/>
        <v>100704.71014993897</v>
      </c>
      <c r="L49" s="18">
        <f t="shared" si="38"/>
        <v>35795.458900870479</v>
      </c>
      <c r="M49" s="18">
        <f t="shared" si="38"/>
        <v>40474.297306647291</v>
      </c>
      <c r="N49" s="18">
        <f t="shared" si="38"/>
        <v>58239.965535785224</v>
      </c>
      <c r="O49" s="18">
        <f t="shared" si="38"/>
        <v>53402.481423237608</v>
      </c>
      <c r="P49" s="18">
        <f t="shared" ref="P49:U49" si="39">O49*(1+P53)</f>
        <v>53402.481423237608</v>
      </c>
      <c r="Q49" s="18">
        <f t="shared" si="39"/>
        <v>53402.481423237608</v>
      </c>
      <c r="R49" s="18">
        <f t="shared" si="39"/>
        <v>53402.481423237608</v>
      </c>
      <c r="S49" s="18">
        <f t="shared" si="39"/>
        <v>53402.481423237608</v>
      </c>
      <c r="T49" s="18">
        <f t="shared" si="39"/>
        <v>53402.481423237608</v>
      </c>
      <c r="U49" s="18">
        <f t="shared" si="39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  <c r="Y49" s="29">
        <f t="shared" si="35"/>
        <v>0</v>
      </c>
    </row>
    <row r="50" spans="3:27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3:27" x14ac:dyDescent="0.15">
      <c r="E51" s="48" t="s">
        <v>131</v>
      </c>
      <c r="F51" s="26" t="s">
        <v>107</v>
      </c>
      <c r="G51" s="26">
        <f>(G47-F47)/F47</f>
        <v>-0.18467970897848254</v>
      </c>
      <c r="H51" s="26">
        <f t="shared" ref="H51:O51" si="40">(H47-G47)/G47</f>
        <v>-0.20280460256284424</v>
      </c>
      <c r="I51" s="26">
        <f t="shared" si="40"/>
        <v>0.50626885482891593</v>
      </c>
      <c r="J51" s="26">
        <f t="shared" si="40"/>
        <v>-0.11378927423505551</v>
      </c>
      <c r="K51" s="26">
        <f t="shared" si="40"/>
        <v>-4.2074917815102267E-2</v>
      </c>
      <c r="L51" s="26">
        <f t="shared" si="40"/>
        <v>-2.2926143447253567E-2</v>
      </c>
      <c r="M51" s="26">
        <f t="shared" si="40"/>
        <v>0.13069013119098863</v>
      </c>
      <c r="N51" s="26">
        <f t="shared" si="40"/>
        <v>-1.0903015716255755E-2</v>
      </c>
      <c r="O51" s="26">
        <f t="shared" si="40"/>
        <v>7.588715238330708E-2</v>
      </c>
      <c r="P51" s="59">
        <v>0</v>
      </c>
      <c r="Q51" s="59">
        <v>0</v>
      </c>
      <c r="R51" s="59">
        <v>0</v>
      </c>
      <c r="S51" s="59">
        <v>0</v>
      </c>
      <c r="T51" s="59">
        <v>0</v>
      </c>
      <c r="U51" s="27">
        <f>$B$3</f>
        <v>0.01</v>
      </c>
      <c r="W51" s="29"/>
      <c r="X51" s="29"/>
      <c r="Y51" s="29"/>
    </row>
    <row r="52" spans="3:27" x14ac:dyDescent="0.15">
      <c r="E52" s="49" t="s">
        <v>132</v>
      </c>
      <c r="F52" s="29" t="s">
        <v>107</v>
      </c>
      <c r="G52" s="29">
        <f t="shared" ref="G52:O53" si="41">(G48-F48)/F48</f>
        <v>-0.31531433299701173</v>
      </c>
      <c r="H52" s="29">
        <f t="shared" si="41"/>
        <v>0.14252949171911999</v>
      </c>
      <c r="I52" s="29">
        <f t="shared" si="41"/>
        <v>2.7100939281789815E-2</v>
      </c>
      <c r="J52" s="29">
        <f t="shared" si="41"/>
        <v>-0.12717382355821094</v>
      </c>
      <c r="K52" s="29">
        <f t="shared" si="41"/>
        <v>4.4149294051200119E-2</v>
      </c>
      <c r="L52" s="29">
        <f t="shared" si="41"/>
        <v>0.13269634361498941</v>
      </c>
      <c r="M52" s="29">
        <f t="shared" si="41"/>
        <v>0.16939420616146275</v>
      </c>
      <c r="N52" s="29">
        <f t="shared" si="41"/>
        <v>-0.19094717802011812</v>
      </c>
      <c r="O52" s="29">
        <f t="shared" si="41"/>
        <v>0.22041890330010749</v>
      </c>
      <c r="P52" s="53">
        <v>0</v>
      </c>
      <c r="Q52" s="53">
        <v>0</v>
      </c>
      <c r="R52" s="53">
        <v>0</v>
      </c>
      <c r="S52" s="53">
        <v>0</v>
      </c>
      <c r="T52" s="53">
        <v>0</v>
      </c>
      <c r="U52" s="30">
        <f t="shared" ref="U52:U53" si="42">$B$3</f>
        <v>0.01</v>
      </c>
      <c r="W52" s="29"/>
      <c r="X52" s="29"/>
      <c r="Y52" s="29"/>
    </row>
    <row r="53" spans="3:27" x14ac:dyDescent="0.15">
      <c r="E53" s="50" t="s">
        <v>133</v>
      </c>
      <c r="F53" s="32" t="s">
        <v>107</v>
      </c>
      <c r="G53" s="32">
        <f t="shared" si="41"/>
        <v>-0.31323140763292073</v>
      </c>
      <c r="H53" s="32">
        <f t="shared" si="41"/>
        <v>0.24867187106063013</v>
      </c>
      <c r="I53" s="32">
        <f t="shared" si="41"/>
        <v>-2.4787814983013971E-2</v>
      </c>
      <c r="J53" s="32">
        <f t="shared" si="41"/>
        <v>0.41357217688982617</v>
      </c>
      <c r="K53" s="32">
        <f t="shared" si="41"/>
        <v>-9.2506738802367428E-2</v>
      </c>
      <c r="L53" s="32">
        <f t="shared" si="41"/>
        <v>-0.64455030109738942</v>
      </c>
      <c r="M53" s="32">
        <f t="shared" si="41"/>
        <v>0.13071039035242071</v>
      </c>
      <c r="N53" s="32">
        <f t="shared" si="41"/>
        <v>0.43893703933978345</v>
      </c>
      <c r="O53" s="32">
        <f t="shared" si="41"/>
        <v>-8.3061246139908007E-2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33">
        <f t="shared" si="42"/>
        <v>0.01</v>
      </c>
      <c r="W53" s="29"/>
      <c r="X53" s="29"/>
      <c r="Y53" s="29"/>
    </row>
    <row r="54" spans="3:27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3:27" x14ac:dyDescent="0.15">
      <c r="E55" s="5" t="str">
        <f>Input!$E$8&amp;" BS"</f>
        <v>BHP BS</v>
      </c>
      <c r="O55" s="9"/>
      <c r="W55" s="40" t="s">
        <v>111</v>
      </c>
      <c r="X55" s="39"/>
      <c r="Y55" s="39"/>
    </row>
    <row r="56" spans="3:27" x14ac:dyDescent="0.15">
      <c r="E56" s="10" t="str">
        <f>+Input!$E$14</f>
        <v>USDmn</v>
      </c>
      <c r="F56" s="24" t="s">
        <v>110</v>
      </c>
      <c r="G56" s="24" t="s">
        <v>41</v>
      </c>
      <c r="H56" s="24" t="s">
        <v>42</v>
      </c>
      <c r="I56" s="24" t="s">
        <v>43</v>
      </c>
      <c r="J56" s="24" t="s">
        <v>44</v>
      </c>
      <c r="K56" s="24" t="s">
        <v>45</v>
      </c>
      <c r="L56" s="24" t="s">
        <v>46</v>
      </c>
      <c r="M56" s="24" t="s">
        <v>47</v>
      </c>
      <c r="N56" s="24" t="s">
        <v>48</v>
      </c>
      <c r="O56" s="24" t="s">
        <v>49</v>
      </c>
      <c r="P56" s="68">
        <v>45809</v>
      </c>
      <c r="Q56" s="68">
        <v>46174</v>
      </c>
      <c r="R56" s="68">
        <v>46539</v>
      </c>
      <c r="S56" s="68">
        <v>46905</v>
      </c>
      <c r="T56" s="68">
        <v>47270</v>
      </c>
      <c r="U56" s="47" t="s">
        <v>126</v>
      </c>
      <c r="W56" s="39" t="s">
        <v>112</v>
      </c>
      <c r="X56" s="39" t="s">
        <v>113</v>
      </c>
      <c r="Y56" s="39" t="s">
        <v>145</v>
      </c>
    </row>
    <row r="57" spans="3:27" ht="3" customHeight="1" x14ac:dyDescent="0.15"/>
    <row r="58" spans="3:27" x14ac:dyDescent="0.15">
      <c r="C58" s="8" t="s">
        <v>163</v>
      </c>
      <c r="E58" s="13" t="s">
        <v>54</v>
      </c>
      <c r="F58" s="18">
        <f>Historical!F37</f>
        <v>94072</v>
      </c>
      <c r="G58" s="18">
        <f>Historical!G37</f>
        <v>83975</v>
      </c>
      <c r="H58" s="18">
        <f>Historical!H37</f>
        <v>80497</v>
      </c>
      <c r="I58" s="18">
        <f>Historical!I37</f>
        <v>67182</v>
      </c>
      <c r="J58" s="18">
        <f>Historical!J37</f>
        <v>68041</v>
      </c>
      <c r="K58" s="18">
        <f>Historical!K37</f>
        <v>72362</v>
      </c>
      <c r="L58" s="18">
        <f>Historical!L37</f>
        <v>73813</v>
      </c>
      <c r="M58" s="18">
        <f>Historical!M37</f>
        <v>61295</v>
      </c>
      <c r="N58" s="18">
        <f>Historical!N37</f>
        <v>71818</v>
      </c>
      <c r="O58" s="18">
        <f>Historical!O37</f>
        <v>71629</v>
      </c>
      <c r="P58" s="51"/>
      <c r="Q58" s="51"/>
      <c r="R58" s="51"/>
      <c r="S58" s="51"/>
      <c r="T58" s="51"/>
      <c r="U58" s="51"/>
      <c r="W58" s="29">
        <f>IFERROR((O58/F58)^(1/9)-1,"n/a")</f>
        <v>-2.983051102569112E-2</v>
      </c>
      <c r="X58" s="29">
        <f>IFERROR((O58/L58)^(1/3)-1,"n/a")</f>
        <v>-9.9616665887675149E-3</v>
      </c>
      <c r="Y58" s="29">
        <f t="shared" ref="Y58" si="43">IFERROR((T58/O58)^(1/5)-1,"n/a")</f>
        <v>-1</v>
      </c>
    </row>
    <row r="59" spans="3:27" x14ac:dyDescent="0.15">
      <c r="C59" s="8" t="s">
        <v>163</v>
      </c>
      <c r="E59" s="13" t="s">
        <v>55</v>
      </c>
      <c r="F59" s="20">
        <f>Historical!F38</f>
        <v>14139</v>
      </c>
      <c r="G59" s="20">
        <f>Historical!G38</f>
        <v>17264</v>
      </c>
      <c r="H59" s="20">
        <f>Historical!H38</f>
        <v>15453</v>
      </c>
      <c r="I59" s="20">
        <f>Historical!I38</f>
        <v>9681</v>
      </c>
      <c r="J59" s="20">
        <f>Historical!J38</f>
        <v>9447</v>
      </c>
      <c r="K59" s="20">
        <f>Historical!K38</f>
        <v>10950</v>
      </c>
      <c r="L59" s="20">
        <f>Historical!L38</f>
        <v>8421</v>
      </c>
      <c r="M59" s="20">
        <f>Historical!M38</f>
        <v>5207</v>
      </c>
      <c r="N59" s="20">
        <f>Historical!N38</f>
        <v>6127</v>
      </c>
      <c r="O59" s="20">
        <f>Historical!O38</f>
        <v>6395</v>
      </c>
      <c r="P59" s="57"/>
      <c r="Q59" s="57"/>
      <c r="R59" s="57"/>
      <c r="S59" s="57"/>
      <c r="T59" s="57"/>
      <c r="U59" s="57"/>
      <c r="W59" s="29">
        <f t="shared" ref="W59:W77" si="44">IFERROR((O59/F59)^(1/9)-1,"n/a")</f>
        <v>-8.4383649623188339E-2</v>
      </c>
      <c r="X59" s="29">
        <f t="shared" ref="X59:X77" si="45">IFERROR((O59/L59)^(1/3)-1,"n/a")</f>
        <v>-8.7655285294620633E-2</v>
      </c>
      <c r="Y59" s="29">
        <f t="shared" ref="Y59:Y77" si="46">IFERROR((T59/O59)^(1/5)-1,"n/a")</f>
        <v>-1</v>
      </c>
    </row>
    <row r="60" spans="3:27" x14ac:dyDescent="0.15">
      <c r="E60" s="5" t="s">
        <v>56</v>
      </c>
      <c r="F60" s="19">
        <f t="shared" ref="F60" si="47">SUM(F58:F59)</f>
        <v>108211</v>
      </c>
      <c r="G60" s="19">
        <f t="shared" ref="G60:M60" si="48">SUM(G58:G59)</f>
        <v>101239</v>
      </c>
      <c r="H60" s="19">
        <f t="shared" si="48"/>
        <v>95950</v>
      </c>
      <c r="I60" s="19">
        <f t="shared" si="48"/>
        <v>76863</v>
      </c>
      <c r="J60" s="19">
        <f t="shared" si="48"/>
        <v>77488</v>
      </c>
      <c r="K60" s="19">
        <f t="shared" si="48"/>
        <v>83312</v>
      </c>
      <c r="L60" s="19">
        <f t="shared" si="48"/>
        <v>82234</v>
      </c>
      <c r="M60" s="19">
        <f t="shared" si="48"/>
        <v>66502</v>
      </c>
      <c r="N60" s="19">
        <f>SUM(N58:N59)</f>
        <v>77945</v>
      </c>
      <c r="O60" s="19">
        <f>SUM(O58:O59)</f>
        <v>78024</v>
      </c>
      <c r="P60" s="19">
        <f>P93</f>
        <v>75340.162879776122</v>
      </c>
      <c r="Q60" s="19">
        <f t="shared" ref="Q60:U60" si="49">Q93</f>
        <v>78956.466928034453</v>
      </c>
      <c r="R60" s="19">
        <f t="shared" si="49"/>
        <v>82488.561693178257</v>
      </c>
      <c r="S60" s="19">
        <f t="shared" si="49"/>
        <v>85946.378685692922</v>
      </c>
      <c r="T60" s="19">
        <f t="shared" si="49"/>
        <v>89339.186104323264</v>
      </c>
      <c r="U60" s="19">
        <f t="shared" si="49"/>
        <v>92577.935003584775</v>
      </c>
      <c r="W60" s="41">
        <f t="shared" si="44"/>
        <v>-3.5688330610342267E-2</v>
      </c>
      <c r="X60" s="41">
        <f t="shared" si="45"/>
        <v>-1.7364918075768898E-2</v>
      </c>
      <c r="Y60" s="41">
        <f t="shared" si="46"/>
        <v>2.7454872611272219E-2</v>
      </c>
    </row>
    <row r="61" spans="3:27" x14ac:dyDescent="0.15">
      <c r="E61" s="13" t="s">
        <v>50</v>
      </c>
      <c r="F61" s="18">
        <f>Historical!F40</f>
        <v>6753</v>
      </c>
      <c r="G61" s="18">
        <f>Historical!G40</f>
        <v>10319</v>
      </c>
      <c r="H61" s="18">
        <f>Historical!H40</f>
        <v>14153</v>
      </c>
      <c r="I61" s="18">
        <f>Historical!I40</f>
        <v>15871</v>
      </c>
      <c r="J61" s="18">
        <f>Historical!J40</f>
        <v>15613</v>
      </c>
      <c r="K61" s="18">
        <f>Historical!K40</f>
        <v>13426</v>
      </c>
      <c r="L61" s="18">
        <f>Historical!L40</f>
        <v>15246</v>
      </c>
      <c r="M61" s="18">
        <f>Historical!M40</f>
        <v>17236</v>
      </c>
      <c r="N61" s="18">
        <f>Historical!N40</f>
        <v>12428</v>
      </c>
      <c r="O61" s="18">
        <f>Historical!O40</f>
        <v>12501</v>
      </c>
      <c r="P61" s="18">
        <f>SUM(P60,P62,P63,P64)</f>
        <v>87438.641099618733</v>
      </c>
      <c r="Q61" s="18">
        <f t="shared" ref="Q61:U61" si="50">SUM(Q60,Q62,Q63,Q64)</f>
        <v>91293.469821584353</v>
      </c>
      <c r="R61" s="18">
        <f t="shared" si="50"/>
        <v>95068.825305002683</v>
      </c>
      <c r="S61" s="18">
        <f t="shared" si="50"/>
        <v>98774.733436761424</v>
      </c>
      <c r="T61" s="18">
        <f t="shared" si="50"/>
        <v>102420.55867609076</v>
      </c>
      <c r="U61" s="18">
        <f t="shared" si="50"/>
        <v>105790.12130106994</v>
      </c>
      <c r="W61" s="29">
        <f t="shared" si="44"/>
        <v>7.0819928551458577E-2</v>
      </c>
      <c r="X61" s="29">
        <f t="shared" si="45"/>
        <v>-6.4027806569489365E-2</v>
      </c>
      <c r="Y61" s="29">
        <f t="shared" si="46"/>
        <v>0.52295993042812361</v>
      </c>
      <c r="AA61" s="35" t="s">
        <v>180</v>
      </c>
    </row>
    <row r="62" spans="3:27" x14ac:dyDescent="0.15">
      <c r="C62" s="8" t="s">
        <v>168</v>
      </c>
      <c r="E62" s="13" t="s">
        <v>51</v>
      </c>
      <c r="F62" s="18">
        <f>Historical!F41</f>
        <v>4321</v>
      </c>
      <c r="G62" s="18">
        <f>Historical!G41</f>
        <v>3155</v>
      </c>
      <c r="H62" s="18">
        <f>Historical!H41</f>
        <v>2836</v>
      </c>
      <c r="I62" s="18">
        <f>Historical!I41</f>
        <v>3096</v>
      </c>
      <c r="J62" s="18">
        <f>Historical!J41</f>
        <v>3462</v>
      </c>
      <c r="K62" s="18">
        <f>Historical!K41</f>
        <v>3364</v>
      </c>
      <c r="L62" s="18">
        <f>Historical!L41</f>
        <v>6059</v>
      </c>
      <c r="M62" s="18">
        <f>Historical!M41</f>
        <v>5426</v>
      </c>
      <c r="N62" s="18">
        <f>Historical!N41</f>
        <v>4594</v>
      </c>
      <c r="O62" s="18">
        <f>Historical!O41</f>
        <v>5169</v>
      </c>
      <c r="P62" s="18">
        <f>O62*(1+P$24)</f>
        <v>5283.1827252147032</v>
      </c>
      <c r="Q62" s="18">
        <f t="shared" ref="Q62:U62" si="51">P62*(1+Q$24)</f>
        <v>5387.342059369721</v>
      </c>
      <c r="R62" s="18">
        <f t="shared" si="51"/>
        <v>5493.5695370043468</v>
      </c>
      <c r="S62" s="18">
        <f t="shared" si="51"/>
        <v>5601.9063705561366</v>
      </c>
      <c r="T62" s="18">
        <f t="shared" si="51"/>
        <v>5712.3945952070808</v>
      </c>
      <c r="U62" s="18">
        <f t="shared" si="51"/>
        <v>5769.5185411591519</v>
      </c>
      <c r="W62" s="29">
        <f t="shared" si="44"/>
        <v>2.0109796850222406E-2</v>
      </c>
      <c r="X62" s="29">
        <f t="shared" si="45"/>
        <v>-5.157747503533916E-2</v>
      </c>
      <c r="Y62" s="29">
        <f t="shared" si="46"/>
        <v>2.0192986291499571E-2</v>
      </c>
    </row>
    <row r="63" spans="3:27" x14ac:dyDescent="0.15">
      <c r="C63" s="8" t="s">
        <v>168</v>
      </c>
      <c r="E63" s="13" t="s">
        <v>52</v>
      </c>
      <c r="F63" s="18">
        <f>Historical!F42</f>
        <v>4292</v>
      </c>
      <c r="G63" s="18">
        <f>Historical!G42</f>
        <v>3411</v>
      </c>
      <c r="H63" s="18">
        <f>Historical!H42</f>
        <v>3673</v>
      </c>
      <c r="I63" s="18">
        <f>Historical!I42</f>
        <v>3764</v>
      </c>
      <c r="J63" s="18">
        <f>Historical!J42</f>
        <v>3840</v>
      </c>
      <c r="K63" s="18">
        <f>Historical!K42</f>
        <v>4101</v>
      </c>
      <c r="L63" s="18">
        <f>Historical!L42</f>
        <v>4426</v>
      </c>
      <c r="M63" s="18">
        <f>Historical!M42</f>
        <v>4935</v>
      </c>
      <c r="N63" s="18">
        <f>Historical!N42</f>
        <v>5220</v>
      </c>
      <c r="O63" s="18">
        <f>Historical!O42</f>
        <v>5828</v>
      </c>
      <c r="P63" s="18">
        <f>O63*(1+P$24)</f>
        <v>5956.7399734090332</v>
      </c>
      <c r="Q63" s="18">
        <f t="shared" ref="Q63:U63" si="52">P63*(1+Q$24)</f>
        <v>6074.1786655072046</v>
      </c>
      <c r="R63" s="18">
        <f t="shared" si="52"/>
        <v>6193.9491703736385</v>
      </c>
      <c r="S63" s="18">
        <f t="shared" si="52"/>
        <v>6316.0979546529634</v>
      </c>
      <c r="T63" s="18">
        <f t="shared" si="52"/>
        <v>6440.6724126265945</v>
      </c>
      <c r="U63" s="18">
        <f t="shared" si="52"/>
        <v>6505.0791367528609</v>
      </c>
      <c r="W63" s="29">
        <f t="shared" si="44"/>
        <v>3.4575532721125013E-2</v>
      </c>
      <c r="X63" s="29">
        <f t="shared" si="45"/>
        <v>9.6064330192798808E-2</v>
      </c>
      <c r="Y63" s="29">
        <f t="shared" si="46"/>
        <v>2.0192986291499571E-2</v>
      </c>
    </row>
    <row r="64" spans="3:27" x14ac:dyDescent="0.15">
      <c r="C64" s="8" t="s">
        <v>168</v>
      </c>
      <c r="E64" s="13" t="s">
        <v>57</v>
      </c>
      <c r="F64" s="20">
        <f>Historical!F43</f>
        <v>1003</v>
      </c>
      <c r="G64" s="20">
        <f>Historical!G43</f>
        <v>829</v>
      </c>
      <c r="H64" s="20">
        <f>Historical!H43</f>
        <v>394</v>
      </c>
      <c r="I64" s="20">
        <f>Historical!I43</f>
        <v>12399</v>
      </c>
      <c r="J64" s="20">
        <f>Historical!J43</f>
        <v>458</v>
      </c>
      <c r="K64" s="20">
        <f>Historical!K43</f>
        <v>580</v>
      </c>
      <c r="L64" s="20">
        <f>Historical!L43</f>
        <v>962</v>
      </c>
      <c r="M64" s="20">
        <f>Historical!M43</f>
        <v>1067</v>
      </c>
      <c r="N64" s="20">
        <f>Historical!N43</f>
        <v>1109</v>
      </c>
      <c r="O64" s="20">
        <f>Historical!O43</f>
        <v>840</v>
      </c>
      <c r="P64" s="20">
        <f t="shared" ref="P64:U64" si="53">O64*(1+P$24)</f>
        <v>858.55552121887229</v>
      </c>
      <c r="Q64" s="20">
        <f t="shared" si="53"/>
        <v>875.48216867296696</v>
      </c>
      <c r="R64" s="20">
        <f t="shared" si="53"/>
        <v>892.74490444644061</v>
      </c>
      <c r="S64" s="20">
        <f t="shared" si="53"/>
        <v>910.3504258593839</v>
      </c>
      <c r="T64" s="20">
        <f t="shared" si="53"/>
        <v>928.30556393382631</v>
      </c>
      <c r="U64" s="20">
        <f t="shared" si="53"/>
        <v>937.58861957316458</v>
      </c>
      <c r="W64" s="29">
        <f t="shared" si="44"/>
        <v>-1.9512549885316588E-2</v>
      </c>
      <c r="X64" s="29">
        <f t="shared" si="45"/>
        <v>-4.4197699805307522E-2</v>
      </c>
      <c r="Y64" s="29">
        <f t="shared" si="46"/>
        <v>2.0192986291499571E-2</v>
      </c>
    </row>
    <row r="65" spans="3:27" x14ac:dyDescent="0.15">
      <c r="E65" s="5" t="s">
        <v>58</v>
      </c>
      <c r="F65" s="19">
        <f t="shared" ref="F65:N65" si="54">SUM(F61:F64)</f>
        <v>16369</v>
      </c>
      <c r="G65" s="19">
        <f t="shared" si="54"/>
        <v>17714</v>
      </c>
      <c r="H65" s="19">
        <f t="shared" si="54"/>
        <v>21056</v>
      </c>
      <c r="I65" s="19">
        <f t="shared" si="54"/>
        <v>35130</v>
      </c>
      <c r="J65" s="19">
        <f t="shared" si="54"/>
        <v>23373</v>
      </c>
      <c r="K65" s="19">
        <f t="shared" si="54"/>
        <v>21471</v>
      </c>
      <c r="L65" s="19">
        <f t="shared" si="54"/>
        <v>26693</v>
      </c>
      <c r="M65" s="19">
        <f t="shared" si="54"/>
        <v>28664</v>
      </c>
      <c r="N65" s="19">
        <f t="shared" si="54"/>
        <v>23351</v>
      </c>
      <c r="O65" s="19">
        <f>SUM(O61:O64)</f>
        <v>24338</v>
      </c>
      <c r="P65" s="19">
        <f>SUM(P61:P64)</f>
        <v>99537.119319461344</v>
      </c>
      <c r="Q65" s="19">
        <f t="shared" ref="Q65:U65" si="55">SUM(Q61:Q64)</f>
        <v>103630.47271513425</v>
      </c>
      <c r="R65" s="19">
        <f t="shared" si="55"/>
        <v>107649.08891682711</v>
      </c>
      <c r="S65" s="19">
        <f t="shared" si="55"/>
        <v>111603.08818782991</v>
      </c>
      <c r="T65" s="19">
        <f t="shared" si="55"/>
        <v>115501.93124785826</v>
      </c>
      <c r="U65" s="19">
        <f t="shared" si="55"/>
        <v>119002.30759855511</v>
      </c>
      <c r="W65" s="41">
        <f t="shared" si="44"/>
        <v>4.5057783595464862E-2</v>
      </c>
      <c r="X65" s="41">
        <f t="shared" si="45"/>
        <v>-3.0318373319757064E-2</v>
      </c>
      <c r="Y65" s="41">
        <f t="shared" si="46"/>
        <v>0.36540306004449197</v>
      </c>
    </row>
    <row r="66" spans="3:27" ht="14" thickBot="1" x14ac:dyDescent="0.2">
      <c r="E66" s="5" t="s">
        <v>59</v>
      </c>
      <c r="F66" s="23">
        <f t="shared" ref="F66:N66" si="56">+F65+F60</f>
        <v>124580</v>
      </c>
      <c r="G66" s="23">
        <f t="shared" si="56"/>
        <v>118953</v>
      </c>
      <c r="H66" s="23">
        <f t="shared" si="56"/>
        <v>117006</v>
      </c>
      <c r="I66" s="23">
        <f t="shared" si="56"/>
        <v>111993</v>
      </c>
      <c r="J66" s="23">
        <f t="shared" si="56"/>
        <v>100861</v>
      </c>
      <c r="K66" s="23">
        <f t="shared" si="56"/>
        <v>104783</v>
      </c>
      <c r="L66" s="23">
        <f t="shared" si="56"/>
        <v>108927</v>
      </c>
      <c r="M66" s="23">
        <f t="shared" si="56"/>
        <v>95166</v>
      </c>
      <c r="N66" s="23">
        <f t="shared" si="56"/>
        <v>101296</v>
      </c>
      <c r="O66" s="23">
        <f>+O65+O60</f>
        <v>102362</v>
      </c>
      <c r="P66" s="23">
        <f>+P65+P60</f>
        <v>174877.28219923747</v>
      </c>
      <c r="Q66" s="23">
        <f t="shared" ref="Q66:U66" si="57">+Q65+Q60</f>
        <v>182586.93964316871</v>
      </c>
      <c r="R66" s="23">
        <f t="shared" si="57"/>
        <v>190137.65061000537</v>
      </c>
      <c r="S66" s="23">
        <f t="shared" si="57"/>
        <v>197549.46687352285</v>
      </c>
      <c r="T66" s="23">
        <f t="shared" si="57"/>
        <v>204841.11735218152</v>
      </c>
      <c r="U66" s="23">
        <f t="shared" si="57"/>
        <v>211580.24260213989</v>
      </c>
      <c r="W66" s="41">
        <f t="shared" si="44"/>
        <v>-2.1589376514299152E-2</v>
      </c>
      <c r="X66" s="41">
        <f t="shared" si="45"/>
        <v>-2.0507593811057045E-2</v>
      </c>
      <c r="Y66" s="41">
        <f t="shared" si="46"/>
        <v>0.14882975310894664</v>
      </c>
    </row>
    <row r="67" spans="3:27" ht="3" customHeight="1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W67" s="29"/>
      <c r="X67" s="29"/>
      <c r="Y67" s="29"/>
    </row>
    <row r="68" spans="3:27" x14ac:dyDescent="0.15">
      <c r="C68" s="8" t="s">
        <v>164</v>
      </c>
      <c r="E68" s="13" t="s">
        <v>61</v>
      </c>
      <c r="F68" s="18">
        <f>Historical!F47*-1</f>
        <v>-64768</v>
      </c>
      <c r="G68" s="18">
        <f>Historical!G47*-1</f>
        <v>-54290</v>
      </c>
      <c r="H68" s="18">
        <f>Historical!H47*-1</f>
        <v>-57258</v>
      </c>
      <c r="I68" s="18">
        <f>Historical!I47*-1</f>
        <v>-55592</v>
      </c>
      <c r="J68" s="18">
        <f>Historical!J47*-1</f>
        <v>-47240</v>
      </c>
      <c r="K68" s="18">
        <f>Historical!K47*-1</f>
        <v>-47936</v>
      </c>
      <c r="L68" s="18">
        <f>Historical!L47*-1</f>
        <v>-51264</v>
      </c>
      <c r="M68" s="18">
        <f>Historical!M47*-1</f>
        <v>-44957</v>
      </c>
      <c r="N68" s="18">
        <f>Historical!N47*-1</f>
        <v>-44496</v>
      </c>
      <c r="O68" s="18">
        <f>Historical!O47*-1</f>
        <v>-44811</v>
      </c>
      <c r="P68" s="51"/>
      <c r="Q68" s="51"/>
      <c r="R68" s="51"/>
      <c r="S68" s="51"/>
      <c r="T68" s="51"/>
      <c r="U68" s="51"/>
      <c r="W68" s="29">
        <f t="shared" si="44"/>
        <v>-4.0102400783142422E-2</v>
      </c>
      <c r="X68" s="29">
        <f t="shared" si="45"/>
        <v>-4.3854360999819653E-2</v>
      </c>
      <c r="Y68" s="29">
        <f t="shared" si="46"/>
        <v>-1</v>
      </c>
    </row>
    <row r="69" spans="3:27" x14ac:dyDescent="0.15">
      <c r="C69" s="8" t="s">
        <v>164</v>
      </c>
      <c r="E69" s="13" t="s">
        <v>62</v>
      </c>
      <c r="F69" s="20">
        <f>Historical!F48*-1</f>
        <v>-5777</v>
      </c>
      <c r="G69" s="20">
        <f>Historical!G48*-1</f>
        <v>-5781</v>
      </c>
      <c r="H69" s="20">
        <f>Historical!H48*-1</f>
        <v>-5468</v>
      </c>
      <c r="I69" s="20">
        <f>Historical!I48*-1</f>
        <v>-5078</v>
      </c>
      <c r="J69" s="20">
        <f>Historical!J48*-1</f>
        <v>-4584</v>
      </c>
      <c r="K69" s="20">
        <f>Historical!K48*-1</f>
        <v>-4310</v>
      </c>
      <c r="L69" s="20">
        <f>Historical!L48*-1</f>
        <v>-4341</v>
      </c>
      <c r="M69" s="20">
        <f>Historical!M48*-1</f>
        <v>-3809</v>
      </c>
      <c r="N69" s="20">
        <f>Historical!N48*-1</f>
        <v>-4034</v>
      </c>
      <c r="O69" s="20">
        <f>Historical!O48*-1</f>
        <v>-4309</v>
      </c>
      <c r="P69" s="57"/>
      <c r="Q69" s="57"/>
      <c r="R69" s="57"/>
      <c r="S69" s="57"/>
      <c r="T69" s="57"/>
      <c r="U69" s="57"/>
      <c r="W69" s="29">
        <f t="shared" si="44"/>
        <v>-3.2050542565487339E-2</v>
      </c>
      <c r="X69" s="29">
        <f t="shared" si="45"/>
        <v>-2.4632537604569738E-3</v>
      </c>
      <c r="Y69" s="29">
        <f t="shared" si="46"/>
        <v>-1</v>
      </c>
    </row>
    <row r="70" spans="3:27" x14ac:dyDescent="0.15">
      <c r="C70" s="69"/>
      <c r="E70" s="5" t="s">
        <v>63</v>
      </c>
      <c r="F70" s="19">
        <f t="shared" ref="F70:N70" si="58">SUM(F68:F69)</f>
        <v>-70545</v>
      </c>
      <c r="G70" s="19">
        <f t="shared" si="58"/>
        <v>-60071</v>
      </c>
      <c r="H70" s="19">
        <f t="shared" si="58"/>
        <v>-62726</v>
      </c>
      <c r="I70" s="19">
        <f t="shared" si="58"/>
        <v>-60670</v>
      </c>
      <c r="J70" s="19">
        <f t="shared" si="58"/>
        <v>-51824</v>
      </c>
      <c r="K70" s="19">
        <f t="shared" si="58"/>
        <v>-52246</v>
      </c>
      <c r="L70" s="19">
        <f t="shared" si="58"/>
        <v>-55605</v>
      </c>
      <c r="M70" s="19">
        <f t="shared" si="58"/>
        <v>-48766</v>
      </c>
      <c r="N70" s="19">
        <f t="shared" si="58"/>
        <v>-48530</v>
      </c>
      <c r="O70" s="19">
        <f>SUM(O68:O69)</f>
        <v>-49120</v>
      </c>
      <c r="P70" s="19">
        <f>O70</f>
        <v>-49120</v>
      </c>
      <c r="Q70" s="19">
        <f t="shared" ref="Q70:U70" si="59">P70</f>
        <v>-49120</v>
      </c>
      <c r="R70" s="19">
        <f t="shared" si="59"/>
        <v>-49120</v>
      </c>
      <c r="S70" s="19">
        <f t="shared" si="59"/>
        <v>-49120</v>
      </c>
      <c r="T70" s="19">
        <f t="shared" si="59"/>
        <v>-49120</v>
      </c>
      <c r="U70" s="19">
        <f t="shared" si="59"/>
        <v>-49120</v>
      </c>
      <c r="W70" s="41">
        <f t="shared" si="44"/>
        <v>-3.9422393722578164E-2</v>
      </c>
      <c r="X70" s="41">
        <f t="shared" si="45"/>
        <v>-4.0492947914153143E-2</v>
      </c>
      <c r="Y70" s="41">
        <f t="shared" si="46"/>
        <v>0</v>
      </c>
      <c r="AA70" s="35" t="s">
        <v>179</v>
      </c>
    </row>
    <row r="71" spans="3:27" x14ac:dyDescent="0.15">
      <c r="C71" s="8" t="s">
        <v>168</v>
      </c>
      <c r="E71" t="s">
        <v>64</v>
      </c>
      <c r="F71" s="18">
        <f>Historical!F50*-1</f>
        <v>-7418</v>
      </c>
      <c r="G71" s="18">
        <f>Historical!G50*-1</f>
        <v>-5402</v>
      </c>
      <c r="H71" s="18">
        <f>Historical!H50*-1</f>
        <v>-5556</v>
      </c>
      <c r="I71" s="18">
        <f>Historical!I50*-1</f>
        <v>-5980</v>
      </c>
      <c r="J71" s="18">
        <f>Historical!J50*-1</f>
        <v>-6722</v>
      </c>
      <c r="K71" s="18">
        <f>Historical!K50*-1</f>
        <v>-5768</v>
      </c>
      <c r="L71" s="18">
        <f>Historical!L50*-1</f>
        <v>-7027</v>
      </c>
      <c r="M71" s="18">
        <f>Historical!M50*-1</f>
        <v>-6687</v>
      </c>
      <c r="N71" s="18">
        <f>Historical!N50*-1</f>
        <v>-6300</v>
      </c>
      <c r="O71" s="18">
        <f>Historical!O50*-1</f>
        <v>-6764</v>
      </c>
      <c r="P71" s="18">
        <f>O71*(1+P$24)</f>
        <v>-6913.4161256243478</v>
      </c>
      <c r="Q71" s="18">
        <f t="shared" ref="Q71:U71" si="60">P71*(1+Q$24)</f>
        <v>-7049.7159391713676</v>
      </c>
      <c r="R71" s="18">
        <f t="shared" si="60"/>
        <v>-7188.7220638996723</v>
      </c>
      <c r="S71" s="18">
        <f t="shared" si="60"/>
        <v>-7330.4884291819917</v>
      </c>
      <c r="T71" s="18">
        <f t="shared" si="60"/>
        <v>-7475.0700410100017</v>
      </c>
      <c r="U71" s="18">
        <f t="shared" si="60"/>
        <v>-7549.8207414201015</v>
      </c>
      <c r="W71" s="29">
        <f t="shared" si="44"/>
        <v>-1.020260205451462E-2</v>
      </c>
      <c r="X71" s="29">
        <f t="shared" si="45"/>
        <v>-1.2634651109362793E-2</v>
      </c>
      <c r="Y71" s="29">
        <f t="shared" si="46"/>
        <v>2.0192986291499571E-2</v>
      </c>
    </row>
    <row r="72" spans="3:27" x14ac:dyDescent="0.15">
      <c r="C72" s="8" t="s">
        <v>165</v>
      </c>
      <c r="E72" t="s">
        <v>65</v>
      </c>
      <c r="F72" s="18">
        <f>Historical!F51*-1</f>
        <v>-31170</v>
      </c>
      <c r="G72" s="18">
        <f>Historical!G51*-1</f>
        <v>-36421</v>
      </c>
      <c r="H72" s="18">
        <f>Historical!H51*-1</f>
        <v>-30474</v>
      </c>
      <c r="I72" s="18">
        <f>Historical!I51*-1</f>
        <v>-26805</v>
      </c>
      <c r="J72" s="18">
        <f>Historical!J51*-1</f>
        <v>-24828</v>
      </c>
      <c r="K72" s="18">
        <f>Historical!K51*-1</f>
        <v>-27048</v>
      </c>
      <c r="L72" s="18">
        <f>Historical!L51*-1</f>
        <v>-20983</v>
      </c>
      <c r="M72" s="18">
        <f>Historical!M51*-1</f>
        <v>-16428</v>
      </c>
      <c r="N72" s="18">
        <f>Historical!N51*-1</f>
        <v>-22345</v>
      </c>
      <c r="O72" s="18">
        <f>Historical!O51*-1</f>
        <v>-20718</v>
      </c>
      <c r="P72" s="18">
        <f t="shared" ref="P72:U75" si="61">O72*(1+P$24)</f>
        <v>-21175.658676919757</v>
      </c>
      <c r="Q72" s="18">
        <f t="shared" si="61"/>
        <v>-21593.142345912533</v>
      </c>
      <c r="R72" s="18">
        <f t="shared" si="61"/>
        <v>-22018.915393239709</v>
      </c>
      <c r="S72" s="18">
        <f t="shared" si="61"/>
        <v>-22453.143003517518</v>
      </c>
      <c r="T72" s="18">
        <f t="shared" si="61"/>
        <v>-22895.993659025014</v>
      </c>
      <c r="U72" s="18">
        <f t="shared" si="61"/>
        <v>-23124.953595615265</v>
      </c>
      <c r="W72" s="29">
        <f t="shared" si="44"/>
        <v>-4.4369254070172226E-2</v>
      </c>
      <c r="X72" s="29">
        <f t="shared" si="45"/>
        <v>-4.2276045591143063E-3</v>
      </c>
      <c r="Y72" s="29">
        <f t="shared" si="46"/>
        <v>2.0192986291499571E-2</v>
      </c>
    </row>
    <row r="73" spans="3:27" x14ac:dyDescent="0.15">
      <c r="C73" s="8" t="s">
        <v>165</v>
      </c>
      <c r="E73" t="s">
        <v>67</v>
      </c>
      <c r="F73" s="18">
        <f>Historical!F52*-1</f>
        <v>-1282</v>
      </c>
      <c r="G73" s="18">
        <f>Historical!G52*-1</f>
        <v>-1783</v>
      </c>
      <c r="H73" s="18">
        <f>Historical!H52*-1</f>
        <v>-1500</v>
      </c>
      <c r="I73" s="18">
        <f>Historical!I52*-1</f>
        <v>-1231</v>
      </c>
      <c r="J73" s="18">
        <f>Historical!J52*-1</f>
        <v>-1023</v>
      </c>
      <c r="K73" s="18">
        <f>Historical!K52*-1</f>
        <v>-1639</v>
      </c>
      <c r="L73" s="18">
        <f>Historical!L52*-1</f>
        <v>-1276</v>
      </c>
      <c r="M73" s="18">
        <f>Historical!M52*-1</f>
        <v>-2576</v>
      </c>
      <c r="N73" s="18">
        <f>Historical!N52*-1</f>
        <v>-2559</v>
      </c>
      <c r="O73" s="18">
        <f>Historical!O52*-1</f>
        <v>-2271</v>
      </c>
      <c r="P73" s="18">
        <f t="shared" si="61"/>
        <v>-2321.1661770095939</v>
      </c>
      <c r="Q73" s="18">
        <f t="shared" si="61"/>
        <v>-2366.9285774479854</v>
      </c>
      <c r="R73" s="18">
        <f t="shared" si="61"/>
        <v>-2413.5996166641266</v>
      </c>
      <c r="S73" s="18">
        <f t="shared" si="61"/>
        <v>-2461.1974013412623</v>
      </c>
      <c r="T73" s="18">
        <f t="shared" si="61"/>
        <v>-2509.7403996353801</v>
      </c>
      <c r="U73" s="18">
        <f t="shared" si="61"/>
        <v>-2534.837803631734</v>
      </c>
      <c r="W73" s="29">
        <f t="shared" si="44"/>
        <v>6.5594875351186799E-2</v>
      </c>
      <c r="X73" s="29">
        <f t="shared" si="45"/>
        <v>0.21186847090226024</v>
      </c>
      <c r="Y73" s="29">
        <f t="shared" si="46"/>
        <v>2.0192986291499349E-2</v>
      </c>
    </row>
    <row r="74" spans="3:27" x14ac:dyDescent="0.15">
      <c r="C74" s="8" t="s">
        <v>165</v>
      </c>
      <c r="E74" t="s">
        <v>66</v>
      </c>
      <c r="F74" s="18">
        <f>Historical!F53*-1</f>
        <v>-8982</v>
      </c>
      <c r="G74" s="18">
        <f>Historical!G53*-1</f>
        <v>-10146</v>
      </c>
      <c r="H74" s="18">
        <f>Historical!H53*-1</f>
        <v>-10404</v>
      </c>
      <c r="I74" s="18">
        <f>Historical!I53*-1</f>
        <v>-10248</v>
      </c>
      <c r="J74" s="18">
        <f>Historical!J53*-1</f>
        <v>-11103</v>
      </c>
      <c r="K74" s="18">
        <f>Historical!K53*-1</f>
        <v>-13995</v>
      </c>
      <c r="L74" s="18">
        <f>Historical!L53*-1</f>
        <v>-17495</v>
      </c>
      <c r="M74" s="18">
        <f>Historical!M53*-1</f>
        <v>-14443</v>
      </c>
      <c r="N74" s="18">
        <f>Historical!N53*-1</f>
        <v>-16487</v>
      </c>
      <c r="O74" s="18">
        <f>Historical!O53*-1</f>
        <v>-19095</v>
      </c>
      <c r="P74" s="18">
        <f t="shared" si="61"/>
        <v>-19516.806759136151</v>
      </c>
      <c r="Q74" s="18">
        <f t="shared" si="61"/>
        <v>-19901.585727155125</v>
      </c>
      <c r="R74" s="18">
        <f t="shared" si="61"/>
        <v>-20294.00470286284</v>
      </c>
      <c r="S74" s="18">
        <f t="shared" si="61"/>
        <v>-20694.215930696351</v>
      </c>
      <c r="T74" s="18">
        <f t="shared" si="61"/>
        <v>-21102.374694424303</v>
      </c>
      <c r="U74" s="18">
        <f t="shared" si="61"/>
        <v>-21313.398441368547</v>
      </c>
      <c r="W74" s="29">
        <f t="shared" si="44"/>
        <v>8.7411866552221218E-2</v>
      </c>
      <c r="X74" s="29">
        <f t="shared" si="45"/>
        <v>2.9600090247357214E-2</v>
      </c>
      <c r="Y74" s="29">
        <f t="shared" si="46"/>
        <v>2.0192986291499571E-2</v>
      </c>
    </row>
    <row r="75" spans="3:27" x14ac:dyDescent="0.15">
      <c r="C75" s="8" t="s">
        <v>168</v>
      </c>
      <c r="E75" t="s">
        <v>53</v>
      </c>
      <c r="F75" s="20">
        <f>Historical!F54*-1</f>
        <v>-5183</v>
      </c>
      <c r="G75" s="20">
        <f>Historical!G54*-1</f>
        <v>-5130</v>
      </c>
      <c r="H75" s="20">
        <f>Historical!H54*-1</f>
        <v>-6346</v>
      </c>
      <c r="I75" s="20">
        <f>Historical!I54*-1</f>
        <v>-7059</v>
      </c>
      <c r="J75" s="20">
        <f>Historical!J54*-1</f>
        <v>-5361</v>
      </c>
      <c r="K75" s="20">
        <f>Historical!K54*-1</f>
        <v>-4087</v>
      </c>
      <c r="L75" s="20">
        <f>Historical!L54*-1</f>
        <v>-6541</v>
      </c>
      <c r="M75" s="20">
        <f>Historical!M54*-1</f>
        <v>-6266</v>
      </c>
      <c r="N75" s="20">
        <f>Historical!N54*-1</f>
        <v>-5075</v>
      </c>
      <c r="O75" s="20">
        <f>Historical!O54*-1</f>
        <v>-4394</v>
      </c>
      <c r="P75" s="20">
        <f t="shared" si="61"/>
        <v>-4491.0630478996718</v>
      </c>
      <c r="Q75" s="20">
        <f t="shared" si="61"/>
        <v>-4579.6055347012098</v>
      </c>
      <c r="R75" s="20">
        <f t="shared" si="61"/>
        <v>-4669.9060834972133</v>
      </c>
      <c r="S75" s="20">
        <f t="shared" si="61"/>
        <v>-4761.9997276501572</v>
      </c>
      <c r="T75" s="20">
        <f t="shared" si="61"/>
        <v>-4855.9221999109905</v>
      </c>
      <c r="U75" s="20">
        <f t="shared" si="61"/>
        <v>-4904.4814219101008</v>
      </c>
      <c r="W75" s="29">
        <f t="shared" si="44"/>
        <v>-1.8182016425221659E-2</v>
      </c>
      <c r="X75" s="29">
        <f t="shared" si="45"/>
        <v>-0.12419927342788539</v>
      </c>
      <c r="Y75" s="29">
        <f t="shared" si="46"/>
        <v>2.0192986291499349E-2</v>
      </c>
    </row>
    <row r="76" spans="3:27" x14ac:dyDescent="0.15">
      <c r="E76" s="5" t="s">
        <v>60</v>
      </c>
      <c r="F76" s="19">
        <f t="shared" ref="F76" si="62">SUM(F71:F75)</f>
        <v>-54035</v>
      </c>
      <c r="G76" s="19">
        <f t="shared" ref="G76:N76" si="63">SUM(G71:G75)</f>
        <v>-58882</v>
      </c>
      <c r="H76" s="19">
        <f t="shared" si="63"/>
        <v>-54280</v>
      </c>
      <c r="I76" s="19">
        <f t="shared" si="63"/>
        <v>-51323</v>
      </c>
      <c r="J76" s="19">
        <f t="shared" si="63"/>
        <v>-49037</v>
      </c>
      <c r="K76" s="19">
        <f t="shared" si="63"/>
        <v>-52537</v>
      </c>
      <c r="L76" s="19">
        <f t="shared" si="63"/>
        <v>-53322</v>
      </c>
      <c r="M76" s="19">
        <f t="shared" si="63"/>
        <v>-46400</v>
      </c>
      <c r="N76" s="19">
        <f t="shared" si="63"/>
        <v>-52766</v>
      </c>
      <c r="O76" s="19">
        <f>SUM(O71:O75)</f>
        <v>-53242</v>
      </c>
      <c r="P76" s="19">
        <f t="shared" ref="P76:U76" si="64">SUM(P71:P75)</f>
        <v>-54418.110786589517</v>
      </c>
      <c r="Q76" s="19">
        <f t="shared" si="64"/>
        <v>-55490.978124388224</v>
      </c>
      <c r="R76" s="19">
        <f t="shared" si="64"/>
        <v>-56585.147860163561</v>
      </c>
      <c r="S76" s="19">
        <f t="shared" si="64"/>
        <v>-57701.044492387278</v>
      </c>
      <c r="T76" s="19">
        <f t="shared" si="64"/>
        <v>-58839.100994005697</v>
      </c>
      <c r="U76" s="19">
        <f t="shared" si="64"/>
        <v>-59427.49200394575</v>
      </c>
      <c r="W76" s="41">
        <f t="shared" si="44"/>
        <v>-1.6413655053590936E-3</v>
      </c>
      <c r="X76" s="41">
        <f t="shared" si="45"/>
        <v>-5.0035658754177259E-4</v>
      </c>
      <c r="Y76" s="41">
        <f t="shared" si="46"/>
        <v>2.0192986291499571E-2</v>
      </c>
    </row>
    <row r="77" spans="3:27" ht="14" thickBot="1" x14ac:dyDescent="0.2">
      <c r="E77" s="5" t="s">
        <v>68</v>
      </c>
      <c r="F77" s="23">
        <f t="shared" ref="F77:N77" si="65">+F76+F70</f>
        <v>-124580</v>
      </c>
      <c r="G77" s="23">
        <f t="shared" si="65"/>
        <v>-118953</v>
      </c>
      <c r="H77" s="23">
        <f t="shared" si="65"/>
        <v>-117006</v>
      </c>
      <c r="I77" s="23">
        <f t="shared" si="65"/>
        <v>-111993</v>
      </c>
      <c r="J77" s="23">
        <f t="shared" si="65"/>
        <v>-100861</v>
      </c>
      <c r="K77" s="23">
        <f t="shared" si="65"/>
        <v>-104783</v>
      </c>
      <c r="L77" s="23">
        <f t="shared" si="65"/>
        <v>-108927</v>
      </c>
      <c r="M77" s="23">
        <f t="shared" si="65"/>
        <v>-95166</v>
      </c>
      <c r="N77" s="23">
        <f t="shared" si="65"/>
        <v>-101296</v>
      </c>
      <c r="O77" s="23">
        <f>+O76+O70</f>
        <v>-102362</v>
      </c>
      <c r="P77" s="23">
        <f t="shared" ref="P77:U77" si="66">+P76+P70</f>
        <v>-103538.11078658952</v>
      </c>
      <c r="Q77" s="23">
        <f t="shared" si="66"/>
        <v>-104610.97812438823</v>
      </c>
      <c r="R77" s="23">
        <f t="shared" si="66"/>
        <v>-105705.14786016356</v>
      </c>
      <c r="S77" s="23">
        <f t="shared" si="66"/>
        <v>-106821.04449238727</v>
      </c>
      <c r="T77" s="23">
        <f t="shared" si="66"/>
        <v>-107959.1009940057</v>
      </c>
      <c r="U77" s="23">
        <f t="shared" si="66"/>
        <v>-108547.49200394575</v>
      </c>
      <c r="W77" s="41">
        <f t="shared" si="44"/>
        <v>-2.1589376514299152E-2</v>
      </c>
      <c r="X77" s="41">
        <f t="shared" si="45"/>
        <v>-2.0507593811057045E-2</v>
      </c>
      <c r="Y77" s="41">
        <f t="shared" si="46"/>
        <v>1.0704267270503998E-2</v>
      </c>
    </row>
    <row r="78" spans="3:27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U78" s="18"/>
    </row>
    <row r="79" spans="3:27" x14ac:dyDescent="0.15">
      <c r="E79" s="48" t="s">
        <v>114</v>
      </c>
      <c r="F79" s="26">
        <f>F70/F77</f>
        <v>0.56626264247872848</v>
      </c>
      <c r="G79" s="26">
        <f t="shared" ref="G79:U79" si="67">G70/G77</f>
        <v>0.50499777222936792</v>
      </c>
      <c r="H79" s="26">
        <f t="shared" si="67"/>
        <v>0.53609216621369848</v>
      </c>
      <c r="I79" s="26">
        <f t="shared" si="67"/>
        <v>0.5417302867143482</v>
      </c>
      <c r="J79" s="26">
        <f t="shared" si="67"/>
        <v>0.51381604386234525</v>
      </c>
      <c r="K79" s="26">
        <f t="shared" si="67"/>
        <v>0.49861141597396524</v>
      </c>
      <c r="L79" s="26">
        <f t="shared" si="67"/>
        <v>0.51047949544190141</v>
      </c>
      <c r="M79" s="26">
        <f t="shared" si="67"/>
        <v>0.51243091019902065</v>
      </c>
      <c r="N79" s="26">
        <f t="shared" si="67"/>
        <v>0.47909098088769547</v>
      </c>
      <c r="O79" s="26">
        <f t="shared" si="67"/>
        <v>0.47986557511576561</v>
      </c>
      <c r="P79" s="26">
        <f t="shared" si="67"/>
        <v>0.47441468293008615</v>
      </c>
      <c r="Q79" s="26">
        <f t="shared" si="67"/>
        <v>0.4695491895849937</v>
      </c>
      <c r="R79" s="26">
        <f t="shared" si="67"/>
        <v>0.4646888159598474</v>
      </c>
      <c r="S79" s="26">
        <f t="shared" si="67"/>
        <v>0.4598344851748814</v>
      </c>
      <c r="T79" s="26">
        <f t="shared" si="67"/>
        <v>0.45498711593316554</v>
      </c>
      <c r="U79" s="26">
        <f t="shared" si="67"/>
        <v>0.45252081916562814</v>
      </c>
    </row>
    <row r="80" spans="3:27" x14ac:dyDescent="0.15">
      <c r="E80" s="28" t="s">
        <v>169</v>
      </c>
      <c r="F80" s="29" t="s">
        <v>107</v>
      </c>
      <c r="G80" s="29">
        <f>G16/AVERAGE(F72:G72)</f>
        <v>3.4028199020579665E-2</v>
      </c>
      <c r="H80" s="29">
        <f t="shared" ref="H80:U80" si="68">H16/AVERAGE(G72:H72)</f>
        <v>4.6640257119366174E-2</v>
      </c>
      <c r="I80" s="29">
        <f t="shared" si="68"/>
        <v>5.471464236456642E-2</v>
      </c>
      <c r="J80" s="29">
        <f t="shared" si="68"/>
        <v>5.8489725563108864E-2</v>
      </c>
      <c r="K80" s="29">
        <f t="shared" si="68"/>
        <v>4.8654483768987587E-2</v>
      </c>
      <c r="L80" s="29">
        <f t="shared" si="68"/>
        <v>5.7379609002519205E-2</v>
      </c>
      <c r="M80" s="29">
        <f t="shared" si="68"/>
        <v>5.6133222848894708E-2</v>
      </c>
      <c r="N80" s="29">
        <f t="shared" si="68"/>
        <v>0.10625951048409976</v>
      </c>
      <c r="O80" s="29">
        <f t="shared" si="68"/>
        <v>0.10208299468220979</v>
      </c>
      <c r="P80" s="29">
        <f t="shared" si="68"/>
        <v>0</v>
      </c>
      <c r="Q80" s="29">
        <f t="shared" si="68"/>
        <v>0</v>
      </c>
      <c r="R80" s="29">
        <f t="shared" si="68"/>
        <v>0</v>
      </c>
      <c r="S80" s="29">
        <f t="shared" si="68"/>
        <v>0</v>
      </c>
      <c r="T80" s="29">
        <f t="shared" si="68"/>
        <v>0</v>
      </c>
      <c r="U80" s="29">
        <f t="shared" si="68"/>
        <v>0</v>
      </c>
    </row>
    <row r="81" spans="3:27" x14ac:dyDescent="0.15"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</row>
    <row r="82" spans="3:27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U82" s="18"/>
    </row>
    <row r="83" spans="3:27" x14ac:dyDescent="0.15">
      <c r="C83" s="8" t="s">
        <v>168</v>
      </c>
      <c r="E83" s="70" t="s">
        <v>166</v>
      </c>
      <c r="F83" s="71">
        <f>SUMIFS(F$58:F$77,$C$58:$C$77,$C83)</f>
        <v>-2985</v>
      </c>
      <c r="G83" s="71">
        <f t="shared" ref="G83:U84" si="69">SUMIFS(G$58:G$77,$C$58:$C$77,$C83)</f>
        <v>-3137</v>
      </c>
      <c r="H83" s="71">
        <f t="shared" si="69"/>
        <v>-4999</v>
      </c>
      <c r="I83" s="71">
        <f t="shared" si="69"/>
        <v>6220</v>
      </c>
      <c r="J83" s="71">
        <f t="shared" si="69"/>
        <v>-4323</v>
      </c>
      <c r="K83" s="71">
        <f t="shared" si="69"/>
        <v>-1810</v>
      </c>
      <c r="L83" s="71">
        <f t="shared" si="69"/>
        <v>-2121</v>
      </c>
      <c r="M83" s="71">
        <f t="shared" si="69"/>
        <v>-1525</v>
      </c>
      <c r="N83" s="71">
        <f t="shared" si="69"/>
        <v>-452</v>
      </c>
      <c r="O83" s="71">
        <f t="shared" si="69"/>
        <v>679</v>
      </c>
      <c r="P83" s="71">
        <f t="shared" si="69"/>
        <v>693.99904631858954</v>
      </c>
      <c r="Q83" s="71">
        <f t="shared" si="69"/>
        <v>707.68141967731481</v>
      </c>
      <c r="R83" s="71">
        <f t="shared" si="69"/>
        <v>721.63546442754068</v>
      </c>
      <c r="S83" s="71">
        <f t="shared" si="69"/>
        <v>735.866594236335</v>
      </c>
      <c r="T83" s="71">
        <f t="shared" si="69"/>
        <v>750.38033084650851</v>
      </c>
      <c r="U83" s="72">
        <f t="shared" si="69"/>
        <v>757.88413415497689</v>
      </c>
    </row>
    <row r="84" spans="3:27" x14ac:dyDescent="0.15">
      <c r="C84" s="8" t="s">
        <v>165</v>
      </c>
      <c r="E84" s="31" t="s">
        <v>167</v>
      </c>
      <c r="F84" s="20">
        <f>SUMIFS(F$58:F$77,$C$58:$C$77,$C84)</f>
        <v>-41434</v>
      </c>
      <c r="G84" s="20">
        <f t="shared" si="69"/>
        <v>-48350</v>
      </c>
      <c r="H84" s="20">
        <f t="shared" si="69"/>
        <v>-42378</v>
      </c>
      <c r="I84" s="20">
        <f t="shared" si="69"/>
        <v>-38284</v>
      </c>
      <c r="J84" s="20">
        <f t="shared" si="69"/>
        <v>-36954</v>
      </c>
      <c r="K84" s="20">
        <f t="shared" si="69"/>
        <v>-42682</v>
      </c>
      <c r="L84" s="20">
        <f t="shared" si="69"/>
        <v>-39754</v>
      </c>
      <c r="M84" s="20">
        <f t="shared" si="69"/>
        <v>-33447</v>
      </c>
      <c r="N84" s="20">
        <f t="shared" si="69"/>
        <v>-41391</v>
      </c>
      <c r="O84" s="20">
        <f t="shared" si="69"/>
        <v>-42084</v>
      </c>
      <c r="P84" s="20">
        <f t="shared" si="69"/>
        <v>-43013.631613065503</v>
      </c>
      <c r="Q84" s="20">
        <f t="shared" si="69"/>
        <v>-43861.656650515644</v>
      </c>
      <c r="R84" s="20">
        <f t="shared" si="69"/>
        <v>-44726.519712766676</v>
      </c>
      <c r="S84" s="20">
        <f t="shared" si="69"/>
        <v>-45608.556335555128</v>
      </c>
      <c r="T84" s="20">
        <f t="shared" si="69"/>
        <v>-46508.1087530847</v>
      </c>
      <c r="U84" s="73">
        <f t="shared" si="69"/>
        <v>-46973.189840615545</v>
      </c>
    </row>
    <row r="85" spans="3:27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3:27" x14ac:dyDescent="0.15">
      <c r="E86" s="5" t="str">
        <f>Input!$E$8&amp;" CAPEX, D&amp;A"</f>
        <v>BHP CAPEX, D&amp;A</v>
      </c>
      <c r="O86" s="9"/>
    </row>
    <row r="87" spans="3:27" x14ac:dyDescent="0.15">
      <c r="E87" s="10" t="str">
        <f>+Input!$E$14</f>
        <v>USDmn</v>
      </c>
      <c r="F87" s="24" t="s">
        <v>110</v>
      </c>
      <c r="G87" s="24" t="s">
        <v>41</v>
      </c>
      <c r="H87" s="24" t="s">
        <v>42</v>
      </c>
      <c r="I87" s="24" t="s">
        <v>43</v>
      </c>
      <c r="J87" s="24" t="s">
        <v>44</v>
      </c>
      <c r="K87" s="24" t="s">
        <v>45</v>
      </c>
      <c r="L87" s="24" t="s">
        <v>46</v>
      </c>
      <c r="M87" s="24" t="s">
        <v>47</v>
      </c>
      <c r="N87" s="24" t="s">
        <v>48</v>
      </c>
      <c r="O87" s="24" t="s">
        <v>49</v>
      </c>
      <c r="P87" s="68">
        <v>45809</v>
      </c>
      <c r="Q87" s="68">
        <v>46174</v>
      </c>
      <c r="R87" s="68">
        <v>46539</v>
      </c>
      <c r="S87" s="68">
        <v>46905</v>
      </c>
      <c r="T87" s="68">
        <v>47270</v>
      </c>
      <c r="U87" s="47" t="s">
        <v>126</v>
      </c>
    </row>
    <row r="88" spans="3:27" ht="3" customHeight="1" x14ac:dyDescent="0.15"/>
    <row r="89" spans="3:27" x14ac:dyDescent="0.15">
      <c r="E89" s="5" t="s">
        <v>170</v>
      </c>
      <c r="F89" s="74" t="s">
        <v>107</v>
      </c>
      <c r="G89" s="19">
        <f t="shared" ref="G89:U89" si="70">F93</f>
        <v>94072</v>
      </c>
      <c r="H89" s="19">
        <f t="shared" si="70"/>
        <v>83975</v>
      </c>
      <c r="I89" s="19">
        <f t="shared" si="70"/>
        <v>80497</v>
      </c>
      <c r="J89" s="19">
        <f t="shared" si="70"/>
        <v>67182</v>
      </c>
      <c r="K89" s="19">
        <f t="shared" si="70"/>
        <v>68041</v>
      </c>
      <c r="L89" s="19">
        <f t="shared" si="70"/>
        <v>72362</v>
      </c>
      <c r="M89" s="19">
        <f t="shared" si="70"/>
        <v>73813</v>
      </c>
      <c r="N89" s="19">
        <f t="shared" si="70"/>
        <v>61295</v>
      </c>
      <c r="O89" s="19">
        <f t="shared" si="70"/>
        <v>71818</v>
      </c>
      <c r="P89" s="19">
        <f t="shared" si="70"/>
        <v>71629</v>
      </c>
      <c r="Q89" s="19">
        <f t="shared" si="70"/>
        <v>75340.162879776122</v>
      </c>
      <c r="R89" s="19">
        <f t="shared" si="70"/>
        <v>78956.466928034453</v>
      </c>
      <c r="S89" s="19">
        <f t="shared" si="70"/>
        <v>82488.561693178257</v>
      </c>
      <c r="T89" s="19">
        <f t="shared" si="70"/>
        <v>85946.378685692922</v>
      </c>
      <c r="U89" s="19">
        <f t="shared" si="70"/>
        <v>89339.186104323264</v>
      </c>
    </row>
    <row r="90" spans="3:27" x14ac:dyDescent="0.15">
      <c r="E90" s="13" t="s">
        <v>172</v>
      </c>
      <c r="F90" s="38">
        <f>-Historical!F71</f>
        <v>13154</v>
      </c>
      <c r="G90" s="38">
        <f>-Historical!G71</f>
        <v>7245</v>
      </c>
      <c r="H90" s="38">
        <f>-Historical!H71</f>
        <v>4161</v>
      </c>
      <c r="I90" s="38">
        <f>-Historical!I71</f>
        <v>5921</v>
      </c>
      <c r="J90" s="38">
        <f>-Historical!J71</f>
        <v>-2607</v>
      </c>
      <c r="K90" s="38">
        <f>-Historical!K71</f>
        <v>7616</v>
      </c>
      <c r="L90" s="38">
        <f>-Historical!L71</f>
        <v>7845</v>
      </c>
      <c r="M90" s="38">
        <f>-Historical!M71</f>
        <v>6959</v>
      </c>
      <c r="N90" s="38">
        <f>-Historical!N71</f>
        <v>13065</v>
      </c>
      <c r="O90" s="38">
        <f>-Historical!O71</f>
        <v>8762</v>
      </c>
      <c r="P90" s="75">
        <f>AVERAGE(K90:O90)*(1+P95)</f>
        <v>9026.387999999999</v>
      </c>
      <c r="Q90" s="38">
        <f>P90*(1+Q95)</f>
        <v>9206.9157599999999</v>
      </c>
      <c r="R90" s="38">
        <f t="shared" ref="R90:T90" si="71">Q90*(1+R95)</f>
        <v>9391.0540751999997</v>
      </c>
      <c r="S90" s="38">
        <f t="shared" si="71"/>
        <v>9578.8751567039999</v>
      </c>
      <c r="T90" s="38">
        <f t="shared" si="71"/>
        <v>9770.4526598380799</v>
      </c>
      <c r="U90" s="38">
        <f>T90*(1+B3)</f>
        <v>9868.1571864364614</v>
      </c>
      <c r="AA90" s="35" t="s">
        <v>175</v>
      </c>
    </row>
    <row r="91" spans="3:27" x14ac:dyDescent="0.15">
      <c r="E91" s="13" t="s">
        <v>173</v>
      </c>
      <c r="F91" s="38">
        <f>Historical!F100</f>
        <v>-9158</v>
      </c>
      <c r="G91" s="38">
        <f>Historical!G100</f>
        <v>-6210</v>
      </c>
      <c r="H91" s="38">
        <f>Historical!H100</f>
        <v>-6184</v>
      </c>
      <c r="I91" s="38">
        <f>Historical!I100</f>
        <v>-6288</v>
      </c>
      <c r="J91" s="38">
        <f>Historical!J100</f>
        <v>-5829</v>
      </c>
      <c r="K91" s="38">
        <f>Historical!K100</f>
        <v>-6112</v>
      </c>
      <c r="L91" s="38">
        <f>Historical!L100</f>
        <v>-6824</v>
      </c>
      <c r="M91" s="38">
        <f>Historical!M100</f>
        <v>-5683</v>
      </c>
      <c r="N91" s="38">
        <f>Historical!N100</f>
        <v>-5061</v>
      </c>
      <c r="O91" s="38">
        <f>Historical!O100</f>
        <v>-5295</v>
      </c>
      <c r="P91" s="38">
        <f>O93*P96*-1</f>
        <v>-5315.2251202238767</v>
      </c>
      <c r="Q91" s="38">
        <f t="shared" ref="Q91:U91" si="72">P93*Q96*-1</f>
        <v>-5590.6117117416752</v>
      </c>
      <c r="R91" s="38">
        <f t="shared" si="72"/>
        <v>-5858.9593100561851</v>
      </c>
      <c r="S91" s="38">
        <f t="shared" si="72"/>
        <v>-6121.0581641893377</v>
      </c>
      <c r="T91" s="38">
        <f t="shared" si="72"/>
        <v>-6377.6452412077369</v>
      </c>
      <c r="U91" s="38">
        <f t="shared" si="72"/>
        <v>-6629.4082871749561</v>
      </c>
    </row>
    <row r="92" spans="3:27" x14ac:dyDescent="0.15">
      <c r="E92" s="13" t="s">
        <v>174</v>
      </c>
      <c r="F92" s="81" t="s">
        <v>107</v>
      </c>
      <c r="G92" s="20">
        <f>G93-G89-G90-G91</f>
        <v>-11132</v>
      </c>
      <c r="H92" s="20">
        <f t="shared" ref="H92:O92" si="73">H93-H89-H90-H91</f>
        <v>-1455</v>
      </c>
      <c r="I92" s="20">
        <f t="shared" si="73"/>
        <v>-12948</v>
      </c>
      <c r="J92" s="20">
        <f t="shared" si="73"/>
        <v>9295</v>
      </c>
      <c r="K92" s="20">
        <f t="shared" si="73"/>
        <v>2817</v>
      </c>
      <c r="L92" s="20">
        <f t="shared" si="73"/>
        <v>430</v>
      </c>
      <c r="M92" s="20">
        <f t="shared" si="73"/>
        <v>-13794</v>
      </c>
      <c r="N92" s="20">
        <f t="shared" si="73"/>
        <v>2519</v>
      </c>
      <c r="O92" s="20">
        <f t="shared" si="73"/>
        <v>-3656</v>
      </c>
      <c r="P92" s="57"/>
      <c r="Q92" s="57"/>
      <c r="R92" s="57"/>
      <c r="S92" s="57"/>
      <c r="T92" s="57"/>
      <c r="U92" s="57"/>
    </row>
    <row r="93" spans="3:27" x14ac:dyDescent="0.15">
      <c r="E93" s="5" t="s">
        <v>171</v>
      </c>
      <c r="F93" s="19">
        <f>F58</f>
        <v>94072</v>
      </c>
      <c r="G93" s="19">
        <f t="shared" ref="G93:O93" si="74">G58</f>
        <v>83975</v>
      </c>
      <c r="H93" s="19">
        <f t="shared" si="74"/>
        <v>80497</v>
      </c>
      <c r="I93" s="19">
        <f t="shared" si="74"/>
        <v>67182</v>
      </c>
      <c r="J93" s="19">
        <f t="shared" si="74"/>
        <v>68041</v>
      </c>
      <c r="K93" s="19">
        <f t="shared" si="74"/>
        <v>72362</v>
      </c>
      <c r="L93" s="19">
        <f t="shared" si="74"/>
        <v>73813</v>
      </c>
      <c r="M93" s="19">
        <f t="shared" si="74"/>
        <v>61295</v>
      </c>
      <c r="N93" s="19">
        <f t="shared" si="74"/>
        <v>71818</v>
      </c>
      <c r="O93" s="19">
        <f t="shared" si="74"/>
        <v>71629</v>
      </c>
      <c r="P93" s="19">
        <f>SUM(P89:P92)</f>
        <v>75340.162879776122</v>
      </c>
      <c r="Q93" s="19">
        <f t="shared" ref="Q93:U93" si="75">SUM(Q89:Q92)</f>
        <v>78956.466928034453</v>
      </c>
      <c r="R93" s="19">
        <f t="shared" si="75"/>
        <v>82488.561693178257</v>
      </c>
      <c r="S93" s="19">
        <f t="shared" si="75"/>
        <v>85946.378685692922</v>
      </c>
      <c r="T93" s="19">
        <f t="shared" si="75"/>
        <v>89339.186104323264</v>
      </c>
      <c r="U93" s="19">
        <f t="shared" si="75"/>
        <v>92577.935003584775</v>
      </c>
    </row>
    <row r="94" spans="3:27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3:27" x14ac:dyDescent="0.15">
      <c r="E95" s="76" t="s">
        <v>176</v>
      </c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26">
        <f>Input!F19</f>
        <v>0.02</v>
      </c>
      <c r="Q95" s="26">
        <f>Input!G19</f>
        <v>0.02</v>
      </c>
      <c r="R95" s="26">
        <f>Input!H19</f>
        <v>0.02</v>
      </c>
      <c r="S95" s="26">
        <f>Input!I19</f>
        <v>0.02</v>
      </c>
      <c r="T95" s="26">
        <f>Input!J19</f>
        <v>0.02</v>
      </c>
      <c r="U95" s="78"/>
    </row>
    <row r="96" spans="3:27" x14ac:dyDescent="0.15">
      <c r="E96" s="79" t="s">
        <v>177</v>
      </c>
      <c r="F96" s="32">
        <f>F91/F60*-1</f>
        <v>8.4630952490966721E-2</v>
      </c>
      <c r="G96" s="32">
        <f t="shared" ref="G96:O96" si="76">G91/G60*-1</f>
        <v>6.1339997431819754E-2</v>
      </c>
      <c r="H96" s="32">
        <f t="shared" si="76"/>
        <v>6.4450234497133926E-2</v>
      </c>
      <c r="I96" s="32">
        <f t="shared" si="76"/>
        <v>8.1807891963623591E-2</v>
      </c>
      <c r="J96" s="32">
        <f t="shared" si="76"/>
        <v>7.5224550898203596E-2</v>
      </c>
      <c r="K96" s="32">
        <f t="shared" si="76"/>
        <v>7.3362780871903205E-2</v>
      </c>
      <c r="L96" s="32">
        <f t="shared" si="76"/>
        <v>8.2982707882384418E-2</v>
      </c>
      <c r="M96" s="32">
        <f t="shared" si="76"/>
        <v>8.5456076508977172E-2</v>
      </c>
      <c r="N96" s="32">
        <f t="shared" si="76"/>
        <v>6.4930399640772338E-2</v>
      </c>
      <c r="O96" s="32">
        <f t="shared" si="76"/>
        <v>6.786373423561981E-2</v>
      </c>
      <c r="P96" s="32">
        <f>AVERAGE(F96:O96)</f>
        <v>7.4204932642140425E-2</v>
      </c>
      <c r="Q96" s="32">
        <f>P96</f>
        <v>7.4204932642140425E-2</v>
      </c>
      <c r="R96" s="32">
        <f t="shared" ref="R96:U96" si="77">Q96</f>
        <v>7.4204932642140425E-2</v>
      </c>
      <c r="S96" s="32">
        <f t="shared" si="77"/>
        <v>7.4204932642140425E-2</v>
      </c>
      <c r="T96" s="32">
        <f t="shared" si="77"/>
        <v>7.4204932642140425E-2</v>
      </c>
      <c r="U96" s="33">
        <f t="shared" si="77"/>
        <v>7.4204932642140425E-2</v>
      </c>
      <c r="AA96" s="35" t="s">
        <v>178</v>
      </c>
    </row>
    <row r="97" spans="6:21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 spans="6:21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 spans="6:21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 spans="6:21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 spans="6:21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 spans="6:21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 spans="6:21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1"/>
  <sheetViews>
    <sheetView showGridLines="0" zoomScale="130" zoomScaleNormal="130" workbookViewId="0">
      <selection activeCell="I20" sqref="I20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0" max="20" width="52.83203125" style="35" bestFit="1" customWidth="1"/>
  </cols>
  <sheetData>
    <row r="1" spans="2:20" s="8" customFormat="1" outlineLevel="1" x14ac:dyDescent="0.15">
      <c r="B1" s="8">
        <v>0.1</v>
      </c>
    </row>
    <row r="2" spans="2:20" s="8" customFormat="1" outlineLevel="1" x14ac:dyDescent="0.15">
      <c r="B2" s="17" t="b">
        <f>AND(C:C)</f>
        <v>1</v>
      </c>
    </row>
    <row r="3" spans="2:20" x14ac:dyDescent="0.15">
      <c r="D3" s="5" t="str">
        <f ca="1">MID(CELL("filename",D3),FIND("]",CELL("filename",D3))+1,256)</f>
        <v>Historical</v>
      </c>
    </row>
    <row r="4" spans="2:20" x14ac:dyDescent="0.15">
      <c r="D4" s="6" t="str">
        <f>Cover!$A$2</f>
        <v>Indicative valuation of BHP Group Limited: Public information</v>
      </c>
    </row>
    <row r="5" spans="2:20" x14ac:dyDescent="0.15">
      <c r="D5" s="6" t="str">
        <f>Cover!$A$3</f>
        <v>Educational purposes only, no financial advice</v>
      </c>
    </row>
    <row r="8" spans="2:20" x14ac:dyDescent="0.15">
      <c r="E8" s="5" t="str">
        <f>Input!$E$8&amp;" P&amp;L"</f>
        <v>BHP P&amp;L</v>
      </c>
      <c r="O8" s="9"/>
      <c r="Q8" s="40" t="s">
        <v>111</v>
      </c>
      <c r="R8" s="39"/>
      <c r="T8" s="36" t="s">
        <v>92</v>
      </c>
    </row>
    <row r="9" spans="2:20" x14ac:dyDescent="0.15">
      <c r="E9" s="10" t="str">
        <f>+Input!$E$14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15"/>
    <row r="11" spans="2:20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15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15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15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4" thickBot="1" x14ac:dyDescent="0.2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15"/>
    <row r="24" spans="3:18" x14ac:dyDescent="0.15">
      <c r="E24" s="48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15">
      <c r="E25" s="49" t="s">
        <v>73</v>
      </c>
      <c r="F25" s="29">
        <f t="shared" ref="F25:O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15">
      <c r="E26" s="49" t="s">
        <v>139</v>
      </c>
      <c r="F26" s="29">
        <f>-F20/F19</f>
        <v>0.45506454816285996</v>
      </c>
      <c r="G26" s="29">
        <f t="shared" ref="G26:O26" si="14">-G20/G19</f>
        <v>1.1742043551088777</v>
      </c>
      <c r="H26" s="29">
        <f t="shared" si="14"/>
        <v>0.39894046870791056</v>
      </c>
      <c r="I26" s="29">
        <f t="shared" si="14"/>
        <v>0.47501864280387768</v>
      </c>
      <c r="J26" s="29">
        <f t="shared" si="14"/>
        <v>0.36739982723104525</v>
      </c>
      <c r="K26" s="29">
        <f t="shared" si="14"/>
        <v>0.35336787564766842</v>
      </c>
      <c r="L26" s="29">
        <f t="shared" si="14"/>
        <v>0.45323360838990284</v>
      </c>
      <c r="M26" s="29">
        <f t="shared" si="14"/>
        <v>0.32401846878112078</v>
      </c>
      <c r="N26" s="29">
        <f t="shared" si="14"/>
        <v>0.33068548198682307</v>
      </c>
      <c r="O26" s="30">
        <f t="shared" si="14"/>
        <v>0.40173230309072783</v>
      </c>
      <c r="Q26" s="42"/>
    </row>
    <row r="27" spans="3:18" x14ac:dyDescent="0.15">
      <c r="E27" s="50" t="s">
        <v>74</v>
      </c>
      <c r="F27" s="32" t="str">
        <f t="shared" ref="F27" si="15">IFERROR(+F22/E22-1,"n/a")</f>
        <v>n/a</v>
      </c>
      <c r="G27" s="32">
        <f t="shared" ref="G27" si="16">IFERROR(+G22/F22-1,"n/a")</f>
        <v>-3.1567060458651843</v>
      </c>
      <c r="H27" s="32">
        <f t="shared" ref="H27:O27" si="17">IFERROR(+H22/G22-1,"n/a")</f>
        <v>-2.00241662638956</v>
      </c>
      <c r="I27" s="32">
        <f t="shared" si="17"/>
        <v>-0.22484731597557051</v>
      </c>
      <c r="J27" s="32">
        <f t="shared" si="17"/>
        <v>0.90441633837860258</v>
      </c>
      <c r="K27" s="32">
        <f t="shared" si="17"/>
        <v>-4.8884050081654862E-2</v>
      </c>
      <c r="L27" s="32">
        <f t="shared" si="17"/>
        <v>0.53972069597069594</v>
      </c>
      <c r="M27" s="32">
        <f t="shared" si="17"/>
        <v>0.66530369489257302</v>
      </c>
      <c r="N27" s="32">
        <f t="shared" si="17"/>
        <v>-0.36053571428571429</v>
      </c>
      <c r="O27" s="33">
        <f t="shared" si="17"/>
        <v>-0.32972633342641722</v>
      </c>
    </row>
    <row r="28" spans="3:18" ht="3" customHeight="1" x14ac:dyDescent="0.15"/>
    <row r="29" spans="3:18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15">
      <c r="F30" s="18"/>
      <c r="G30" s="18"/>
      <c r="H30" s="18"/>
      <c r="I30" s="18"/>
      <c r="J30" s="18"/>
      <c r="K30" s="18"/>
      <c r="L30" s="18"/>
      <c r="M30" s="18"/>
      <c r="N30" s="18"/>
      <c r="O30" s="18"/>
    </row>
    <row r="31" spans="3:18" x14ac:dyDescent="0.15">
      <c r="E31" s="8" t="s">
        <v>39</v>
      </c>
      <c r="F31" s="21">
        <v>2878</v>
      </c>
      <c r="G31" s="21">
        <v>-6207</v>
      </c>
      <c r="H31" s="21">
        <v>6222</v>
      </c>
      <c r="I31" s="21">
        <v>4823</v>
      </c>
      <c r="J31" s="21">
        <v>9185</v>
      </c>
      <c r="K31" s="21">
        <v>8736</v>
      </c>
      <c r="L31" s="21">
        <v>13451</v>
      </c>
      <c r="M31" s="21">
        <v>22400</v>
      </c>
      <c r="N31" s="21">
        <v>14324</v>
      </c>
      <c r="O31" s="21">
        <v>9601</v>
      </c>
    </row>
    <row r="32" spans="3:18" x14ac:dyDescent="0.15">
      <c r="C32" s="17" t="b" cm="1">
        <f t="array" ref="C32">AND(G32:O32&lt;$B$1,G32:O32&gt;-$B$1)</f>
        <v>1</v>
      </c>
      <c r="E32" s="8" t="s">
        <v>38</v>
      </c>
      <c r="F32" s="21">
        <f t="shared" ref="F32:O32" si="18">+F31-F22</f>
        <v>0</v>
      </c>
      <c r="G32" s="21">
        <f t="shared" si="18"/>
        <v>0</v>
      </c>
      <c r="H32" s="21">
        <f t="shared" si="18"/>
        <v>0</v>
      </c>
      <c r="I32" s="21">
        <f t="shared" si="18"/>
        <v>0</v>
      </c>
      <c r="J32" s="21">
        <f t="shared" si="18"/>
        <v>0</v>
      </c>
      <c r="K32" s="21">
        <f t="shared" si="18"/>
        <v>0</v>
      </c>
      <c r="L32" s="21">
        <f t="shared" si="18"/>
        <v>0</v>
      </c>
      <c r="M32" s="21">
        <f t="shared" si="18"/>
        <v>0</v>
      </c>
      <c r="N32" s="21">
        <f t="shared" si="18"/>
        <v>0</v>
      </c>
      <c r="O32" s="21">
        <f t="shared" si="18"/>
        <v>0</v>
      </c>
    </row>
    <row r="33" spans="5:18" x14ac:dyDescent="0.15">
      <c r="F33" s="18"/>
      <c r="G33" s="18"/>
      <c r="H33" s="18"/>
      <c r="I33" s="18"/>
      <c r="J33" s="18"/>
      <c r="K33" s="18"/>
      <c r="L33" s="18"/>
      <c r="M33" s="18"/>
      <c r="N33" s="18"/>
      <c r="O33" s="18"/>
    </row>
    <row r="34" spans="5:18" x14ac:dyDescent="0.15">
      <c r="E34" s="5" t="str">
        <f>Input!$E$8&amp;" BS"</f>
        <v>BHP BS</v>
      </c>
      <c r="O34" s="9"/>
      <c r="Q34" s="40" t="s">
        <v>111</v>
      </c>
      <c r="R34" s="39"/>
    </row>
    <row r="35" spans="5:18" x14ac:dyDescent="0.15">
      <c r="E35" s="10" t="str">
        <f>+Input!$E$14</f>
        <v>USDmn</v>
      </c>
      <c r="F35" s="24" t="s">
        <v>110</v>
      </c>
      <c r="G35" s="24" t="s">
        <v>41</v>
      </c>
      <c r="H35" s="24" t="s">
        <v>42</v>
      </c>
      <c r="I35" s="24" t="s">
        <v>43</v>
      </c>
      <c r="J35" s="24" t="s">
        <v>44</v>
      </c>
      <c r="K35" s="24" t="s">
        <v>45</v>
      </c>
      <c r="L35" s="24" t="s">
        <v>46</v>
      </c>
      <c r="M35" s="24" t="s">
        <v>47</v>
      </c>
      <c r="N35" s="24" t="s">
        <v>48</v>
      </c>
      <c r="O35" s="24" t="s">
        <v>49</v>
      </c>
      <c r="Q35" s="39" t="s">
        <v>112</v>
      </c>
      <c r="R35" s="39" t="s">
        <v>113</v>
      </c>
    </row>
    <row r="36" spans="5:18" ht="3" customHeight="1" x14ac:dyDescent="0.15"/>
    <row r="37" spans="5:18" x14ac:dyDescent="0.15">
      <c r="E37" s="13" t="s">
        <v>54</v>
      </c>
      <c r="F37" s="18">
        <v>94072</v>
      </c>
      <c r="G37" s="18">
        <v>83975</v>
      </c>
      <c r="H37" s="18">
        <v>80497</v>
      </c>
      <c r="I37" s="18">
        <v>67182</v>
      </c>
      <c r="J37" s="18">
        <v>68041</v>
      </c>
      <c r="K37" s="18">
        <v>72362</v>
      </c>
      <c r="L37" s="18">
        <v>73813</v>
      </c>
      <c r="M37" s="18">
        <v>61295</v>
      </c>
      <c r="N37" s="18">
        <v>71818</v>
      </c>
      <c r="O37" s="18">
        <v>71629</v>
      </c>
      <c r="Q37" s="29">
        <f>IFERROR((O37/F37)^(1/9)-1,"n/a")</f>
        <v>-2.983051102569112E-2</v>
      </c>
      <c r="R37" s="29">
        <f>IFERROR((O37/L37)^(1/3)-1,"n/a")</f>
        <v>-9.9616665887675149E-3</v>
      </c>
    </row>
    <row r="38" spans="5:18" x14ac:dyDescent="0.15">
      <c r="E38" s="13" t="s">
        <v>55</v>
      </c>
      <c r="F38" s="20">
        <f>108211-F37</f>
        <v>14139</v>
      </c>
      <c r="G38" s="20">
        <f>101239-G37</f>
        <v>17264</v>
      </c>
      <c r="H38" s="20">
        <f>95950-H37</f>
        <v>15453</v>
      </c>
      <c r="I38" s="20">
        <f>76863-I37</f>
        <v>9681</v>
      </c>
      <c r="J38" s="20">
        <f>77488-J37</f>
        <v>9447</v>
      </c>
      <c r="K38" s="20">
        <f>83312-K37</f>
        <v>10950</v>
      </c>
      <c r="L38" s="20">
        <f>82234-L37</f>
        <v>8421</v>
      </c>
      <c r="M38" s="20">
        <f>66502-M37</f>
        <v>5207</v>
      </c>
      <c r="N38" s="20">
        <f>77945-N37</f>
        <v>6127</v>
      </c>
      <c r="O38" s="20">
        <f>78024-O37</f>
        <v>6395</v>
      </c>
      <c r="Q38" s="29">
        <f t="shared" ref="Q38:Q56" si="19">IFERROR((O38/F38)^(1/9)-1,"n/a")</f>
        <v>-8.4383649623188339E-2</v>
      </c>
      <c r="R38" s="29">
        <f t="shared" ref="R38:R56" si="20">IFERROR((O38/L38)^(1/3)-1,"n/a")</f>
        <v>-8.7655285294620633E-2</v>
      </c>
    </row>
    <row r="39" spans="5:18" x14ac:dyDescent="0.15">
      <c r="E39" s="5" t="s">
        <v>56</v>
      </c>
      <c r="F39" s="19">
        <f t="shared" ref="F39" si="21">SUM(F37:F38)</f>
        <v>108211</v>
      </c>
      <c r="G39" s="19">
        <f t="shared" ref="G39:M39" si="22">SUM(G37:G38)</f>
        <v>101239</v>
      </c>
      <c r="H39" s="19">
        <f t="shared" si="22"/>
        <v>95950</v>
      </c>
      <c r="I39" s="19">
        <f t="shared" si="22"/>
        <v>76863</v>
      </c>
      <c r="J39" s="19">
        <f t="shared" si="22"/>
        <v>77488</v>
      </c>
      <c r="K39" s="19">
        <f t="shared" si="22"/>
        <v>83312</v>
      </c>
      <c r="L39" s="19">
        <f t="shared" si="22"/>
        <v>82234</v>
      </c>
      <c r="M39" s="19">
        <f t="shared" si="22"/>
        <v>66502</v>
      </c>
      <c r="N39" s="19">
        <f>SUM(N37:N38)</f>
        <v>77945</v>
      </c>
      <c r="O39" s="19">
        <f>SUM(O37:O38)</f>
        <v>78024</v>
      </c>
      <c r="Q39" s="41">
        <f t="shared" si="19"/>
        <v>-3.5688330610342267E-2</v>
      </c>
      <c r="R39" s="41">
        <f t="shared" si="20"/>
        <v>-1.7364918075768898E-2</v>
      </c>
    </row>
    <row r="40" spans="5:18" x14ac:dyDescent="0.15">
      <c r="E40" s="13" t="s">
        <v>50</v>
      </c>
      <c r="F40" s="18">
        <v>6753</v>
      </c>
      <c r="G40" s="18">
        <v>10319</v>
      </c>
      <c r="H40" s="18">
        <v>14153</v>
      </c>
      <c r="I40" s="18">
        <v>15871</v>
      </c>
      <c r="J40" s="18">
        <v>15613</v>
      </c>
      <c r="K40" s="18">
        <v>13426</v>
      </c>
      <c r="L40" s="18">
        <v>15246</v>
      </c>
      <c r="M40" s="18">
        <v>17236</v>
      </c>
      <c r="N40" s="18">
        <v>12428</v>
      </c>
      <c r="O40" s="18">
        <v>12501</v>
      </c>
      <c r="Q40" s="29">
        <f t="shared" si="19"/>
        <v>7.0819928551458577E-2</v>
      </c>
      <c r="R40" s="29">
        <f t="shared" si="20"/>
        <v>-6.4027806569489365E-2</v>
      </c>
    </row>
    <row r="41" spans="5:18" x14ac:dyDescent="0.15">
      <c r="E41" s="13" t="s">
        <v>51</v>
      </c>
      <c r="F41" s="18">
        <v>4321</v>
      </c>
      <c r="G41" s="18">
        <v>3155</v>
      </c>
      <c r="H41" s="18">
        <v>2836</v>
      </c>
      <c r="I41" s="18">
        <v>3096</v>
      </c>
      <c r="J41" s="18">
        <v>3462</v>
      </c>
      <c r="K41" s="18">
        <v>3364</v>
      </c>
      <c r="L41" s="18">
        <v>6059</v>
      </c>
      <c r="M41" s="18">
        <v>5426</v>
      </c>
      <c r="N41" s="18">
        <v>4594</v>
      </c>
      <c r="O41" s="18">
        <v>5169</v>
      </c>
      <c r="Q41" s="29">
        <f t="shared" si="19"/>
        <v>2.0109796850222406E-2</v>
      </c>
      <c r="R41" s="29">
        <f t="shared" si="20"/>
        <v>-5.157747503533916E-2</v>
      </c>
    </row>
    <row r="42" spans="5:18" x14ac:dyDescent="0.15">
      <c r="E42" s="13" t="s">
        <v>52</v>
      </c>
      <c r="F42" s="18">
        <v>4292</v>
      </c>
      <c r="G42" s="18">
        <v>3411</v>
      </c>
      <c r="H42" s="18">
        <v>3673</v>
      </c>
      <c r="I42" s="18">
        <v>3764</v>
      </c>
      <c r="J42" s="18">
        <v>3840</v>
      </c>
      <c r="K42" s="18">
        <v>4101</v>
      </c>
      <c r="L42" s="18">
        <v>4426</v>
      </c>
      <c r="M42" s="18">
        <v>4935</v>
      </c>
      <c r="N42" s="18">
        <v>5220</v>
      </c>
      <c r="O42" s="18">
        <v>5828</v>
      </c>
      <c r="Q42" s="29">
        <f t="shared" si="19"/>
        <v>3.4575532721125013E-2</v>
      </c>
      <c r="R42" s="29">
        <f t="shared" si="20"/>
        <v>9.6064330192798808E-2</v>
      </c>
    </row>
    <row r="43" spans="5:18" x14ac:dyDescent="0.15">
      <c r="E43" s="13" t="s">
        <v>57</v>
      </c>
      <c r="F43" s="20">
        <f>83+658+262</f>
        <v>1003</v>
      </c>
      <c r="G43" s="20">
        <f>121+567+141</f>
        <v>829</v>
      </c>
      <c r="H43" s="20">
        <f>72+195+127</f>
        <v>394</v>
      </c>
      <c r="I43" s="20">
        <f>200+11939+106+154</f>
        <v>12399</v>
      </c>
      <c r="J43" s="20">
        <f>87+124+247</f>
        <v>458</v>
      </c>
      <c r="K43" s="20">
        <f>84+366+130</f>
        <v>580</v>
      </c>
      <c r="L43" s="20">
        <f>230+324+279+129</f>
        <v>962</v>
      </c>
      <c r="M43" s="20">
        <f>629+263+175</f>
        <v>1067</v>
      </c>
      <c r="N43" s="20">
        <f>470+508+131</f>
        <v>1109</v>
      </c>
      <c r="O43" s="20">
        <f>381+314+145</f>
        <v>840</v>
      </c>
      <c r="Q43" s="29">
        <f t="shared" si="19"/>
        <v>-1.9512549885316588E-2</v>
      </c>
      <c r="R43" s="29">
        <f t="shared" si="20"/>
        <v>-4.4197699805307522E-2</v>
      </c>
    </row>
    <row r="44" spans="5:18" x14ac:dyDescent="0.15">
      <c r="E44" s="5" t="s">
        <v>58</v>
      </c>
      <c r="F44" s="19">
        <f t="shared" ref="F44:G44" si="23">SUM(F40:F43)</f>
        <v>16369</v>
      </c>
      <c r="G44" s="19">
        <f t="shared" si="23"/>
        <v>17714</v>
      </c>
      <c r="H44" s="19">
        <f t="shared" ref="H44" si="24">SUM(H40:H43)</f>
        <v>21056</v>
      </c>
      <c r="I44" s="19">
        <f t="shared" ref="I44" si="25">SUM(I40:I43)</f>
        <v>35130</v>
      </c>
      <c r="J44" s="19">
        <f t="shared" ref="J44" si="26">SUM(J40:J43)</f>
        <v>23373</v>
      </c>
      <c r="K44" s="19">
        <f t="shared" ref="K44" si="27">SUM(K40:K43)</f>
        <v>21471</v>
      </c>
      <c r="L44" s="19">
        <f t="shared" ref="L44" si="28">SUM(L40:L43)</f>
        <v>26693</v>
      </c>
      <c r="M44" s="19">
        <f t="shared" ref="M44" si="29">SUM(M40:M43)</f>
        <v>28664</v>
      </c>
      <c r="N44" s="19">
        <f t="shared" ref="N44" si="30">SUM(N40:N43)</f>
        <v>23351</v>
      </c>
      <c r="O44" s="19">
        <f>SUM(O40:O43)</f>
        <v>24338</v>
      </c>
      <c r="Q44" s="41">
        <f t="shared" si="19"/>
        <v>4.5057783595464862E-2</v>
      </c>
      <c r="R44" s="41">
        <f t="shared" si="20"/>
        <v>-3.0318373319757064E-2</v>
      </c>
    </row>
    <row r="45" spans="5:18" ht="14" thickBot="1" x14ac:dyDescent="0.2">
      <c r="E45" s="5" t="s">
        <v>59</v>
      </c>
      <c r="F45" s="23">
        <f t="shared" ref="F45" si="31">+F44+F39</f>
        <v>124580</v>
      </c>
      <c r="G45" s="23">
        <f t="shared" ref="G45:N45" si="32">+G44+G39</f>
        <v>118953</v>
      </c>
      <c r="H45" s="23">
        <f t="shared" si="32"/>
        <v>117006</v>
      </c>
      <c r="I45" s="23">
        <f t="shared" si="32"/>
        <v>111993</v>
      </c>
      <c r="J45" s="23">
        <f t="shared" si="32"/>
        <v>100861</v>
      </c>
      <c r="K45" s="23">
        <f t="shared" si="32"/>
        <v>104783</v>
      </c>
      <c r="L45" s="23">
        <f t="shared" si="32"/>
        <v>108927</v>
      </c>
      <c r="M45" s="23">
        <f t="shared" si="32"/>
        <v>95166</v>
      </c>
      <c r="N45" s="23">
        <f t="shared" si="32"/>
        <v>101296</v>
      </c>
      <c r="O45" s="23">
        <f>+O44+O39</f>
        <v>102362</v>
      </c>
      <c r="Q45" s="41">
        <f t="shared" si="19"/>
        <v>-2.1589376514299152E-2</v>
      </c>
      <c r="R45" s="41">
        <f t="shared" si="20"/>
        <v>-2.0507593811057045E-2</v>
      </c>
    </row>
    <row r="46" spans="5:18" ht="3" customHeight="1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Q46" s="29" t="str">
        <f t="shared" si="19"/>
        <v>n/a</v>
      </c>
      <c r="R46" s="29" t="str">
        <f t="shared" si="20"/>
        <v>n/a</v>
      </c>
    </row>
    <row r="47" spans="5:18" x14ac:dyDescent="0.15">
      <c r="E47" s="13" t="s">
        <v>61</v>
      </c>
      <c r="F47" s="18">
        <v>64768</v>
      </c>
      <c r="G47" s="18">
        <v>54290</v>
      </c>
      <c r="H47" s="18">
        <v>57258</v>
      </c>
      <c r="I47" s="18">
        <v>55592</v>
      </c>
      <c r="J47" s="18">
        <v>47240</v>
      </c>
      <c r="K47" s="18">
        <v>47936</v>
      </c>
      <c r="L47" s="18">
        <v>51264</v>
      </c>
      <c r="M47" s="18">
        <v>44957</v>
      </c>
      <c r="N47" s="18">
        <v>44496</v>
      </c>
      <c r="O47" s="18">
        <v>44811</v>
      </c>
      <c r="Q47" s="29">
        <f t="shared" si="19"/>
        <v>-4.0102400783142422E-2</v>
      </c>
      <c r="R47" s="29">
        <f t="shared" si="20"/>
        <v>-4.3854360999819653E-2</v>
      </c>
    </row>
    <row r="48" spans="5:18" x14ac:dyDescent="0.15">
      <c r="E48" s="13" t="s">
        <v>62</v>
      </c>
      <c r="F48" s="20">
        <v>5777</v>
      </c>
      <c r="G48" s="20">
        <v>5781</v>
      </c>
      <c r="H48" s="20">
        <v>5468</v>
      </c>
      <c r="I48" s="20">
        <v>5078</v>
      </c>
      <c r="J48" s="20">
        <v>4584</v>
      </c>
      <c r="K48" s="20">
        <v>4310</v>
      </c>
      <c r="L48" s="20">
        <v>4341</v>
      </c>
      <c r="M48" s="20">
        <v>3809</v>
      </c>
      <c r="N48" s="20">
        <v>4034</v>
      </c>
      <c r="O48" s="20">
        <v>4309</v>
      </c>
      <c r="Q48" s="29">
        <f t="shared" si="19"/>
        <v>-3.2050542565487339E-2</v>
      </c>
      <c r="R48" s="29">
        <f t="shared" si="20"/>
        <v>-2.4632537604569738E-3</v>
      </c>
    </row>
    <row r="49" spans="5:18" x14ac:dyDescent="0.15">
      <c r="E49" s="5" t="s">
        <v>63</v>
      </c>
      <c r="F49" s="19">
        <f t="shared" ref="F49:G49" si="33">SUM(F47:F48)</f>
        <v>70545</v>
      </c>
      <c r="G49" s="19">
        <f t="shared" si="33"/>
        <v>60071</v>
      </c>
      <c r="H49" s="19">
        <f t="shared" ref="H49" si="34">SUM(H47:H48)</f>
        <v>62726</v>
      </c>
      <c r="I49" s="19">
        <f t="shared" ref="I49" si="35">SUM(I47:I48)</f>
        <v>60670</v>
      </c>
      <c r="J49" s="19">
        <f t="shared" ref="J49" si="36">SUM(J47:J48)</f>
        <v>51824</v>
      </c>
      <c r="K49" s="19">
        <f t="shared" ref="K49" si="37">SUM(K47:K48)</f>
        <v>52246</v>
      </c>
      <c r="L49" s="19">
        <f t="shared" ref="L49" si="38">SUM(L47:L48)</f>
        <v>55605</v>
      </c>
      <c r="M49" s="19">
        <f t="shared" ref="M49" si="39">SUM(M47:M48)</f>
        <v>48766</v>
      </c>
      <c r="N49" s="19">
        <f t="shared" ref="N49" si="40">SUM(N47:N48)</f>
        <v>48530</v>
      </c>
      <c r="O49" s="19">
        <f>SUM(O47:O48)</f>
        <v>49120</v>
      </c>
      <c r="Q49" s="41">
        <f t="shared" si="19"/>
        <v>-3.9422393722578164E-2</v>
      </c>
      <c r="R49" s="41">
        <f t="shared" si="20"/>
        <v>-4.0492947914153143E-2</v>
      </c>
    </row>
    <row r="50" spans="5:18" x14ac:dyDescent="0.15">
      <c r="E50" t="s">
        <v>64</v>
      </c>
      <c r="F50" s="18">
        <f>7389+29</f>
        <v>7418</v>
      </c>
      <c r="G50" s="18">
        <f>5389+13</f>
        <v>5402</v>
      </c>
      <c r="H50" s="18">
        <f>5+5551</f>
        <v>5556</v>
      </c>
      <c r="I50" s="18">
        <f>5977+3</f>
        <v>5980</v>
      </c>
      <c r="J50" s="18">
        <f>6717+5</f>
        <v>6722</v>
      </c>
      <c r="K50" s="18">
        <f>5767+1</f>
        <v>5768</v>
      </c>
      <c r="L50" s="18">
        <v>7027</v>
      </c>
      <c r="M50" s="18">
        <v>6687</v>
      </c>
      <c r="N50" s="18">
        <f>6296+4</f>
        <v>6300</v>
      </c>
      <c r="O50" s="18">
        <f>6719+45</f>
        <v>6764</v>
      </c>
      <c r="P50" s="18"/>
      <c r="Q50" s="29">
        <f t="shared" si="19"/>
        <v>-1.020260205451462E-2</v>
      </c>
      <c r="R50" s="29">
        <f t="shared" si="20"/>
        <v>-1.2634651109362793E-2</v>
      </c>
    </row>
    <row r="51" spans="5:18" x14ac:dyDescent="0.15">
      <c r="E51" t="s">
        <v>65</v>
      </c>
      <c r="F51" s="18">
        <f>3201+27969</f>
        <v>31170</v>
      </c>
      <c r="G51" s="18">
        <f>4653+31768</f>
        <v>36421</v>
      </c>
      <c r="H51" s="18">
        <f>1241+29233</f>
        <v>30474</v>
      </c>
      <c r="I51" s="18">
        <f>2736+24069</f>
        <v>26805</v>
      </c>
      <c r="J51" s="18">
        <f>1661+23167</f>
        <v>24828</v>
      </c>
      <c r="K51" s="18">
        <f>5012+22036</f>
        <v>27048</v>
      </c>
      <c r="L51" s="18">
        <f>2628+18355</f>
        <v>20983</v>
      </c>
      <c r="M51" s="18">
        <f>2622+13806</f>
        <v>16428</v>
      </c>
      <c r="N51" s="18">
        <f>7173+15172</f>
        <v>22345</v>
      </c>
      <c r="O51" s="18">
        <f>2084+18634</f>
        <v>20718</v>
      </c>
      <c r="Q51" s="29">
        <f t="shared" si="19"/>
        <v>-4.4369254070172226E-2</v>
      </c>
      <c r="R51" s="29">
        <f t="shared" si="20"/>
        <v>-4.2276045591143063E-3</v>
      </c>
    </row>
    <row r="52" spans="5:18" x14ac:dyDescent="0.15">
      <c r="E52" t="s">
        <v>67</v>
      </c>
      <c r="F52" s="18">
        <f>251+1031</f>
        <v>1282</v>
      </c>
      <c r="G52" s="18">
        <f>5+1778</f>
        <v>1783</v>
      </c>
      <c r="H52" s="18">
        <f>394+0+1106</f>
        <v>1500</v>
      </c>
      <c r="I52" s="18">
        <f>138+1093</f>
        <v>1231</v>
      </c>
      <c r="J52" s="18">
        <f>127+896</f>
        <v>1023</v>
      </c>
      <c r="K52" s="18">
        <f>225+1414</f>
        <v>1639</v>
      </c>
      <c r="L52" s="18">
        <f>130+1146</f>
        <v>1276</v>
      </c>
      <c r="M52" s="18">
        <f>579+1997</f>
        <v>2576</v>
      </c>
      <c r="N52" s="18">
        <f>402+2157</f>
        <v>2559</v>
      </c>
      <c r="O52" s="18">
        <f>512+1759</f>
        <v>2271</v>
      </c>
      <c r="Q52" s="29">
        <f t="shared" si="19"/>
        <v>6.5594875351186799E-2</v>
      </c>
      <c r="R52" s="29">
        <f t="shared" si="20"/>
        <v>0.21186847090226024</v>
      </c>
    </row>
    <row r="53" spans="5:18" x14ac:dyDescent="0.15">
      <c r="E53" t="s">
        <v>66</v>
      </c>
      <c r="F53" s="18">
        <f>1676+7306</f>
        <v>8982</v>
      </c>
      <c r="G53" s="18">
        <f>1765+8381</f>
        <v>10146</v>
      </c>
      <c r="H53" s="18">
        <f>1959+8445</f>
        <v>10404</v>
      </c>
      <c r="I53" s="18">
        <f>2025+8223</f>
        <v>10248</v>
      </c>
      <c r="J53" s="18">
        <f>2175+8928</f>
        <v>11103</v>
      </c>
      <c r="K53" s="18">
        <f>2810+11185</f>
        <v>13995</v>
      </c>
      <c r="L53" s="18">
        <f>3696+13799</f>
        <v>17495</v>
      </c>
      <c r="M53" s="18">
        <f>3965+10478</f>
        <v>14443</v>
      </c>
      <c r="N53" s="18">
        <f>4514+11973</f>
        <v>16487</v>
      </c>
      <c r="O53" s="18">
        <f>4007+15088</f>
        <v>19095</v>
      </c>
      <c r="Q53" s="29">
        <f t="shared" si="19"/>
        <v>8.7411866552221218E-2</v>
      </c>
      <c r="R53" s="29">
        <f t="shared" si="20"/>
        <v>2.9600090247357214E-2</v>
      </c>
    </row>
    <row r="54" spans="5:18" x14ac:dyDescent="0.15">
      <c r="E54" t="s">
        <v>53</v>
      </c>
      <c r="F54" s="20">
        <f>207+129+4542+305</f>
        <v>5183</v>
      </c>
      <c r="G54" s="20">
        <f>4324+278+451+77</f>
        <v>5130</v>
      </c>
      <c r="H54" s="20">
        <f>2119+102+3765+360</f>
        <v>6346</v>
      </c>
      <c r="I54" s="20">
        <f>1222+1773+118+137+3472+337</f>
        <v>7059</v>
      </c>
      <c r="J54" s="20">
        <f>1546+113+187+3234+281</f>
        <v>5361</v>
      </c>
      <c r="K54" s="20">
        <f>913+97+109+2758+210</f>
        <v>4087</v>
      </c>
      <c r="L54" s="20">
        <f>17+105+2800+120+3314+185</f>
        <v>6541</v>
      </c>
      <c r="M54" s="20">
        <f>34+3032+87+3063+50</f>
        <v>6266</v>
      </c>
      <c r="N54" s="20">
        <f>611+47+68+4299+50</f>
        <v>5075</v>
      </c>
      <c r="O54" s="20">
        <f>884+90+40+3332+48</f>
        <v>4394</v>
      </c>
      <c r="Q54" s="29">
        <f t="shared" si="19"/>
        <v>-1.8182016425221659E-2</v>
      </c>
      <c r="R54" s="29">
        <f t="shared" si="20"/>
        <v>-0.12419927342788539</v>
      </c>
    </row>
    <row r="55" spans="5:18" x14ac:dyDescent="0.15">
      <c r="E55" s="5" t="s">
        <v>60</v>
      </c>
      <c r="F55" s="19">
        <f t="shared" ref="F55" si="41">SUM(F50:F54)</f>
        <v>54035</v>
      </c>
      <c r="G55" s="19">
        <f t="shared" ref="G55:N55" si="42">SUM(G50:G54)</f>
        <v>58882</v>
      </c>
      <c r="H55" s="19">
        <f t="shared" si="42"/>
        <v>54280</v>
      </c>
      <c r="I55" s="19">
        <f t="shared" si="42"/>
        <v>51323</v>
      </c>
      <c r="J55" s="19">
        <f t="shared" si="42"/>
        <v>49037</v>
      </c>
      <c r="K55" s="19">
        <f t="shared" si="42"/>
        <v>52537</v>
      </c>
      <c r="L55" s="19">
        <f t="shared" si="42"/>
        <v>53322</v>
      </c>
      <c r="M55" s="19">
        <f t="shared" si="42"/>
        <v>46400</v>
      </c>
      <c r="N55" s="19">
        <f t="shared" si="42"/>
        <v>52766</v>
      </c>
      <c r="O55" s="19">
        <f>SUM(O50:O54)</f>
        <v>53242</v>
      </c>
      <c r="Q55" s="41">
        <f t="shared" si="19"/>
        <v>-1.6413655053590936E-3</v>
      </c>
      <c r="R55" s="41">
        <f t="shared" si="20"/>
        <v>-5.0035658754177259E-4</v>
      </c>
    </row>
    <row r="56" spans="5:18" ht="14" thickBot="1" x14ac:dyDescent="0.2">
      <c r="E56" s="5" t="s">
        <v>68</v>
      </c>
      <c r="F56" s="23">
        <f t="shared" ref="F56" si="43">+F55+F49</f>
        <v>124580</v>
      </c>
      <c r="G56" s="23">
        <f t="shared" ref="G56:N56" si="44">+G55+G49</f>
        <v>118953</v>
      </c>
      <c r="H56" s="23">
        <f t="shared" si="44"/>
        <v>117006</v>
      </c>
      <c r="I56" s="23">
        <f t="shared" si="44"/>
        <v>111993</v>
      </c>
      <c r="J56" s="23">
        <f t="shared" si="44"/>
        <v>100861</v>
      </c>
      <c r="K56" s="23">
        <f t="shared" si="44"/>
        <v>104783</v>
      </c>
      <c r="L56" s="23">
        <f t="shared" si="44"/>
        <v>108927</v>
      </c>
      <c r="M56" s="23">
        <f t="shared" si="44"/>
        <v>95166</v>
      </c>
      <c r="N56" s="23">
        <f t="shared" si="44"/>
        <v>101296</v>
      </c>
      <c r="O56" s="23">
        <f>+O55+O49</f>
        <v>102362</v>
      </c>
      <c r="Q56" s="41">
        <f t="shared" si="19"/>
        <v>-2.1589376514299152E-2</v>
      </c>
      <c r="R56" s="41">
        <f t="shared" si="20"/>
        <v>-2.0507593811057045E-2</v>
      </c>
    </row>
    <row r="57" spans="5:18" ht="3" customHeight="1" x14ac:dyDescent="0.15"/>
    <row r="58" spans="5:18" x14ac:dyDescent="0.15">
      <c r="E58" s="48" t="s">
        <v>114</v>
      </c>
      <c r="F58" s="26">
        <f>+F49/F56</f>
        <v>0.56626264247872848</v>
      </c>
      <c r="G58" s="26">
        <f t="shared" ref="G58:O58" si="45">+G49/G56</f>
        <v>0.50499777222936792</v>
      </c>
      <c r="H58" s="26">
        <f>+H49/H56</f>
        <v>0.53609216621369848</v>
      </c>
      <c r="I58" s="26">
        <f t="shared" si="45"/>
        <v>0.5417302867143482</v>
      </c>
      <c r="J58" s="26">
        <f t="shared" si="45"/>
        <v>0.51381604386234525</v>
      </c>
      <c r="K58" s="26">
        <f t="shared" si="45"/>
        <v>0.49861141597396524</v>
      </c>
      <c r="L58" s="26">
        <f t="shared" si="45"/>
        <v>0.51047949544190141</v>
      </c>
      <c r="M58" s="26">
        <f t="shared" si="45"/>
        <v>0.51243091019902065</v>
      </c>
      <c r="N58" s="26">
        <f t="shared" si="45"/>
        <v>0.47909098088769547</v>
      </c>
      <c r="O58" s="27">
        <f t="shared" si="45"/>
        <v>0.47986557511576561</v>
      </c>
    </row>
    <row r="59" spans="5:18" x14ac:dyDescent="0.15">
      <c r="E59" s="28" t="s">
        <v>169</v>
      </c>
      <c r="F59" s="29" t="s">
        <v>107</v>
      </c>
      <c r="G59" s="29">
        <f>G16/AVERAGE(F51:G51)*-1</f>
        <v>3.4028199020579665E-2</v>
      </c>
      <c r="H59" s="29">
        <f t="shared" ref="H59:O59" si="46">H16/AVERAGE(G51:H51)*-1</f>
        <v>4.6640257119366174E-2</v>
      </c>
      <c r="I59" s="29">
        <f t="shared" si="46"/>
        <v>5.471464236456642E-2</v>
      </c>
      <c r="J59" s="29">
        <f t="shared" si="46"/>
        <v>5.8489725563108864E-2</v>
      </c>
      <c r="K59" s="29">
        <f t="shared" si="46"/>
        <v>4.8654483768987587E-2</v>
      </c>
      <c r="L59" s="29">
        <f t="shared" si="46"/>
        <v>5.7379609002519205E-2</v>
      </c>
      <c r="M59" s="29">
        <f t="shared" si="46"/>
        <v>5.6133222848894708E-2</v>
      </c>
      <c r="N59" s="29">
        <f t="shared" si="46"/>
        <v>0.10625951048409976</v>
      </c>
      <c r="O59" s="30">
        <f t="shared" si="46"/>
        <v>0.10208299468220979</v>
      </c>
    </row>
    <row r="60" spans="5:18" x14ac:dyDescent="0.15"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3"/>
    </row>
    <row r="61" spans="5:18" ht="3" customHeight="1" x14ac:dyDescent="0.15"/>
    <row r="62" spans="5:18" ht="10.5" customHeight="1" x14ac:dyDescent="0.15">
      <c r="E62" s="34" t="s">
        <v>75</v>
      </c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5:18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</row>
    <row r="64" spans="5:18" x14ac:dyDescent="0.15">
      <c r="E64" s="8" t="s">
        <v>39</v>
      </c>
      <c r="F64" s="21">
        <v>124580</v>
      </c>
      <c r="G64" s="21">
        <v>118953</v>
      </c>
      <c r="H64" s="21">
        <v>117006</v>
      </c>
      <c r="I64" s="21">
        <v>111993</v>
      </c>
      <c r="J64" s="21">
        <v>100861</v>
      </c>
      <c r="K64" s="21">
        <v>104783</v>
      </c>
      <c r="L64" s="21">
        <v>108927</v>
      </c>
      <c r="M64" s="21">
        <v>95166</v>
      </c>
      <c r="N64" s="21">
        <v>101296</v>
      </c>
      <c r="O64" s="21">
        <v>102362</v>
      </c>
    </row>
    <row r="65" spans="3:20" x14ac:dyDescent="0.15">
      <c r="C65" s="17" t="b" cm="1">
        <f t="array" ref="C65">AND(G65:O65&lt;$B$1,G65:O65&gt;-$B$1)</f>
        <v>1</v>
      </c>
      <c r="E65" s="8" t="s">
        <v>38</v>
      </c>
      <c r="F65" s="21">
        <f t="shared" ref="F65:G65" si="47">+F64-F56</f>
        <v>0</v>
      </c>
      <c r="G65" s="21">
        <f t="shared" si="47"/>
        <v>0</v>
      </c>
      <c r="H65" s="21">
        <f t="shared" ref="H65" si="48">+H64-H56</f>
        <v>0</v>
      </c>
      <c r="I65" s="21">
        <f t="shared" ref="I65" si="49">+I64-I56</f>
        <v>0</v>
      </c>
      <c r="J65" s="21">
        <f t="shared" ref="J65" si="50">+J64-J56</f>
        <v>0</v>
      </c>
      <c r="K65" s="21">
        <f t="shared" ref="K65" si="51">+K64-K56</f>
        <v>0</v>
      </c>
      <c r="L65" s="21">
        <f t="shared" ref="L65" si="52">+L64-L56</f>
        <v>0</v>
      </c>
      <c r="M65" s="21">
        <f t="shared" ref="M65" si="53">+M64-M56</f>
        <v>0</v>
      </c>
      <c r="N65" s="21">
        <f t="shared" ref="N65" si="54">+N64-N56</f>
        <v>0</v>
      </c>
      <c r="O65" s="21">
        <f>+O64-O56</f>
        <v>0</v>
      </c>
    </row>
    <row r="66" spans="3:20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</row>
    <row r="67" spans="3:20" x14ac:dyDescent="0.15">
      <c r="E67" s="5" t="str">
        <f>Input!$E$8&amp;" CF"</f>
        <v>BHP CF</v>
      </c>
      <c r="O67" s="9"/>
      <c r="Q67" s="40" t="s">
        <v>111</v>
      </c>
      <c r="R67" s="39"/>
    </row>
    <row r="68" spans="3:20" x14ac:dyDescent="0.15">
      <c r="E68" s="10" t="str">
        <f>+Input!$E$14</f>
        <v>USDmn</v>
      </c>
      <c r="F68" s="24" t="s">
        <v>110</v>
      </c>
      <c r="G68" s="24" t="s">
        <v>41</v>
      </c>
      <c r="H68" s="24" t="s">
        <v>42</v>
      </c>
      <c r="I68" s="24" t="s">
        <v>43</v>
      </c>
      <c r="J68" s="24" t="s">
        <v>44</v>
      </c>
      <c r="K68" s="24" t="s">
        <v>45</v>
      </c>
      <c r="L68" s="24" t="s">
        <v>46</v>
      </c>
      <c r="M68" s="24" t="s">
        <v>47</v>
      </c>
      <c r="N68" s="24" t="s">
        <v>48</v>
      </c>
      <c r="O68" s="24" t="s">
        <v>49</v>
      </c>
      <c r="Q68" s="39" t="s">
        <v>112</v>
      </c>
      <c r="R68" s="39" t="s">
        <v>113</v>
      </c>
    </row>
    <row r="69" spans="3:20" ht="3" customHeight="1" x14ac:dyDescent="0.15"/>
    <row r="70" spans="3:20" x14ac:dyDescent="0.15">
      <c r="E70" s="13" t="s">
        <v>69</v>
      </c>
      <c r="F70" s="18">
        <v>19296</v>
      </c>
      <c r="G70" s="18">
        <v>10625</v>
      </c>
      <c r="H70" s="18">
        <v>16804</v>
      </c>
      <c r="I70" s="18">
        <v>18461</v>
      </c>
      <c r="J70" s="18">
        <v>17871</v>
      </c>
      <c r="K70" s="18">
        <v>15706</v>
      </c>
      <c r="L70" s="18">
        <v>27234</v>
      </c>
      <c r="M70" s="18">
        <v>32174</v>
      </c>
      <c r="N70" s="18">
        <v>18701</v>
      </c>
      <c r="O70" s="18">
        <v>20665</v>
      </c>
      <c r="Q70" s="29">
        <f>IFERROR((O70/F70)^(1/9)-1,"n/a")</f>
        <v>7.6450337797304702E-3</v>
      </c>
      <c r="R70" s="29">
        <f>IFERROR((O70/L70)^(1/3)-1,"n/a")</f>
        <v>-8.7902373691743252E-2</v>
      </c>
    </row>
    <row r="71" spans="3:20" x14ac:dyDescent="0.15">
      <c r="E71" s="13" t="s">
        <v>70</v>
      </c>
      <c r="F71" s="20">
        <v>-13154</v>
      </c>
      <c r="G71" s="20">
        <v>-7245</v>
      </c>
      <c r="H71" s="20">
        <v>-4161</v>
      </c>
      <c r="I71" s="20">
        <v>-5921</v>
      </c>
      <c r="J71" s="20">
        <v>2607</v>
      </c>
      <c r="K71" s="20">
        <v>-7616</v>
      </c>
      <c r="L71" s="20">
        <v>-7845</v>
      </c>
      <c r="M71" s="20">
        <v>-6959</v>
      </c>
      <c r="N71" s="20">
        <v>-13065</v>
      </c>
      <c r="O71" s="20">
        <v>-8762</v>
      </c>
      <c r="Q71" s="29">
        <f t="shared" ref="Q71:Q73" si="55">IFERROR((O71/F71)^(1/9)-1,"n/a")</f>
        <v>-4.4140777853480917E-2</v>
      </c>
      <c r="R71" s="29">
        <f t="shared" ref="R71:R73" si="56">IFERROR((O71/L71)^(1/3)-1,"n/a")</f>
        <v>3.7536618807055389E-2</v>
      </c>
      <c r="T71" s="35" t="s">
        <v>115</v>
      </c>
    </row>
    <row r="72" spans="3:20" x14ac:dyDescent="0.15">
      <c r="E72" s="5" t="s">
        <v>71</v>
      </c>
      <c r="F72" s="19">
        <f t="shared" ref="F72:N72" si="57">+F70+F71</f>
        <v>6142</v>
      </c>
      <c r="G72" s="19">
        <f t="shared" si="57"/>
        <v>3380</v>
      </c>
      <c r="H72" s="19">
        <f t="shared" si="57"/>
        <v>12643</v>
      </c>
      <c r="I72" s="19">
        <f t="shared" si="57"/>
        <v>12540</v>
      </c>
      <c r="J72" s="19">
        <f t="shared" si="57"/>
        <v>20478</v>
      </c>
      <c r="K72" s="19">
        <f t="shared" si="57"/>
        <v>8090</v>
      </c>
      <c r="L72" s="19">
        <f t="shared" si="57"/>
        <v>19389</v>
      </c>
      <c r="M72" s="19">
        <f t="shared" si="57"/>
        <v>25215</v>
      </c>
      <c r="N72" s="19">
        <f t="shared" si="57"/>
        <v>5636</v>
      </c>
      <c r="O72" s="19">
        <f>+O70+O71</f>
        <v>11903</v>
      </c>
      <c r="Q72" s="41">
        <f t="shared" si="55"/>
        <v>7.6285284397707986E-2</v>
      </c>
      <c r="R72" s="41">
        <f t="shared" si="56"/>
        <v>-0.15010160781959736</v>
      </c>
    </row>
    <row r="73" spans="3:20" x14ac:dyDescent="0.15">
      <c r="E73" s="13" t="s">
        <v>76</v>
      </c>
      <c r="F73" s="18">
        <v>-8073</v>
      </c>
      <c r="G73" s="18">
        <v>284</v>
      </c>
      <c r="H73" s="18">
        <v>-9133</v>
      </c>
      <c r="I73" s="18">
        <v>-10891</v>
      </c>
      <c r="J73" s="18">
        <v>-20528</v>
      </c>
      <c r="K73" s="18">
        <v>-9752</v>
      </c>
      <c r="L73" s="18">
        <v>-17922</v>
      </c>
      <c r="M73" s="18">
        <v>-22767</v>
      </c>
      <c r="N73" s="18">
        <v>-10315</v>
      </c>
      <c r="O73" s="18">
        <v>-11669</v>
      </c>
      <c r="Q73" s="29">
        <f t="shared" si="55"/>
        <v>4.1783877164352168E-2</v>
      </c>
      <c r="R73" s="29">
        <f t="shared" si="56"/>
        <v>-0.13327287392032516</v>
      </c>
    </row>
    <row r="74" spans="3:20" ht="3" customHeight="1" x14ac:dyDescent="0.15"/>
    <row r="75" spans="3:20" ht="10.5" customHeight="1" x14ac:dyDescent="0.15">
      <c r="E75" s="34" t="s">
        <v>75</v>
      </c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8" spans="3:20" x14ac:dyDescent="0.15">
      <c r="E78" s="5" t="str">
        <f>Input!$E$8&amp;" Revenues"</f>
        <v>BHP Revenues</v>
      </c>
      <c r="O78" s="9"/>
      <c r="Q78" s="40" t="s">
        <v>111</v>
      </c>
      <c r="R78" s="39"/>
    </row>
    <row r="79" spans="3:20" x14ac:dyDescent="0.15">
      <c r="E79" s="10" t="str">
        <f>+Input!$E$14</f>
        <v>USDmn</v>
      </c>
      <c r="F79" s="37" t="s">
        <v>109</v>
      </c>
      <c r="G79" s="37" t="s">
        <v>104</v>
      </c>
      <c r="H79" s="37" t="s">
        <v>103</v>
      </c>
      <c r="I79" s="37" t="s">
        <v>102</v>
      </c>
      <c r="J79" s="37" t="s">
        <v>101</v>
      </c>
      <c r="K79" s="37" t="s">
        <v>100</v>
      </c>
      <c r="L79" s="37" t="s">
        <v>99</v>
      </c>
      <c r="M79" s="37" t="s">
        <v>98</v>
      </c>
      <c r="N79" s="37" t="s">
        <v>97</v>
      </c>
      <c r="O79" s="37" t="s">
        <v>96</v>
      </c>
      <c r="Q79" s="39" t="s">
        <v>112</v>
      </c>
      <c r="R79" s="39" t="s">
        <v>113</v>
      </c>
    </row>
    <row r="80" spans="3:20" ht="3" customHeight="1" x14ac:dyDescent="0.15"/>
    <row r="81" spans="3:20" x14ac:dyDescent="0.15">
      <c r="E81" s="13" t="s">
        <v>106</v>
      </c>
      <c r="F81" s="18">
        <v>11447</v>
      </c>
      <c r="G81" s="18">
        <v>4549</v>
      </c>
      <c r="H81" s="18">
        <v>4722</v>
      </c>
      <c r="I81" s="18">
        <v>5408</v>
      </c>
      <c r="J81" s="18">
        <v>5930</v>
      </c>
      <c r="K81" s="18">
        <v>4070</v>
      </c>
      <c r="L81" s="18">
        <v>3946</v>
      </c>
      <c r="M81" s="38" t="s">
        <v>107</v>
      </c>
      <c r="N81" s="38" t="s">
        <v>107</v>
      </c>
      <c r="O81" s="38" t="s">
        <v>107</v>
      </c>
      <c r="Q81" s="29" t="str">
        <f>IFERROR((O81/F81)^(1/9)-1,"n/a")</f>
        <v>n/a</v>
      </c>
      <c r="R81" s="29" t="str">
        <f>IFERROR((O81/L81)^(1/3)-1,"n/a")</f>
        <v>n/a</v>
      </c>
      <c r="T81" s="35" t="s">
        <v>108</v>
      </c>
    </row>
    <row r="82" spans="3:20" x14ac:dyDescent="0.15">
      <c r="E82" s="13" t="s">
        <v>88</v>
      </c>
      <c r="F82" s="18">
        <v>11453</v>
      </c>
      <c r="G82" s="18">
        <v>8249</v>
      </c>
      <c r="H82" s="18">
        <v>8335</v>
      </c>
      <c r="I82" s="18">
        <v>13287</v>
      </c>
      <c r="J82" s="18">
        <v>10838</v>
      </c>
      <c r="K82" s="18">
        <v>10666</v>
      </c>
      <c r="L82" s="18">
        <v>15726</v>
      </c>
      <c r="M82" s="18">
        <v>16849</v>
      </c>
      <c r="N82" s="18">
        <v>16027</v>
      </c>
      <c r="O82" s="18">
        <v>18566</v>
      </c>
      <c r="Q82" s="29">
        <f t="shared" ref="Q82:Q86" si="58">IFERROR((O82/F82)^(1/9)-1,"n/a")</f>
        <v>5.5142240492537464E-2</v>
      </c>
      <c r="R82" s="29">
        <f t="shared" ref="R82:R86" si="59">IFERROR((O82/L82)^(1/3)-1,"n/a")</f>
        <v>5.6898686735249449E-2</v>
      </c>
      <c r="T82" s="35" t="s">
        <v>89</v>
      </c>
    </row>
    <row r="83" spans="3:20" x14ac:dyDescent="0.15">
      <c r="E83" s="13" t="s">
        <v>93</v>
      </c>
      <c r="F83" s="18">
        <v>14753</v>
      </c>
      <c r="G83" s="18">
        <v>10538</v>
      </c>
      <c r="H83" s="18">
        <v>14624</v>
      </c>
      <c r="I83" s="18">
        <v>14810</v>
      </c>
      <c r="J83" s="18">
        <v>17255</v>
      </c>
      <c r="K83" s="18">
        <v>20797</v>
      </c>
      <c r="L83" s="18">
        <v>34475</v>
      </c>
      <c r="M83" s="18">
        <v>30767</v>
      </c>
      <c r="N83" s="18">
        <v>24812</v>
      </c>
      <c r="O83" s="18">
        <v>27952</v>
      </c>
      <c r="Q83" s="29">
        <f t="shared" si="58"/>
        <v>7.3586271885691446E-2</v>
      </c>
      <c r="R83" s="29">
        <f t="shared" si="59"/>
        <v>-6.7527131592702072E-2</v>
      </c>
      <c r="T83" s="35" t="s">
        <v>90</v>
      </c>
    </row>
    <row r="84" spans="3:20" x14ac:dyDescent="0.15">
      <c r="E84" s="13" t="s">
        <v>94</v>
      </c>
      <c r="F84" s="18">
        <v>5885</v>
      </c>
      <c r="G84" s="18">
        <v>4518</v>
      </c>
      <c r="H84" s="18">
        <v>7578</v>
      </c>
      <c r="I84" s="18">
        <v>8889</v>
      </c>
      <c r="J84" s="18">
        <v>9121</v>
      </c>
      <c r="K84" s="18">
        <v>6242</v>
      </c>
      <c r="L84" s="18">
        <v>5154</v>
      </c>
      <c r="M84" s="18">
        <v>15549</v>
      </c>
      <c r="N84" s="18">
        <v>10958</v>
      </c>
      <c r="O84" s="18">
        <v>7666</v>
      </c>
      <c r="Q84" s="29">
        <f t="shared" si="58"/>
        <v>2.9812214481835575E-2</v>
      </c>
      <c r="R84" s="29">
        <f t="shared" si="59"/>
        <v>0.14149706778136784</v>
      </c>
      <c r="T84" s="35" t="s">
        <v>91</v>
      </c>
    </row>
    <row r="85" spans="3:20" x14ac:dyDescent="0.15">
      <c r="E85" s="13" t="s">
        <v>95</v>
      </c>
      <c r="F85" s="18">
        <v>1098</v>
      </c>
      <c r="G85" s="18">
        <v>713</v>
      </c>
      <c r="H85" s="18">
        <v>876</v>
      </c>
      <c r="I85" s="18">
        <v>1244</v>
      </c>
      <c r="J85" s="18">
        <v>1144</v>
      </c>
      <c r="K85" s="18">
        <v>1156</v>
      </c>
      <c r="L85" s="18">
        <v>1516</v>
      </c>
      <c r="M85" s="18">
        <v>1933</v>
      </c>
      <c r="N85" s="18">
        <v>2020</v>
      </c>
      <c r="O85" s="18">
        <v>1474</v>
      </c>
      <c r="Q85" s="29">
        <f t="shared" si="58"/>
        <v>3.326227060457887E-2</v>
      </c>
      <c r="R85" s="29">
        <f t="shared" si="59"/>
        <v>-9.3214479088485902E-3</v>
      </c>
    </row>
    <row r="86" spans="3:20" ht="14" thickBot="1" x14ac:dyDescent="0.2">
      <c r="E86" s="5" t="s">
        <v>87</v>
      </c>
      <c r="F86" s="23">
        <f t="shared" ref="F86:K86" si="60">SUM(F81:F85)</f>
        <v>44636</v>
      </c>
      <c r="G86" s="23">
        <f t="shared" si="60"/>
        <v>28567</v>
      </c>
      <c r="H86" s="23">
        <f t="shared" si="60"/>
        <v>36135</v>
      </c>
      <c r="I86" s="23">
        <f t="shared" si="60"/>
        <v>43638</v>
      </c>
      <c r="J86" s="23">
        <f t="shared" si="60"/>
        <v>44288</v>
      </c>
      <c r="K86" s="23">
        <f t="shared" si="60"/>
        <v>42931</v>
      </c>
      <c r="L86" s="23">
        <f>SUM(L81:L85)</f>
        <v>60817</v>
      </c>
      <c r="M86" s="23">
        <f t="shared" ref="M86:O86" si="61">SUM(M81:M85)</f>
        <v>65098</v>
      </c>
      <c r="N86" s="23">
        <f t="shared" si="61"/>
        <v>53817</v>
      </c>
      <c r="O86" s="23">
        <f t="shared" si="61"/>
        <v>55658</v>
      </c>
      <c r="Q86" s="41">
        <f t="shared" si="58"/>
        <v>2.4823669769025392E-2</v>
      </c>
      <c r="R86" s="41">
        <f t="shared" si="59"/>
        <v>-2.9115574512328934E-2</v>
      </c>
    </row>
    <row r="88" spans="3:20" x14ac:dyDescent="0.15">
      <c r="C88" s="17" t="b" cm="1">
        <f t="array" ref="C88">AND(G88:O88&lt;$B$1,G88:O88&gt;-$B$1)</f>
        <v>1</v>
      </c>
      <c r="E88" s="8" t="s">
        <v>38</v>
      </c>
      <c r="F88" s="21">
        <f t="shared" ref="F88:O88" si="62">+F86-F11</f>
        <v>0</v>
      </c>
      <c r="G88" s="21">
        <f t="shared" si="62"/>
        <v>0</v>
      </c>
      <c r="H88" s="21">
        <f t="shared" si="62"/>
        <v>0</v>
      </c>
      <c r="I88" s="21">
        <f t="shared" si="62"/>
        <v>0</v>
      </c>
      <c r="J88" s="21">
        <f t="shared" si="62"/>
        <v>0</v>
      </c>
      <c r="K88" s="21">
        <f t="shared" si="62"/>
        <v>0</v>
      </c>
      <c r="L88" s="21">
        <f t="shared" si="62"/>
        <v>0</v>
      </c>
      <c r="M88" s="21">
        <f t="shared" si="62"/>
        <v>0</v>
      </c>
      <c r="N88" s="21">
        <f t="shared" si="62"/>
        <v>0</v>
      </c>
      <c r="O88" s="21">
        <f t="shared" si="62"/>
        <v>0</v>
      </c>
    </row>
    <row r="90" spans="3:20" x14ac:dyDescent="0.15">
      <c r="E90" s="5" t="str">
        <f>Input!$E$8&amp;" Expenses"</f>
        <v>BHP Expenses</v>
      </c>
      <c r="O90" s="9"/>
      <c r="Q90" s="40" t="s">
        <v>111</v>
      </c>
      <c r="R90" s="39"/>
    </row>
    <row r="91" spans="3:20" x14ac:dyDescent="0.15">
      <c r="E91" s="10" t="str">
        <f>+Input!$E$14</f>
        <v>USDmn</v>
      </c>
      <c r="F91" s="37" t="s">
        <v>109</v>
      </c>
      <c r="G91" s="37" t="s">
        <v>104</v>
      </c>
      <c r="H91" s="37" t="s">
        <v>103</v>
      </c>
      <c r="I91" s="37" t="s">
        <v>102</v>
      </c>
      <c r="J91" s="37" t="s">
        <v>101</v>
      </c>
      <c r="K91" s="37" t="s">
        <v>100</v>
      </c>
      <c r="L91" s="37" t="s">
        <v>99</v>
      </c>
      <c r="M91" s="37" t="s">
        <v>98</v>
      </c>
      <c r="N91" s="37" t="s">
        <v>97</v>
      </c>
      <c r="O91" s="37" t="s">
        <v>96</v>
      </c>
      <c r="Q91" s="39" t="s">
        <v>112</v>
      </c>
      <c r="R91" s="39" t="s">
        <v>113</v>
      </c>
    </row>
    <row r="92" spans="3:20" ht="3" customHeight="1" x14ac:dyDescent="0.15"/>
    <row r="93" spans="3:20" x14ac:dyDescent="0.15">
      <c r="E93" s="13" t="s">
        <v>78</v>
      </c>
      <c r="F93" s="18">
        <f>-4537-203-2-358+129</f>
        <v>-4971</v>
      </c>
      <c r="G93" s="18">
        <f>-3324-140-2-221+82</f>
        <v>-3605</v>
      </c>
      <c r="H93" s="18">
        <f>-3392-105-3-273+79</f>
        <v>-3694</v>
      </c>
      <c r="I93" s="18">
        <f>-3653-123-4-292+82</f>
        <v>-3990</v>
      </c>
      <c r="J93" s="18">
        <f>-3683-138-4-292+85</f>
        <v>-4032</v>
      </c>
      <c r="K93" s="18">
        <f>-3706-129-2-283+65</f>
        <v>-4055</v>
      </c>
      <c r="L93" s="18">
        <f>-4399-124-3-316+119</f>
        <v>-4723</v>
      </c>
      <c r="M93" s="18">
        <f>-4197-109-4-338+30</f>
        <v>-4618</v>
      </c>
      <c r="N93" s="18">
        <f>-4539-97-4-339+35</f>
        <v>-4944</v>
      </c>
      <c r="O93" s="18">
        <f>-4633-112-5-374+49</f>
        <v>-5075</v>
      </c>
      <c r="Q93" s="29">
        <f>IFERROR((O93/F93)^(1/9)-1,"n/a")</f>
        <v>2.3032593041694138E-3</v>
      </c>
      <c r="R93" s="29">
        <f>IFERROR((O93/L93)^(1/3)-1,"n/a")</f>
        <v>2.4250143968365112E-2</v>
      </c>
    </row>
    <row r="94" spans="3:20" x14ac:dyDescent="0.15">
      <c r="E94" s="13" t="s">
        <v>79</v>
      </c>
      <c r="F94" s="38" t="s">
        <v>107</v>
      </c>
      <c r="G94" s="18">
        <v>-287</v>
      </c>
      <c r="H94" s="18">
        <v>743</v>
      </c>
      <c r="I94" s="18">
        <v>142</v>
      </c>
      <c r="J94" s="18">
        <v>-496</v>
      </c>
      <c r="K94" s="18">
        <v>326</v>
      </c>
      <c r="L94" s="18">
        <v>334</v>
      </c>
      <c r="M94" s="18">
        <v>774</v>
      </c>
      <c r="N94" s="18">
        <v>-301</v>
      </c>
      <c r="O94" s="18">
        <v>289</v>
      </c>
      <c r="Q94" s="29" t="str">
        <f t="shared" ref="Q94:Q102" si="63">IFERROR((O94/F94)^(1/9)-1,"n/a")</f>
        <v>n/a</v>
      </c>
      <c r="R94" s="29">
        <f t="shared" ref="R94:R102" si="64">IFERROR((O94/L94)^(1/3)-1,"n/a")</f>
        <v>-4.709312860706294E-2</v>
      </c>
    </row>
    <row r="95" spans="3:20" x14ac:dyDescent="0.15">
      <c r="E95" s="13" t="s">
        <v>80</v>
      </c>
      <c r="F95" s="18">
        <v>-4667</v>
      </c>
      <c r="G95" s="18">
        <v>-3985</v>
      </c>
      <c r="H95" s="18">
        <v>-3830</v>
      </c>
      <c r="I95" s="18">
        <v>-4389</v>
      </c>
      <c r="J95" s="18">
        <v>-4591</v>
      </c>
      <c r="K95" s="18">
        <v>-5509</v>
      </c>
      <c r="L95" s="18">
        <v>-4940</v>
      </c>
      <c r="M95" s="18">
        <v>-5991</v>
      </c>
      <c r="N95" s="18">
        <v>-6710</v>
      </c>
      <c r="O95" s="18">
        <v>-6536</v>
      </c>
      <c r="Q95" s="29">
        <f>IFERROR((O95/F95)^(1/9)-1,"n/a")</f>
        <v>3.8132275911563207E-2</v>
      </c>
      <c r="R95" s="29">
        <f t="shared" si="64"/>
        <v>9.7812988864740325E-2</v>
      </c>
    </row>
    <row r="96" spans="3:20" x14ac:dyDescent="0.15">
      <c r="E96" s="13" t="s">
        <v>81</v>
      </c>
      <c r="F96" s="18">
        <v>-2644</v>
      </c>
      <c r="G96" s="18">
        <v>-1648</v>
      </c>
      <c r="H96" s="18">
        <v>-1786</v>
      </c>
      <c r="I96" s="18">
        <v>-2294</v>
      </c>
      <c r="J96" s="18">
        <v>-2378</v>
      </c>
      <c r="K96" s="18">
        <v>-1981</v>
      </c>
      <c r="L96" s="18">
        <v>-2037</v>
      </c>
      <c r="M96" s="18">
        <v>-2319</v>
      </c>
      <c r="N96" s="18">
        <v>-2299</v>
      </c>
      <c r="O96" s="18">
        <v>-2270</v>
      </c>
      <c r="Q96" s="29">
        <f t="shared" si="63"/>
        <v>-1.680312481474644E-2</v>
      </c>
      <c r="R96" s="29">
        <f t="shared" si="64"/>
        <v>3.6760102768658376E-2</v>
      </c>
    </row>
    <row r="97" spans="3:18" x14ac:dyDescent="0.15">
      <c r="E97" s="13" t="s">
        <v>82</v>
      </c>
      <c r="F97" s="18">
        <v>-6284</v>
      </c>
      <c r="G97" s="18">
        <v>-4370</v>
      </c>
      <c r="H97" s="18">
        <v>-4341</v>
      </c>
      <c r="I97" s="18">
        <v>-5217</v>
      </c>
      <c r="J97" s="18">
        <v>-4745</v>
      </c>
      <c r="K97" s="18">
        <v>-4404</v>
      </c>
      <c r="L97" s="18">
        <v>-5260</v>
      </c>
      <c r="M97" s="18">
        <v>-4525</v>
      </c>
      <c r="N97" s="18">
        <v>-4768</v>
      </c>
      <c r="O97" s="18">
        <v>-5795</v>
      </c>
      <c r="Q97" s="29">
        <f t="shared" si="63"/>
        <v>-8.960859322259318E-3</v>
      </c>
      <c r="R97" s="29">
        <f t="shared" si="64"/>
        <v>3.281506810806456E-2</v>
      </c>
    </row>
    <row r="98" spans="3:18" x14ac:dyDescent="0.15">
      <c r="E98" s="13" t="s">
        <v>83</v>
      </c>
      <c r="F98" s="18">
        <v>-1165</v>
      </c>
      <c r="G98" s="18">
        <v>-994</v>
      </c>
      <c r="H98" s="18">
        <v>-1151</v>
      </c>
      <c r="I98" s="18">
        <v>-1452</v>
      </c>
      <c r="J98" s="18">
        <v>-1069</v>
      </c>
      <c r="K98" s="18">
        <v>-1139</v>
      </c>
      <c r="L98" s="18">
        <v>-2230</v>
      </c>
      <c r="M98" s="18">
        <v>-2959</v>
      </c>
      <c r="N98" s="18">
        <v>-1878</v>
      </c>
      <c r="O98" s="18">
        <v>-1977</v>
      </c>
      <c r="Q98" s="29">
        <f t="shared" si="63"/>
        <v>6.0522977980756787E-2</v>
      </c>
      <c r="R98" s="29">
        <f t="shared" si="64"/>
        <v>-3.9345395391863769E-2</v>
      </c>
    </row>
    <row r="99" spans="3:18" x14ac:dyDescent="0.15">
      <c r="E99" s="13" t="s">
        <v>84</v>
      </c>
      <c r="F99" s="18">
        <v>-1708</v>
      </c>
      <c r="G99" s="18">
        <v>-1349</v>
      </c>
      <c r="H99" s="18">
        <v>-1986</v>
      </c>
      <c r="I99" s="18">
        <v>-2168</v>
      </c>
      <c r="J99" s="18">
        <v>-2538</v>
      </c>
      <c r="K99" s="18">
        <v>-2362</v>
      </c>
      <c r="L99" s="18">
        <v>-3217</v>
      </c>
      <c r="M99" s="18">
        <v>-4014</v>
      </c>
      <c r="N99" s="18">
        <v>-3841</v>
      </c>
      <c r="O99" s="18">
        <v>-3571</v>
      </c>
      <c r="Q99" s="29">
        <f t="shared" si="63"/>
        <v>8.5398230729666125E-2</v>
      </c>
      <c r="R99" s="29">
        <f t="shared" si="64"/>
        <v>3.5411370099907247E-2</v>
      </c>
    </row>
    <row r="100" spans="3:18" x14ac:dyDescent="0.15">
      <c r="E100" s="13" t="s">
        <v>85</v>
      </c>
      <c r="F100" s="18">
        <v>-9158</v>
      </c>
      <c r="G100" s="18">
        <v>-6210</v>
      </c>
      <c r="H100" s="18">
        <v>-6184</v>
      </c>
      <c r="I100" s="18">
        <v>-6288</v>
      </c>
      <c r="J100" s="18">
        <v>-5829</v>
      </c>
      <c r="K100" s="18">
        <v>-6112</v>
      </c>
      <c r="L100" s="18">
        <v>-6824</v>
      </c>
      <c r="M100" s="18">
        <v>-5683</v>
      </c>
      <c r="N100" s="18">
        <v>-5061</v>
      </c>
      <c r="O100" s="18">
        <v>-5295</v>
      </c>
      <c r="Q100" s="29">
        <f t="shared" si="63"/>
        <v>-5.9058087246493862E-2</v>
      </c>
      <c r="R100" s="29">
        <f t="shared" si="64"/>
        <v>-8.1084348460514044E-2</v>
      </c>
    </row>
    <row r="101" spans="3:18" x14ac:dyDescent="0.15">
      <c r="E101" s="13" t="s">
        <v>53</v>
      </c>
      <c r="F101" s="18">
        <f>469-670-3445-570-9-636-1552</f>
        <v>-6413</v>
      </c>
      <c r="G101" s="18">
        <f>153-419-170-16-372-819</f>
        <v>-1643</v>
      </c>
      <c r="H101" s="18">
        <f>-103-610-160-33-391-989</f>
        <v>-2286</v>
      </c>
      <c r="I101" s="18">
        <f>93-641-318-14-1-421-1078</f>
        <v>-2380</v>
      </c>
      <c r="J101" s="18">
        <f>147-8-516-250-14-1703</f>
        <v>-2344</v>
      </c>
      <c r="K101" s="18">
        <f>603-422-517-494-2709</f>
        <v>-3539</v>
      </c>
      <c r="L101" s="18">
        <f>-310-145-430-2583-52-2083</f>
        <v>-5603</v>
      </c>
      <c r="M101" s="18">
        <f>326+29-199-515-2677</f>
        <v>-3036</v>
      </c>
      <c r="N101" s="18">
        <f>197-135-294-73-2-1764</f>
        <v>-2071</v>
      </c>
      <c r="O101" s="18">
        <f>-23-84-399-3833-57-2124</f>
        <v>-6520</v>
      </c>
      <c r="Q101" s="29">
        <f t="shared" si="63"/>
        <v>1.8402685275609176E-3</v>
      </c>
      <c r="R101" s="29">
        <f t="shared" si="64"/>
        <v>5.1822179482982511E-2</v>
      </c>
    </row>
    <row r="102" spans="3:18" ht="14" thickBot="1" x14ac:dyDescent="0.2">
      <c r="E102" s="5" t="s">
        <v>86</v>
      </c>
      <c r="F102" s="23">
        <f t="shared" ref="F102:O102" si="65">SUM(F93:F101)</f>
        <v>-37010</v>
      </c>
      <c r="G102" s="23">
        <f t="shared" si="65"/>
        <v>-24091</v>
      </c>
      <c r="H102" s="23">
        <f t="shared" si="65"/>
        <v>-24515</v>
      </c>
      <c r="I102" s="23">
        <f t="shared" si="65"/>
        <v>-28036</v>
      </c>
      <c r="J102" s="23">
        <f t="shared" si="65"/>
        <v>-28022</v>
      </c>
      <c r="K102" s="23">
        <f t="shared" si="65"/>
        <v>-28775</v>
      </c>
      <c r="L102" s="23">
        <f t="shared" si="65"/>
        <v>-34500</v>
      </c>
      <c r="M102" s="23">
        <f t="shared" si="65"/>
        <v>-32371</v>
      </c>
      <c r="N102" s="23">
        <f t="shared" si="65"/>
        <v>-31873</v>
      </c>
      <c r="O102" s="23">
        <f t="shared" si="65"/>
        <v>-36750</v>
      </c>
      <c r="Q102" s="41">
        <f t="shared" si="63"/>
        <v>-7.8301780801481868E-4</v>
      </c>
      <c r="R102" s="41">
        <f t="shared" si="64"/>
        <v>2.1282952880393058E-2</v>
      </c>
    </row>
    <row r="104" spans="3:18" x14ac:dyDescent="0.15">
      <c r="C104" s="17" t="b" cm="1">
        <f t="array" ref="C104">AND(G104:O104&lt;$B$1,G104:O104&gt;-$B$1)</f>
        <v>1</v>
      </c>
      <c r="E104" s="8" t="s">
        <v>38</v>
      </c>
      <c r="F104" s="21">
        <f t="shared" ref="F104:O104" si="66">+F102-F13</f>
        <v>0</v>
      </c>
      <c r="G104" s="21">
        <f t="shared" si="66"/>
        <v>0</v>
      </c>
      <c r="H104" s="21">
        <f t="shared" si="66"/>
        <v>0</v>
      </c>
      <c r="I104" s="21">
        <f t="shared" si="66"/>
        <v>0</v>
      </c>
      <c r="J104" s="21">
        <f t="shared" si="66"/>
        <v>0</v>
      </c>
      <c r="K104" s="21">
        <f t="shared" si="66"/>
        <v>0</v>
      </c>
      <c r="L104" s="21">
        <f t="shared" si="66"/>
        <v>0</v>
      </c>
      <c r="M104" s="21">
        <f t="shared" si="66"/>
        <v>0</v>
      </c>
      <c r="N104" s="21">
        <f t="shared" si="66"/>
        <v>0</v>
      </c>
      <c r="O104" s="21">
        <f t="shared" si="66"/>
        <v>0</v>
      </c>
    </row>
    <row r="106" spans="3:18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15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15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15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15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15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15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15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15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15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15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15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15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15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15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15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15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15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15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15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15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15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15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15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15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15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15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15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15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15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15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15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15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15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15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15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15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15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15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15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15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15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15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15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15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15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15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15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15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15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15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15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15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15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15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15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15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15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  <row r="811" spans="6:15" x14ac:dyDescent="0.15">
      <c r="F811" s="18"/>
      <c r="G811" s="18"/>
      <c r="H811" s="18"/>
      <c r="I811" s="18"/>
      <c r="J811" s="18"/>
      <c r="K811" s="18"/>
      <c r="L811" s="18"/>
      <c r="M811" s="18"/>
      <c r="N811" s="18"/>
      <c r="O811" s="18"/>
    </row>
  </sheetData>
  <conditionalFormatting sqref="B2">
    <cfRule type="cellIs" dxfId="4" priority="6" operator="equal">
      <formula>TRUE</formula>
    </cfRule>
  </conditionalFormatting>
  <conditionalFormatting sqref="C32">
    <cfRule type="cellIs" dxfId="3" priority="9" operator="equal">
      <formula>TRUE</formula>
    </cfRule>
  </conditionalFormatting>
  <conditionalFormatting sqref="C65">
    <cfRule type="cellIs" dxfId="2" priority="4" operator="equal">
      <formula>TRUE</formula>
    </cfRule>
  </conditionalFormatting>
  <conditionalFormatting sqref="C88">
    <cfRule type="cellIs" dxfId="1" priority="1" operator="equal">
      <formula>TRUE</formula>
    </cfRule>
  </conditionalFormatting>
  <conditionalFormatting sqref="C104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2025-04-30T21:06:08Z</dcterms:modified>
</cp:coreProperties>
</file>