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70020EAF-A416-4187-BE59-78216B8A3B95}" xr6:coauthVersionLast="47" xr6:coauthVersionMax="47" xr10:uidLastSave="{00000000-0000-0000-0000-000000000000}"/>
  <bookViews>
    <workbookView xWindow="-120" yWindow="-120" windowWidth="51840" windowHeight="21120" tabRatio="946" activeTab="3" xr2:uid="{A454576F-BA0E-4C95-85A1-1E0F525C6E61}"/>
  </bookViews>
  <sheets>
    <sheet name="Disclaimer" sheetId="2" r:id="rId1"/>
    <sheet name="Input" sheetId="4" r:id="rId2"/>
    <sheet name="WORKINGS&gt;&gt;" sheetId="9" r:id="rId3"/>
    <sheet name="Main" sheetId="10" r:id="rId4"/>
    <sheet name="INPUT&gt;&gt;" sheetId="6" r:id="rId5"/>
    <sheet name="IS&gt;" sheetId="53" r:id="rId6"/>
    <sheet name="is_q125" sheetId="21" r:id="rId7"/>
    <sheet name="is_q324" sheetId="12" r:id="rId8"/>
    <sheet name="is_q224" sheetId="15" r:id="rId9"/>
    <sheet name="is_q124" sheetId="18" r:id="rId10"/>
    <sheet name="is_q323" sheetId="24" r:id="rId11"/>
    <sheet name="is_q223" sheetId="27" r:id="rId12"/>
    <sheet name="is_q123" sheetId="30" r:id="rId13"/>
    <sheet name="is_q322" sheetId="33" r:id="rId14"/>
    <sheet name="is_q222" sheetId="36" r:id="rId15"/>
    <sheet name="is_q122" sheetId="39" r:id="rId16"/>
    <sheet name="is_fy21" sheetId="42" r:id="rId17"/>
    <sheet name="is_fy22" sheetId="45" r:id="rId18"/>
    <sheet name="is_fy23" sheetId="48" r:id="rId19"/>
    <sheet name="is_fy24" sheetId="51" r:id="rId20"/>
    <sheet name="BS&gt;" sheetId="54" r:id="rId21"/>
    <sheet name="bs_q125" sheetId="20" r:id="rId22"/>
    <sheet name="bs_q324" sheetId="11" r:id="rId23"/>
    <sheet name="bs_q224" sheetId="14" r:id="rId24"/>
    <sheet name="bs_q124" sheetId="17" r:id="rId25"/>
    <sheet name="bs_q323" sheetId="23" r:id="rId26"/>
    <sheet name="bs_q223" sheetId="26" r:id="rId27"/>
    <sheet name="bs_q123" sheetId="29" r:id="rId28"/>
    <sheet name="bs_q322" sheetId="32" r:id="rId29"/>
    <sheet name="bs_q222" sheetId="35" r:id="rId30"/>
    <sheet name="bs_q122" sheetId="38" r:id="rId31"/>
    <sheet name="bs_fy21" sheetId="41" r:id="rId32"/>
    <sheet name="bs_fy22" sheetId="44" r:id="rId33"/>
    <sheet name="bs_fy23" sheetId="47" r:id="rId34"/>
    <sheet name="bs_fy24" sheetId="50" r:id="rId35"/>
    <sheet name="CF&gt;" sheetId="55" r:id="rId36"/>
    <sheet name="cf_q125" sheetId="22" r:id="rId37"/>
    <sheet name="cf_q324" sheetId="13" r:id="rId38"/>
    <sheet name="cf_q224" sheetId="16" r:id="rId39"/>
    <sheet name="cf_q124" sheetId="19" r:id="rId40"/>
    <sheet name="cf_q323" sheetId="25" r:id="rId41"/>
    <sheet name="cf_q223" sheetId="28" r:id="rId42"/>
    <sheet name="cf_q123" sheetId="31" r:id="rId43"/>
    <sheet name="cf_q322" sheetId="34" r:id="rId44"/>
    <sheet name="cf_q222" sheetId="37" r:id="rId45"/>
    <sheet name="cf_q122" sheetId="40" r:id="rId46"/>
    <sheet name="cf_fy21" sheetId="43" r:id="rId47"/>
    <sheet name="cf_fy22" sheetId="46" r:id="rId48"/>
    <sheet name="cf_fy23" sheetId="49" r:id="rId49"/>
    <sheet name="cf_fy24" sheetId="52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53" i="10" l="1"/>
  <c r="AO48" i="10"/>
  <c r="AL48" i="10"/>
  <c r="AK48" i="10" s="1"/>
  <c r="AN48" i="10"/>
  <c r="AJ50" i="10"/>
  <c r="AJ49" i="10" s="1"/>
  <c r="AJ52" i="10"/>
  <c r="AB37" i="10"/>
  <c r="AC37" i="10" s="1"/>
  <c r="AD37" i="10" s="1"/>
  <c r="AE37" i="10" s="1"/>
  <c r="AF37" i="10" s="1"/>
  <c r="AF29" i="10"/>
  <c r="AA40" i="10"/>
  <c r="AB34" i="10"/>
  <c r="AC34" i="10" s="1"/>
  <c r="AD34" i="10" s="1"/>
  <c r="AE34" i="10" s="1"/>
  <c r="AF34" i="10" s="1"/>
  <c r="AB32" i="10"/>
  <c r="AC32" i="10" s="1"/>
  <c r="AD32" i="10" s="1"/>
  <c r="AE32" i="10" s="1"/>
  <c r="AF32" i="10" s="1"/>
  <c r="AB30" i="10"/>
  <c r="AC30" i="10" s="1"/>
  <c r="AD30" i="10" s="1"/>
  <c r="AC29" i="10"/>
  <c r="AD29" i="10" s="1"/>
  <c r="AE29" i="10" s="1"/>
  <c r="AA23" i="10"/>
  <c r="AB23" i="10" s="1"/>
  <c r="AC23" i="10" s="1"/>
  <c r="AD23" i="10" s="1"/>
  <c r="AE23" i="10" s="1"/>
  <c r="AF23" i="10" s="1"/>
  <c r="AB9" i="10"/>
  <c r="AC9" i="10" s="1"/>
  <c r="AD9" i="10" s="1"/>
  <c r="AE9" i="10" s="1"/>
  <c r="W69" i="10"/>
  <c r="W48" i="10"/>
  <c r="W47" i="10"/>
  <c r="W44" i="10"/>
  <c r="W43" i="10"/>
  <c r="W37" i="10"/>
  <c r="W13" i="10"/>
  <c r="W19" i="10" s="1"/>
  <c r="AA13" i="10" l="1"/>
  <c r="AB40" i="10"/>
  <c r="AE40" i="10"/>
  <c r="AF40" i="10" s="1"/>
  <c r="AC40" i="10"/>
  <c r="AD40" i="10"/>
  <c r="AE30" i="10"/>
  <c r="AF30" i="10" s="1"/>
  <c r="W41" i="10"/>
  <c r="H44" i="10"/>
  <c r="H43" i="10"/>
  <c r="G44" i="10"/>
  <c r="G43" i="10"/>
  <c r="F44" i="10"/>
  <c r="F43" i="10"/>
  <c r="F48" i="10"/>
  <c r="F47" i="10"/>
  <c r="G48" i="10"/>
  <c r="G47" i="10"/>
  <c r="H48" i="10"/>
  <c r="H47" i="10"/>
  <c r="J48" i="10"/>
  <c r="J47" i="10"/>
  <c r="J44" i="10"/>
  <c r="J43" i="10"/>
  <c r="T48" i="10"/>
  <c r="S48" i="10"/>
  <c r="P48" i="10"/>
  <c r="O48" i="10"/>
  <c r="L48" i="10"/>
  <c r="K48" i="10"/>
  <c r="T47" i="10"/>
  <c r="S47" i="10"/>
  <c r="P47" i="10"/>
  <c r="O47" i="10"/>
  <c r="L47" i="10"/>
  <c r="K47" i="10"/>
  <c r="T44" i="10"/>
  <c r="S44" i="10"/>
  <c r="P44" i="10"/>
  <c r="O44" i="10"/>
  <c r="L44" i="10"/>
  <c r="K44" i="10"/>
  <c r="T43" i="10"/>
  <c r="S43" i="10"/>
  <c r="P43" i="10"/>
  <c r="O43" i="10"/>
  <c r="L43" i="10"/>
  <c r="K43" i="10"/>
  <c r="M36" i="10"/>
  <c r="M44" i="10" s="1"/>
  <c r="M35" i="10"/>
  <c r="N43" i="10" s="1"/>
  <c r="M12" i="10"/>
  <c r="M11" i="10"/>
  <c r="Q12" i="10"/>
  <c r="Q11" i="10"/>
  <c r="U12" i="10"/>
  <c r="U11" i="10"/>
  <c r="F13" i="10"/>
  <c r="G13" i="10"/>
  <c r="H13" i="10"/>
  <c r="L13" i="10"/>
  <c r="K13" i="10"/>
  <c r="J13" i="10"/>
  <c r="T13" i="10"/>
  <c r="P13" i="10"/>
  <c r="S13" i="10"/>
  <c r="O13" i="10"/>
  <c r="V13" i="10"/>
  <c r="W29" i="10" s="1"/>
  <c r="N13" i="10"/>
  <c r="R13" i="10"/>
  <c r="Q36" i="10"/>
  <c r="Q44" i="10" s="1"/>
  <c r="Q35" i="10"/>
  <c r="R43" i="10" s="1"/>
  <c r="U36" i="10"/>
  <c r="U44" i="10" s="1"/>
  <c r="U35" i="10"/>
  <c r="U43" i="10" s="1"/>
  <c r="AB13" i="10" l="1"/>
  <c r="AA19" i="10"/>
  <c r="Q43" i="10"/>
  <c r="R44" i="10"/>
  <c r="M43" i="10"/>
  <c r="V44" i="10"/>
  <c r="N44" i="10"/>
  <c r="V43" i="10"/>
  <c r="Q39" i="10"/>
  <c r="U39" i="10"/>
  <c r="U40" i="10"/>
  <c r="Q40" i="10"/>
  <c r="M39" i="10"/>
  <c r="M40" i="10"/>
  <c r="Q13" i="10"/>
  <c r="U13" i="10"/>
  <c r="V29" i="10" s="1"/>
  <c r="M13" i="10"/>
  <c r="G37" i="10"/>
  <c r="F37" i="10"/>
  <c r="H37" i="10"/>
  <c r="AC13" i="10" l="1"/>
  <c r="AB19" i="10"/>
  <c r="M47" i="10"/>
  <c r="N47" i="10"/>
  <c r="N48" i="10"/>
  <c r="M48" i="10"/>
  <c r="H41" i="10"/>
  <c r="H45" i="10"/>
  <c r="F41" i="10"/>
  <c r="F49" i="10" s="1"/>
  <c r="F45" i="10"/>
  <c r="V48" i="10"/>
  <c r="U48" i="10"/>
  <c r="U47" i="10"/>
  <c r="V47" i="10"/>
  <c r="R47" i="10"/>
  <c r="Q47" i="10"/>
  <c r="Q48" i="10"/>
  <c r="R48" i="10"/>
  <c r="G41" i="10"/>
  <c r="G45" i="10"/>
  <c r="AD13" i="10" l="1"/>
  <c r="AC19" i="10"/>
  <c r="H49" i="10"/>
  <c r="G49" i="10"/>
  <c r="AE13" i="10" l="1"/>
  <c r="AF13" i="10" s="1"/>
  <c r="AD19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V37" i="10"/>
  <c r="W45" i="10" s="1"/>
  <c r="AE19" i="10" l="1"/>
  <c r="AF19" i="10"/>
  <c r="K41" i="10"/>
  <c r="K45" i="10"/>
  <c r="S41" i="10"/>
  <c r="S45" i="10"/>
  <c r="T41" i="10"/>
  <c r="T45" i="10"/>
  <c r="R41" i="10"/>
  <c r="R45" i="10"/>
  <c r="U45" i="10"/>
  <c r="N41" i="10"/>
  <c r="N45" i="10"/>
  <c r="O41" i="10"/>
  <c r="O45" i="10"/>
  <c r="P41" i="10"/>
  <c r="P45" i="10"/>
  <c r="J41" i="10"/>
  <c r="J49" i="10" s="1"/>
  <c r="J45" i="10"/>
  <c r="L41" i="10"/>
  <c r="L45" i="10"/>
  <c r="M41" i="10"/>
  <c r="M45" i="10"/>
  <c r="V41" i="10"/>
  <c r="W49" i="10" s="1"/>
  <c r="V45" i="10"/>
  <c r="Q41" i="10"/>
  <c r="Q45" i="10"/>
  <c r="B3" i="10"/>
  <c r="M69" i="10"/>
  <c r="L69" i="10"/>
  <c r="K69" i="10"/>
  <c r="J69" i="10"/>
  <c r="N69" i="10"/>
  <c r="Q69" i="10"/>
  <c r="P69" i="10"/>
  <c r="O69" i="10"/>
  <c r="V69" i="10"/>
  <c r="U69" i="10"/>
  <c r="T69" i="10"/>
  <c r="S69" i="10"/>
  <c r="R69" i="10"/>
  <c r="L57" i="10"/>
  <c r="N26" i="10"/>
  <c r="P58" i="10"/>
  <c r="P16" i="10"/>
  <c r="G18" i="10"/>
  <c r="K23" i="10"/>
  <c r="S59" i="10"/>
  <c r="H51" i="10"/>
  <c r="J25" i="10"/>
  <c r="L15" i="10"/>
  <c r="H25" i="10"/>
  <c r="N16" i="10"/>
  <c r="H58" i="10"/>
  <c r="L51" i="10"/>
  <c r="F23" i="10"/>
  <c r="R23" i="10"/>
  <c r="O14" i="10"/>
  <c r="K58" i="10"/>
  <c r="J21" i="10"/>
  <c r="G65" i="10"/>
  <c r="K18" i="10"/>
  <c r="F20" i="10"/>
  <c r="T17" i="10"/>
  <c r="V25" i="10"/>
  <c r="L65" i="10"/>
  <c r="J57" i="10"/>
  <c r="N17" i="10"/>
  <c r="G23" i="10"/>
  <c r="O25" i="10"/>
  <c r="P23" i="10"/>
  <c r="H17" i="10"/>
  <c r="P60" i="10"/>
  <c r="F65" i="10"/>
  <c r="S16" i="10"/>
  <c r="H14" i="10"/>
  <c r="N18" i="10"/>
  <c r="V65" i="10"/>
  <c r="F26" i="10"/>
  <c r="N59" i="10"/>
  <c r="N15" i="10"/>
  <c r="J16" i="10"/>
  <c r="L60" i="10"/>
  <c r="T20" i="10"/>
  <c r="R25" i="10"/>
  <c r="L17" i="10"/>
  <c r="K14" i="10"/>
  <c r="R14" i="10"/>
  <c r="P21" i="10"/>
  <c r="K65" i="10"/>
  <c r="K20" i="10"/>
  <c r="R60" i="10"/>
  <c r="L21" i="10"/>
  <c r="V23" i="10"/>
  <c r="H59" i="10"/>
  <c r="S21" i="10"/>
  <c r="S20" i="10"/>
  <c r="P15" i="10"/>
  <c r="L23" i="10"/>
  <c r="V21" i="10"/>
  <c r="T65" i="10"/>
  <c r="G20" i="10"/>
  <c r="H23" i="10"/>
  <c r="T16" i="10"/>
  <c r="R18" i="10"/>
  <c r="J18" i="10"/>
  <c r="G60" i="10"/>
  <c r="R17" i="10"/>
  <c r="G15" i="10"/>
  <c r="R58" i="10"/>
  <c r="O23" i="10"/>
  <c r="R21" i="10"/>
  <c r="T23" i="10"/>
  <c r="F51" i="10"/>
  <c r="P18" i="10"/>
  <c r="R26" i="10"/>
  <c r="O18" i="10"/>
  <c r="S60" i="10"/>
  <c r="V51" i="10"/>
  <c r="N23" i="10"/>
  <c r="K21" i="10"/>
  <c r="G26" i="10"/>
  <c r="L26" i="10"/>
  <c r="V26" i="10"/>
  <c r="T25" i="10"/>
  <c r="S26" i="10"/>
  <c r="O26" i="10"/>
  <c r="F17" i="10"/>
  <c r="S18" i="10"/>
  <c r="J15" i="10"/>
  <c r="V17" i="10"/>
  <c r="F16" i="10"/>
  <c r="F21" i="10"/>
  <c r="T18" i="10"/>
  <c r="O20" i="10"/>
  <c r="P20" i="10"/>
  <c r="H16" i="10"/>
  <c r="N65" i="10"/>
  <c r="V20" i="10"/>
  <c r="J23" i="10"/>
  <c r="T26" i="10"/>
  <c r="F14" i="10"/>
  <c r="N25" i="10"/>
  <c r="V16" i="10"/>
  <c r="S65" i="10"/>
  <c r="R20" i="10"/>
  <c r="K16" i="10"/>
  <c r="P17" i="10"/>
  <c r="P59" i="10"/>
  <c r="H60" i="10"/>
  <c r="L25" i="10"/>
  <c r="H20" i="10"/>
  <c r="T58" i="10"/>
  <c r="S58" i="10"/>
  <c r="H26" i="10"/>
  <c r="L20" i="10"/>
  <c r="O60" i="10"/>
  <c r="O51" i="10"/>
  <c r="N51" i="10"/>
  <c r="K26" i="10"/>
  <c r="S51" i="10"/>
  <c r="O59" i="10"/>
  <c r="P14" i="10"/>
  <c r="O58" i="10"/>
  <c r="O15" i="10"/>
  <c r="G21" i="10"/>
  <c r="G59" i="10"/>
  <c r="V14" i="10"/>
  <c r="V60" i="10"/>
  <c r="R65" i="10"/>
  <c r="F60" i="10"/>
  <c r="R51" i="10"/>
  <c r="H21" i="10"/>
  <c r="O17" i="10"/>
  <c r="S23" i="10"/>
  <c r="G16" i="10"/>
  <c r="P65" i="10"/>
  <c r="K60" i="10"/>
  <c r="F15" i="10"/>
  <c r="T51" i="10"/>
  <c r="T15" i="10"/>
  <c r="T21" i="10"/>
  <c r="K15" i="10"/>
  <c r="N58" i="10"/>
  <c r="P51" i="10"/>
  <c r="J51" i="10"/>
  <c r="V18" i="10"/>
  <c r="R59" i="10"/>
  <c r="N20" i="10"/>
  <c r="L14" i="10"/>
  <c r="V58" i="10"/>
  <c r="S15" i="10"/>
  <c r="P26" i="10"/>
  <c r="L16" i="10"/>
  <c r="S17" i="10"/>
  <c r="G25" i="10"/>
  <c r="G17" i="10"/>
  <c r="J26" i="10"/>
  <c r="H15" i="10"/>
  <c r="P25" i="10"/>
  <c r="N14" i="10"/>
  <c r="T60" i="10"/>
  <c r="K17" i="10"/>
  <c r="G58" i="10"/>
  <c r="V59" i="10"/>
  <c r="H18" i="10"/>
  <c r="J20" i="10"/>
  <c r="G14" i="10"/>
  <c r="K25" i="10"/>
  <c r="J14" i="10"/>
  <c r="S25" i="10"/>
  <c r="O16" i="10"/>
  <c r="L18" i="10"/>
  <c r="F18" i="10"/>
  <c r="O65" i="10"/>
  <c r="S14" i="10"/>
  <c r="T59" i="10"/>
  <c r="N60" i="10"/>
  <c r="J17" i="10"/>
  <c r="F25" i="10"/>
  <c r="R15" i="10"/>
  <c r="V15" i="10"/>
  <c r="K51" i="10"/>
  <c r="N21" i="10"/>
  <c r="R16" i="10"/>
  <c r="J65" i="10"/>
  <c r="O21" i="10"/>
  <c r="G51" i="10"/>
  <c r="H65" i="10"/>
  <c r="T14" i="10"/>
  <c r="AA21" i="10" l="1"/>
  <c r="Q49" i="10"/>
  <c r="P49" i="10"/>
  <c r="M49" i="10"/>
  <c r="O49" i="10"/>
  <c r="W73" i="10"/>
  <c r="T49" i="10"/>
  <c r="L49" i="10"/>
  <c r="S49" i="10"/>
  <c r="N49" i="10"/>
  <c r="R49" i="10"/>
  <c r="K49" i="10"/>
  <c r="U41" i="10"/>
  <c r="U49" i="10" s="1"/>
  <c r="F57" i="10"/>
  <c r="F74" i="10"/>
  <c r="V74" i="10"/>
  <c r="V72" i="10"/>
  <c r="N74" i="10"/>
  <c r="O74" i="10" s="1"/>
  <c r="P74" i="10" s="1"/>
  <c r="G72" i="10"/>
  <c r="V71" i="10"/>
  <c r="R74" i="10"/>
  <c r="N72" i="10"/>
  <c r="O72" i="10" s="1"/>
  <c r="P72" i="10" s="1"/>
  <c r="J74" i="10"/>
  <c r="K74" i="10" s="1"/>
  <c r="L74" i="10" s="1"/>
  <c r="G75" i="10"/>
  <c r="H71" i="10"/>
  <c r="R71" i="10"/>
  <c r="F75" i="10"/>
  <c r="M75" i="10" s="1"/>
  <c r="H72" i="10"/>
  <c r="R72" i="10"/>
  <c r="S72" i="10" s="1"/>
  <c r="T72" i="10" s="1"/>
  <c r="N71" i="10"/>
  <c r="J72" i="10"/>
  <c r="J71" i="10"/>
  <c r="R75" i="10"/>
  <c r="S75" i="10" s="1"/>
  <c r="T75" i="10" s="1"/>
  <c r="H75" i="10"/>
  <c r="G71" i="10"/>
  <c r="O75" i="10"/>
  <c r="P75" i="10" s="1"/>
  <c r="G74" i="10"/>
  <c r="F72" i="10"/>
  <c r="H74" i="10"/>
  <c r="F71" i="10"/>
  <c r="V75" i="10"/>
  <c r="V61" i="10"/>
  <c r="V62" i="10" s="1"/>
  <c r="V66" i="10" s="1"/>
  <c r="T61" i="10"/>
  <c r="T62" i="10" s="1"/>
  <c r="T66" i="10" s="1"/>
  <c r="S61" i="10"/>
  <c r="S62" i="10" s="1"/>
  <c r="S66" i="10" s="1"/>
  <c r="R61" i="10"/>
  <c r="R62" i="10" s="1"/>
  <c r="R66" i="10" s="1"/>
  <c r="P61" i="10"/>
  <c r="P62" i="10" s="1"/>
  <c r="P66" i="10" s="1"/>
  <c r="O61" i="10"/>
  <c r="O62" i="10" s="1"/>
  <c r="O66" i="10" s="1"/>
  <c r="N61" i="10"/>
  <c r="N62" i="10" s="1"/>
  <c r="N66" i="10" s="1"/>
  <c r="J58" i="10"/>
  <c r="J59" i="10"/>
  <c r="K59" i="10"/>
  <c r="K61" i="10" s="1"/>
  <c r="K62" i="10" s="1"/>
  <c r="K66" i="10" s="1"/>
  <c r="J60" i="10"/>
  <c r="L59" i="10"/>
  <c r="L61" i="10" s="1"/>
  <c r="L58" i="10"/>
  <c r="F59" i="10"/>
  <c r="F61" i="10" s="1"/>
  <c r="F58" i="10"/>
  <c r="M58" i="10" s="1"/>
  <c r="M60" i="10"/>
  <c r="Q60" i="10"/>
  <c r="U60" i="10"/>
  <c r="Q59" i="10"/>
  <c r="G61" i="10"/>
  <c r="G62" i="10" s="1"/>
  <c r="G66" i="10" s="1"/>
  <c r="U59" i="10"/>
  <c r="H61" i="10"/>
  <c r="H62" i="10" s="1"/>
  <c r="H66" i="10" s="1"/>
  <c r="Q58" i="10"/>
  <c r="U58" i="10"/>
  <c r="F19" i="10"/>
  <c r="F22" i="10" s="1"/>
  <c r="F24" i="10" s="1"/>
  <c r="F27" i="10" s="1"/>
  <c r="G19" i="10"/>
  <c r="G22" i="10" s="1"/>
  <c r="G29" i="10"/>
  <c r="H19" i="10"/>
  <c r="H22" i="10" s="1"/>
  <c r="J29" i="10"/>
  <c r="K29" i="10"/>
  <c r="P29" i="10"/>
  <c r="O29" i="10"/>
  <c r="S29" i="10"/>
  <c r="T29" i="10"/>
  <c r="L29" i="10"/>
  <c r="U26" i="10"/>
  <c r="U18" i="10"/>
  <c r="U20" i="10"/>
  <c r="U25" i="10"/>
  <c r="U23" i="10"/>
  <c r="U21" i="10"/>
  <c r="U17" i="10"/>
  <c r="U16" i="10"/>
  <c r="U14" i="10"/>
  <c r="U15" i="10"/>
  <c r="U29" i="10"/>
  <c r="Q25" i="10"/>
  <c r="Q26" i="10"/>
  <c r="Q23" i="10"/>
  <c r="Q21" i="10"/>
  <c r="Q20" i="10"/>
  <c r="Q17" i="10"/>
  <c r="Q15" i="10"/>
  <c r="Q18" i="10"/>
  <c r="Q16" i="10"/>
  <c r="Q14" i="10"/>
  <c r="Q29" i="10"/>
  <c r="M26" i="10"/>
  <c r="M25" i="10"/>
  <c r="M23" i="10"/>
  <c r="M20" i="10"/>
  <c r="M21" i="10"/>
  <c r="M18" i="10"/>
  <c r="M16" i="10"/>
  <c r="M14" i="10"/>
  <c r="M17" i="10"/>
  <c r="M15" i="10"/>
  <c r="M29" i="10"/>
  <c r="P19" i="10"/>
  <c r="P30" i="10" s="1"/>
  <c r="O19" i="10"/>
  <c r="O30" i="10" s="1"/>
  <c r="N19" i="10"/>
  <c r="N30" i="10" s="1"/>
  <c r="T19" i="10"/>
  <c r="T30" i="10" s="1"/>
  <c r="L19" i="10"/>
  <c r="L30" i="10" s="1"/>
  <c r="S19" i="10"/>
  <c r="S30" i="10" s="1"/>
  <c r="K19" i="10"/>
  <c r="K30" i="10" s="1"/>
  <c r="R19" i="10"/>
  <c r="R30" i="10" s="1"/>
  <c r="J19" i="10"/>
  <c r="J30" i="10" s="1"/>
  <c r="V19" i="10"/>
  <c r="R57" i="10"/>
  <c r="G57" i="10"/>
  <c r="P57" i="10"/>
  <c r="N57" i="10"/>
  <c r="S57" i="10"/>
  <c r="V57" i="10"/>
  <c r="K57" i="10"/>
  <c r="O57" i="10"/>
  <c r="T57" i="10"/>
  <c r="H57" i="10"/>
  <c r="AA22" i="10" l="1"/>
  <c r="AA24" i="10" s="1"/>
  <c r="AB21" i="10"/>
  <c r="H24" i="10"/>
  <c r="H27" i="10" s="1"/>
  <c r="H31" i="10"/>
  <c r="G24" i="10"/>
  <c r="G27" i="10" s="1"/>
  <c r="G31" i="10"/>
  <c r="W61" i="10"/>
  <c r="W62" i="10" s="1"/>
  <c r="W66" i="10" s="1"/>
  <c r="V49" i="10"/>
  <c r="N73" i="10"/>
  <c r="Q57" i="10"/>
  <c r="U57" i="10"/>
  <c r="S74" i="10"/>
  <c r="T74" i="10" s="1"/>
  <c r="U74" i="10" s="1"/>
  <c r="V73" i="10"/>
  <c r="R73" i="10"/>
  <c r="M59" i="10"/>
  <c r="M61" i="10" s="1"/>
  <c r="M62" i="10" s="1"/>
  <c r="Q75" i="10"/>
  <c r="Q74" i="10"/>
  <c r="Q72" i="10"/>
  <c r="F73" i="10"/>
  <c r="H73" i="10"/>
  <c r="K72" i="10"/>
  <c r="L72" i="10" s="1"/>
  <c r="M72" i="10" s="1"/>
  <c r="J73" i="10"/>
  <c r="O71" i="10"/>
  <c r="U72" i="10"/>
  <c r="S71" i="10"/>
  <c r="M74" i="10"/>
  <c r="K71" i="10"/>
  <c r="G73" i="10"/>
  <c r="U75" i="10"/>
  <c r="J61" i="10"/>
  <c r="J62" i="10" s="1"/>
  <c r="J66" i="10" s="1"/>
  <c r="F62" i="10"/>
  <c r="F66" i="10" s="1"/>
  <c r="L62" i="10"/>
  <c r="L66" i="10" s="1"/>
  <c r="U61" i="10"/>
  <c r="U62" i="10" s="1"/>
  <c r="Q61" i="10"/>
  <c r="Q62" i="10" s="1"/>
  <c r="V22" i="10"/>
  <c r="V30" i="10"/>
  <c r="N29" i="10"/>
  <c r="R29" i="10"/>
  <c r="U19" i="10"/>
  <c r="Q19" i="10"/>
  <c r="M19" i="10"/>
  <c r="P22" i="10"/>
  <c r="P31" i="10" s="1"/>
  <c r="L22" i="10"/>
  <c r="L31" i="10" s="1"/>
  <c r="T22" i="10"/>
  <c r="T31" i="10" s="1"/>
  <c r="O22" i="10"/>
  <c r="O31" i="10" s="1"/>
  <c r="J22" i="10"/>
  <c r="J31" i="10" s="1"/>
  <c r="R22" i="10"/>
  <c r="R31" i="10" s="1"/>
  <c r="K22" i="10"/>
  <c r="K31" i="10" s="1"/>
  <c r="S22" i="10"/>
  <c r="S31" i="10" s="1"/>
  <c r="N22" i="10"/>
  <c r="N31" i="10" s="1"/>
  <c r="F30" i="10"/>
  <c r="G30" i="10"/>
  <c r="H30" i="10"/>
  <c r="A2" i="4"/>
  <c r="E68" i="10"/>
  <c r="E8" i="10"/>
  <c r="E54" i="10"/>
  <c r="AA26" i="10" l="1"/>
  <c r="AA27" i="10" s="1"/>
  <c r="AA41" i="10" s="1"/>
  <c r="AC21" i="10"/>
  <c r="AB22" i="10"/>
  <c r="AB24" i="10" s="1"/>
  <c r="V24" i="10"/>
  <c r="V31" i="10"/>
  <c r="W30" i="10"/>
  <c r="W22" i="10"/>
  <c r="K73" i="10"/>
  <c r="U30" i="10"/>
  <c r="L71" i="10"/>
  <c r="L73" i="10" s="1"/>
  <c r="S73" i="10"/>
  <c r="T71" i="10"/>
  <c r="P71" i="10"/>
  <c r="O73" i="10"/>
  <c r="C66" i="10" a="1"/>
  <c r="C66" i="10" s="1"/>
  <c r="M22" i="10"/>
  <c r="M30" i="10"/>
  <c r="Q22" i="10"/>
  <c r="Q30" i="10"/>
  <c r="U22" i="10"/>
  <c r="U31" i="10" s="1"/>
  <c r="T24" i="10"/>
  <c r="N24" i="10"/>
  <c r="R24" i="10"/>
  <c r="L24" i="10"/>
  <c r="K24" i="10"/>
  <c r="J24" i="10"/>
  <c r="O24" i="10"/>
  <c r="S24" i="10"/>
  <c r="P24" i="10"/>
  <c r="G16" i="4"/>
  <c r="H16" i="4" s="1"/>
  <c r="E69" i="10"/>
  <c r="E55" i="10"/>
  <c r="E9" i="10"/>
  <c r="H29" i="10"/>
  <c r="F29" i="10"/>
  <c r="F31" i="10"/>
  <c r="D5" i="10"/>
  <c r="D3" i="10"/>
  <c r="A1" i="4"/>
  <c r="A3" i="2"/>
  <c r="A1" i="2"/>
  <c r="A2" i="2"/>
  <c r="AB26" i="10" l="1"/>
  <c r="AD21" i="10"/>
  <c r="AC22" i="10"/>
  <c r="AC24" i="10" s="1"/>
  <c r="AC25" i="10" s="1"/>
  <c r="V32" i="10"/>
  <c r="V27" i="10"/>
  <c r="V52" i="10" s="1"/>
  <c r="W24" i="10"/>
  <c r="W32" i="10" s="1"/>
  <c r="W31" i="10"/>
  <c r="M24" i="10"/>
  <c r="M27" i="10" s="1"/>
  <c r="M31" i="10"/>
  <c r="Q24" i="10"/>
  <c r="Q27" i="10" s="1"/>
  <c r="Q31" i="10"/>
  <c r="P73" i="10"/>
  <c r="Q73" i="10" s="1"/>
  <c r="Q71" i="10"/>
  <c r="M71" i="10"/>
  <c r="M73" i="10" s="1"/>
  <c r="T73" i="10"/>
  <c r="U73" i="10" s="1"/>
  <c r="U71" i="10"/>
  <c r="U24" i="10"/>
  <c r="J27" i="10"/>
  <c r="J32" i="10"/>
  <c r="R27" i="10"/>
  <c r="R32" i="10"/>
  <c r="P27" i="10"/>
  <c r="P32" i="10"/>
  <c r="N27" i="10"/>
  <c r="N32" i="10"/>
  <c r="K27" i="10"/>
  <c r="K32" i="10"/>
  <c r="S27" i="10"/>
  <c r="S32" i="10"/>
  <c r="L27" i="10"/>
  <c r="L32" i="10"/>
  <c r="T27" i="10"/>
  <c r="T32" i="10"/>
  <c r="O27" i="10"/>
  <c r="O32" i="10"/>
  <c r="D4" i="10"/>
  <c r="AB27" i="10" l="1"/>
  <c r="AB41" i="10" s="1"/>
  <c r="AC26" i="10"/>
  <c r="AE21" i="10"/>
  <c r="AF21" i="10" s="1"/>
  <c r="AF22" i="10" s="1"/>
  <c r="AF24" i="10" s="1"/>
  <c r="AD22" i="10"/>
  <c r="AD24" i="10" s="1"/>
  <c r="AD25" i="10" s="1"/>
  <c r="U32" i="10"/>
  <c r="M32" i="10"/>
  <c r="W27" i="10"/>
  <c r="W52" i="10" s="1"/>
  <c r="Q32" i="10"/>
  <c r="Q52" i="10"/>
  <c r="M52" i="10"/>
  <c r="L52" i="10"/>
  <c r="T52" i="10"/>
  <c r="S52" i="10"/>
  <c r="O52" i="10"/>
  <c r="P52" i="10"/>
  <c r="K52" i="10"/>
  <c r="N52" i="10"/>
  <c r="J52" i="10"/>
  <c r="R52" i="10"/>
  <c r="U27" i="10"/>
  <c r="G52" i="10"/>
  <c r="G32" i="10"/>
  <c r="F52" i="10"/>
  <c r="F32" i="10"/>
  <c r="AF25" i="10" l="1"/>
  <c r="AF26" i="10"/>
  <c r="AE22" i="10"/>
  <c r="AE24" i="10" s="1"/>
  <c r="AC27" i="10"/>
  <c r="AC41" i="10" s="1"/>
  <c r="AD26" i="10"/>
  <c r="U52" i="10"/>
  <c r="H32" i="10"/>
  <c r="AE26" i="10" l="1"/>
  <c r="AE25" i="10"/>
  <c r="AF27" i="10"/>
  <c r="AF41" i="10" s="1"/>
  <c r="AD27" i="10"/>
  <c r="AD41" i="10" s="1"/>
  <c r="H52" i="10"/>
  <c r="AE27" i="10" l="1"/>
  <c r="AE41" i="10" s="1"/>
  <c r="AA43" i="10" s="1"/>
  <c r="AA45" i="10" s="1"/>
  <c r="AJ48" i="10" s="1"/>
  <c r="C52" i="10" a="1"/>
  <c r="C52" i="10" s="1"/>
  <c r="B2" i="10" s="1"/>
  <c r="M5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<sst xmlns="http://schemas.openxmlformats.org/spreadsheetml/2006/main" count="3194" uniqueCount="580">
  <si>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</si>
  <si>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</si>
  <si>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</si>
  <si>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</si>
  <si>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</si>
  <si>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</si>
  <si>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</si>
  <si>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</si>
  <si>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</si>
  <si>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</si>
  <si>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</si>
  <si>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</si>
  <si>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</si>
  <si>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</si>
  <si>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</si>
  <si>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</si>
  <si>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</si>
  <si>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</si>
  <si>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</si>
  <si>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</si>
  <si>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</si>
  <si>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</si>
  <si>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</si>
  <si>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</si>
  <si>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</si>
  <si>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</si>
  <si>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</si>
  <si>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</si>
  <si>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</si>
  <si>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</si>
  <si>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</si>
  <si>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</si>
  <si>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</si>
  <si>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</si>
  <si>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</si>
  <si>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</si>
  <si>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</si>
  <si>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</si>
  <si>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</si>
  <si>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</si>
  <si>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</si>
  <si>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</si>
  <si>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</si>
  <si>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</si>
  <si>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</si>
  <si>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</si>
  <si>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</si>
  <si>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</si>
  <si>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</si>
  <si>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</si>
  <si>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</si>
  <si>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</si>
  <si>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</si>
  <si>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</si>
  <si>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</si>
  <si>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</si>
  <si>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</si>
  <si>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</si>
  <si>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</si>
  <si>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</si>
  <si>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</si>
  <si>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</si>
  <si>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</si>
  <si>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</si>
  <si>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</si>
  <si>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</si>
  <si>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</si>
  <si>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</si>
  <si>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</si>
  <si>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</si>
  <si>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</si>
  <si>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</si>
  <si>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</si>
  <si>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Q2 23</t>
  </si>
  <si>
    <t>Q3 23</t>
  </si>
  <si>
    <t>Q1 23</t>
  </si>
  <si>
    <t>Q4 23</t>
  </si>
  <si>
    <t>Q1 22</t>
  </si>
  <si>
    <t>Q2 22</t>
  </si>
  <si>
    <t>Q3 22</t>
  </si>
  <si>
    <t>Q4 22</t>
  </si>
  <si>
    <t>Jun 24</t>
  </si>
  <si>
    <t>Sep 24</t>
  </si>
  <si>
    <t>Mar 23</t>
  </si>
  <si>
    <t>Jun 23</t>
  </si>
  <si>
    <t>Sep 23</t>
  </si>
  <si>
    <t>Mar 22</t>
  </si>
  <si>
    <t>Jun 22</t>
  </si>
  <si>
    <t>Sep 22</t>
  </si>
  <si>
    <t>Total liabilities and shareholders' equity</t>
  </si>
  <si>
    <t>Total shareholders' equity</t>
  </si>
  <si>
    <t>Noncontrolling interests</t>
  </si>
  <si>
    <t>Total Bumble Inc. shareholders' equity</t>
  </si>
  <si>
    <t>Accumulated other comprehensive income</t>
  </si>
  <si>
    <t>Accumulated deficit</t>
  </si>
  <si>
    <t>respectively)</t>
  </si>
  <si>
    <t>September 30, 2024 and December 31, 2023,</t>
  </si>
  <si>
    <t>Treasury stock (27,294,303 and 7,832,473 shares as of</t>
  </si>
  <si>
    <t>Additional paid-in capital</t>
  </si>
  <si>
    <t>as of September 30, 2024 and December 31, 2023,</t>
  </si>
  <si>
    <t>600,000,000 shares; no shares issued and outstanding</t>
  </si>
  <si>
    <t>Preferred stock (par value $0.01; authorized</t>
  </si>
  <si>
    <t>2023, respectively)</t>
  </si>
  <si>
    <t>outstanding as of September 30, 2024 and December 31,</t>
  </si>
  <si>
    <t>1,000,000 shares authorized; 20 shares issued and</t>
  </si>
  <si>
    <t>Class B common stock (par value $0.01 per share,</t>
  </si>
  <si>
    <t>2023)</t>
  </si>
  <si>
    <t>130,687,629 shares outstanding as of December 31,</t>
  </si>
  <si>
    <t>September 30, 2024; 138,520,102 shares issued and</t>
  </si>
  <si>
    <t>issued and 112,557,526 shares outstanding as of</t>
  </si>
  <si>
    <t>6,000,000,000 shares authorized; 139,851,829 shares</t>
  </si>
  <si>
    <t>Class A common stock (par value $0.01 per share,</t>
  </si>
  <si>
    <t>Shareholders' equity:</t>
  </si>
  <si>
    <t>Commitments and contingencies (Note 14)</t>
  </si>
  <si>
    <t>Total liabilities</t>
  </si>
  <si>
    <t>Other long-term liabilities</t>
  </si>
  <si>
    <t>receivable agreement</t>
  </si>
  <si>
    <t>Payable to related parties pursuant to a tax</t>
  </si>
  <si>
    <t>Deferred tax liabilities, net</t>
  </si>
  <si>
    <t>Long-term debt, net</t>
  </si>
  <si>
    <t>Total current liabilities</t>
  </si>
  <si>
    <t>Current portion of long-term debt, net</t>
  </si>
  <si>
    <t>Accrued expenses and other current liabilities</t>
  </si>
  <si>
    <t>Deferred revenue</t>
  </si>
  <si>
    <t>Accounts payable</t>
  </si>
  <si>
    <t>LIABILITIES AND SHAREHOLDERS' EQUITY</t>
  </si>
  <si>
    <t>Other noncurrent assets</t>
  </si>
  <si>
    <t>Deferred tax assets, net</t>
  </si>
  <si>
    <t>Intangible assets, net</t>
  </si>
  <si>
    <t>Goodwill</t>
  </si>
  <si>
    <t>depreciation of $21,463 and $15,831, respectively)</t>
  </si>
  <si>
    <t>Property and equipment (net of accumulated</t>
  </si>
  <si>
    <t>Right-of-use assets</t>
  </si>
  <si>
    <t>Total current assets</t>
  </si>
  <si>
    <t>Other current assets</t>
  </si>
  <si>
    <t>$648, respectively)</t>
  </si>
  <si>
    <t>Accounts receivable (net of allowance of $624 and</t>
  </si>
  <si>
    <t>Cash and cash equivalents</t>
  </si>
  <si>
    <t>ASSETS</t>
  </si>
  <si>
    <t>December 31, 2023</t>
  </si>
  <si>
    <t>30, 2024</t>
  </si>
  <si>
    <t/>
  </si>
  <si>
    <t>September</t>
  </si>
  <si>
    <t>(Unaudited)</t>
  </si>
  <si>
    <t>(In thousands, except share and per share information)</t>
  </si>
  <si>
    <t>Condensed Consolidated Balance Sheets</t>
  </si>
  <si>
    <t>Table Of Contents</t>
  </si>
  <si>
    <t>Date Filed: Nov 08, 2024</t>
  </si>
  <si>
    <t>Period End: Sep 30, 2024</t>
  </si>
  <si>
    <t>Form Type: 10-Q</t>
  </si>
  <si>
    <t>BALANCE_SHEET</t>
  </si>
  <si>
    <t>BUMBLE INC.</t>
  </si>
  <si>
    <t>Created by EDGAR Online, Inc.</t>
  </si>
  <si>
    <t>Diluted earnings (loss) per share</t>
  </si>
  <si>
    <t>Basic earnings (loss) per share</t>
  </si>
  <si>
    <t>to Bumble Inc. shareholders</t>
  </si>
  <si>
    <t>Net earnings (loss) per share attributable</t>
  </si>
  <si>
    <t>Inc. shareholders</t>
  </si>
  <si>
    <t>Net earnings (loss) attributable to Bumble</t>
  </si>
  <si>
    <t>noncontrolling interests</t>
  </si>
  <si>
    <t>Net earnings (loss) attributable to</t>
  </si>
  <si>
    <t>Net earnings (loss)</t>
  </si>
  <si>
    <t>Income tax provision</t>
  </si>
  <si>
    <t>Income (loss) before income taxes</t>
  </si>
  <si>
    <t>Other income (expense), net</t>
  </si>
  <si>
    <t>Interest expense, net</t>
  </si>
  <si>
    <t>Operating earnings (loss)</t>
  </si>
  <si>
    <t>Total operating costs and expenses</t>
  </si>
  <si>
    <t>Impairment loss</t>
  </si>
  <si>
    <t>Depreciation and amortization expense</t>
  </si>
  <si>
    <t>Product development expense</t>
  </si>
  <si>
    <t>General and administrative expense</t>
  </si>
  <si>
    <t>Selling and marketing expense</t>
  </si>
  <si>
    <t>Operating costs and expenses:</t>
  </si>
  <si>
    <t>September 30,</t>
  </si>
  <si>
    <t>Ended</t>
  </si>
  <si>
    <t>Nine Months</t>
  </si>
  <si>
    <t>Three Months</t>
  </si>
  <si>
    <t>(In thousands, except per share information)</t>
  </si>
  <si>
    <t>Condensed Consolidated Statements of Operations</t>
  </si>
  <si>
    <t>INCOME_STATEMENT</t>
  </si>
  <si>
    <t>Cash and cash equivalents, end of the period</t>
  </si>
  <si>
    <t>Less restricted cash</t>
  </si>
  <si>
    <t>the period</t>
  </si>
  <si>
    <t>Cash and cash equivalents and restricted cash, end of</t>
  </si>
  <si>
    <t>beginning of the period</t>
  </si>
  <si>
    <t>Cash and cash equivalents and restricted cash,</t>
  </si>
  <si>
    <t>and restricted cash</t>
  </si>
  <si>
    <t>Net increase (decrease) in cash and cash equivalents</t>
  </si>
  <si>
    <t>equivalents</t>
  </si>
  <si>
    <t>Effects of exchange rate changes on cash and cash</t>
  </si>
  <si>
    <t>Net cash used in financing activities</t>
  </si>
  <si>
    <t>Payments on tax receivable agreement</t>
  </si>
  <si>
    <t>stock-based awards</t>
  </si>
  <si>
    <t>Withholding tax paid on behalf of employees on</t>
  </si>
  <si>
    <t>Purchase of Common Units</t>
  </si>
  <si>
    <t>Share repurchases</t>
  </si>
  <si>
    <t>Distributions paid to noncontrolling interest holders</t>
  </si>
  <si>
    <t>Repayment of term loan</t>
  </si>
  <si>
    <t>Cash flows from financing activities:</t>
  </si>
  <si>
    <t>Net cash used in investing activities</t>
  </si>
  <si>
    <t>Acquisition of intangible assets</t>
  </si>
  <si>
    <t>Acquisition of business, net of cash acquired</t>
  </si>
  <si>
    <t>Capital expenditures</t>
  </si>
  <si>
    <t>Cash flows from investing activities:</t>
  </si>
  <si>
    <t>Net cash provided by operating activities</t>
  </si>
  <si>
    <t>Other, net</t>
  </si>
  <si>
    <t>Lease liabilities</t>
  </si>
  <si>
    <t>Legal liabilities</t>
  </si>
  <si>
    <t>Accounts receivable</t>
  </si>
  <si>
    <t>Changes in assets and liabilities:</t>
  </si>
  <si>
    <t>Net foreign exchange difference</t>
  </si>
  <si>
    <t>Stock-based compensation expense</t>
  </si>
  <si>
    <t>Deferred income tax</t>
  </si>
  <si>
    <t>expense</t>
  </si>
  <si>
    <t>Tax receivable agreement liability remeasurement</t>
  </si>
  <si>
    <t>Non-cash lease expense</t>
  </si>
  <si>
    <t>liability</t>
  </si>
  <si>
    <t>Changes in fair value of contingent earn-out</t>
  </si>
  <si>
    <t>Changes in fair value of interest rate swaps</t>
  </si>
  <si>
    <t>cash provided by operating activities:</t>
  </si>
  <si>
    <t>Adjustments to reconcile net earnings (loss) to net</t>
  </si>
  <si>
    <t>Cash flows from operating activities:</t>
  </si>
  <si>
    <t>Ended September</t>
  </si>
  <si>
    <t>(In thousands)</t>
  </si>
  <si>
    <t>Condensed Consolidated Statements of Cash Flows</t>
  </si>
  <si>
    <t>CASH_FLOW</t>
  </si>
  <si>
    <t>June 30, 2024 and December 31, 2023, respectively)</t>
  </si>
  <si>
    <t>Treasury stock (13,123,659 and 7,832,473 shares as of</t>
  </si>
  <si>
    <t>as of June 30, 2024 and December 31, 2023,</t>
  </si>
  <si>
    <t>outstanding as of June 30, 2024 and December 31,</t>
  </si>
  <si>
    <t>30, 2024; 138,520,102 shares issued and</t>
  </si>
  <si>
    <t>issued and 126,468,688 shares outstanding as of June</t>
  </si>
  <si>
    <t>6,000,000,000 shares authorized; 139,592,347 shares</t>
  </si>
  <si>
    <t>depreciation of $18,774 and $15,831, respectively)</t>
  </si>
  <si>
    <t>Accounts receivable (net of allowance of $600 and</t>
  </si>
  <si>
    <t>June 30, 2024</t>
  </si>
  <si>
    <t>Date Filed: Aug 08, 2024</t>
  </si>
  <si>
    <t>Period End: Jun 30, 2024</t>
  </si>
  <si>
    <t>Income tax benefit (provision)</t>
  </si>
  <si>
    <t>Interest income (expense), net</t>
  </si>
  <si>
    <t>30, 2023</t>
  </si>
  <si>
    <t>Ended June</t>
  </si>
  <si>
    <t>Six Months</t>
  </si>
  <si>
    <t>Net cash provided by (used in) financing activities</t>
  </si>
  <si>
    <t>Net cash provided by (used in) investing activities</t>
  </si>
  <si>
    <t>Net cash provided by (used in) operating activities</t>
  </si>
  <si>
    <t>cash provided by (used in) operating activities:</t>
  </si>
  <si>
    <t>Ended June 30,</t>
  </si>
  <si>
    <t>March 31, 2024 and December 31, 2023, respectively)</t>
  </si>
  <si>
    <t>as of March 31, 2024 and December 31, 2023,</t>
  </si>
  <si>
    <t>outstanding as of March 31, 2024 and December 31,</t>
  </si>
  <si>
    <t>31, 2024; 138,520,102 shares issued and</t>
  </si>
  <si>
    <t>issued and 126,114,247 shares outstanding as of March</t>
  </si>
  <si>
    <t>6,000,000,000 shares authorized; 139,237,906 shares</t>
  </si>
  <si>
    <t>depreciation of $17,385 and $15,831, respectively)</t>
  </si>
  <si>
    <t>Accounts receivable (net of allowance of $658 and</t>
  </si>
  <si>
    <t>March 31, 2024</t>
  </si>
  <si>
    <t>Date Filed: May 09, 2024</t>
  </si>
  <si>
    <t>Period End: Mar 31, 2024</t>
  </si>
  <si>
    <t>Net earnings (loss) per share attributable to Bumble</t>
  </si>
  <si>
    <t>shareholders</t>
  </si>
  <si>
    <t>Net earnings (loss) attributable to Bumble Inc.</t>
  </si>
  <si>
    <t>interests</t>
  </si>
  <si>
    <t>Net earnings (loss) attributable to noncontrolling</t>
  </si>
  <si>
    <t>31, 2023</t>
  </si>
  <si>
    <t>31, 2024</t>
  </si>
  <si>
    <t>Ended March</t>
  </si>
  <si>
    <t>Ended March 31,</t>
  </si>
  <si>
    <t>as of March 31, 2025 and December 31, 2024,</t>
  </si>
  <si>
    <t>2024, respectively)</t>
  </si>
  <si>
    <t>outstanding as of March 31, 2025 and December 31,</t>
  </si>
  <si>
    <t>December 31, 2024)</t>
  </si>
  <si>
    <t>107,107,632 shares issued and outstanding as of</t>
  </si>
  <si>
    <t>issued and outstanding as of March 31, 2025;</t>
  </si>
  <si>
    <t>6,000,000,000 shares authorized; 103,193,444 shares</t>
  </si>
  <si>
    <t>depreciation of $24,016 and $21,811, respectively)</t>
  </si>
  <si>
    <t>$103, respectively)</t>
  </si>
  <si>
    <t>Accounts receivable (net of allowance of $103 and</t>
  </si>
  <si>
    <t>December 31, 2024</t>
  </si>
  <si>
    <t>March 31, 2025</t>
  </si>
  <si>
    <t>Date Filed: May 12, 2025</t>
  </si>
  <si>
    <t>Period End: Mar 31, 2025</t>
  </si>
  <si>
    <t>Diluted earnings per share</t>
  </si>
  <si>
    <t>Basic earnings per share</t>
  </si>
  <si>
    <t>Net earnings per share attributable to Bumble Inc.</t>
  </si>
  <si>
    <t>Net earnings attributable to Bumble Inc. shareholders</t>
  </si>
  <si>
    <t>Net earnings attributable to noncontrolling interests</t>
  </si>
  <si>
    <t>Net earnings</t>
  </si>
  <si>
    <t>Income before income taxes</t>
  </si>
  <si>
    <t>Operating earnings</t>
  </si>
  <si>
    <t>31, 2025</t>
  </si>
  <si>
    <t>restricted cash</t>
  </si>
  <si>
    <t>Net decrease in cash and cash equivalents and</t>
  </si>
  <si>
    <t>Changes in fair value of contingent earn-out liability</t>
  </si>
  <si>
    <t>provided by operating activities:</t>
  </si>
  <si>
    <t>Adjustments to reconcile net earnings to net cash</t>
  </si>
  <si>
    <t>September 30, 2023 and December 31, 2022,</t>
  </si>
  <si>
    <t>Treasury stock (1,320,372 and no shares as of</t>
  </si>
  <si>
    <t>as of September 30, 2023 and December 31, 2022,</t>
  </si>
  <si>
    <t>2022, respectively)</t>
  </si>
  <si>
    <t>outstanding as of September 30, 2023 and December 31,</t>
  </si>
  <si>
    <t>outstanding as of December 31, 2022)</t>
  </si>
  <si>
    <t>September 30, 2023; 129,774,299 shares issued and</t>
  </si>
  <si>
    <t>issued and 136,683,215 shares outstanding as of</t>
  </si>
  <si>
    <t>6,000,000,000 shares authorized; 138,003,587 shares</t>
  </si>
  <si>
    <t>Property and equipment, net</t>
  </si>
  <si>
    <t>Accounts receivable, net</t>
  </si>
  <si>
    <t>December 31, 2022</t>
  </si>
  <si>
    <t>Date Filed: Nov 08, 2023</t>
  </si>
  <si>
    <t>Period End: Sep 30, 2023</t>
  </si>
  <si>
    <t>Depreciation and amortization</t>
  </si>
  <si>
    <t>30, 2023 and December 31, 2022, respectively)</t>
  </si>
  <si>
    <t>Treasury stock (1,320,372 and no shares as of June</t>
  </si>
  <si>
    <t>as of June 30, 2023, and December 31, 2022,</t>
  </si>
  <si>
    <t>outstanding as of June 30, 2023 and December 31,</t>
  </si>
  <si>
    <t>as of December 31, 2022, respectively)</t>
  </si>
  <si>
    <t>30, 2023; 129,774,299 shares issued and outstanding</t>
  </si>
  <si>
    <t>issued and 136,451,324 shares outstanding as of June</t>
  </si>
  <si>
    <t>6,000,000,000 shares authorized; 137,771,696 shares</t>
  </si>
  <si>
    <t>Shareholders' Equity:</t>
  </si>
  <si>
    <t>June 30, 2023</t>
  </si>
  <si>
    <t>Date Filed: Aug 09, 2023</t>
  </si>
  <si>
    <t>Period End: Jun 30, 2023</t>
  </si>
  <si>
    <t>Interest income (expense)</t>
  </si>
  <si>
    <t>30, 2022</t>
  </si>
  <si>
    <t>Research and development tax credit</t>
  </si>
  <si>
    <t>as of March 31, 2023 and December 31, 2022,</t>
  </si>
  <si>
    <t>outstanding as of March 31, 2023 and December 31,</t>
  </si>
  <si>
    <t>31, 2023 and December 31, 2022, respectively)</t>
  </si>
  <si>
    <t>129,774,299 shares issued and outstanding as of March</t>
  </si>
  <si>
    <t>6,000,000,000 shares authorized; 137,571,188 and</t>
  </si>
  <si>
    <t>March 31, 2023</t>
  </si>
  <si>
    <t>Date Filed: May 05, 2023</t>
  </si>
  <si>
    <t>Period End: Mar 31, 2023</t>
  </si>
  <si>
    <t>31, 2022</t>
  </si>
  <si>
    <t>holders</t>
  </si>
  <si>
    <t>Distributions paid to non-controlling interest</t>
  </si>
  <si>
    <t>Total liabilities and shareholders' / owners' equity</t>
  </si>
  <si>
    <t>Total shareholders' / owners' equity</t>
  </si>
  <si>
    <t>owners' equity</t>
  </si>
  <si>
    <t>Total Bumble Inc. shareholders' / Buzz Holdings L.P.</t>
  </si>
  <si>
    <t>as of September 30, 2022 and December 31, 2021,</t>
  </si>
  <si>
    <t>2021, respectively)</t>
  </si>
  <si>
    <t>outstanding as of September 30, 2022 and December 31,</t>
  </si>
  <si>
    <t>September 30, 2022 and December 31, 2021,</t>
  </si>
  <si>
    <t>129,212,949 shares issued and outstanding as of</t>
  </si>
  <si>
    <t>6,000,000,000 shares authorized; 129,645,692 and</t>
  </si>
  <si>
    <t>Owners' Equity:</t>
  </si>
  <si>
    <t>Bumble Inc. Shareholders' / Buzz Holdings L.P.</t>
  </si>
  <si>
    <t>Commitments and contingencies (Note 18)</t>
  </si>
  <si>
    <t>HOLDINGS L.P. OWNERS' EQUITY</t>
  </si>
  <si>
    <t>LIABILITIES AND BUMBLE INC. SHAREHOLDERS' / BUZZ</t>
  </si>
  <si>
    <t>Accounts receivable, net of allowances</t>
  </si>
  <si>
    <t>December 31, 2021</t>
  </si>
  <si>
    <t>Date Filed: Nov 16, 2022</t>
  </si>
  <si>
    <t>Period End: Sep 30, 2022</t>
  </si>
  <si>
    <t>Diluted earnings (loss) per share / unit</t>
  </si>
  <si>
    <t>Basic earnings (loss) per share / unit</t>
  </si>
  <si>
    <t>Buzz Holdings L.P. owners</t>
  </si>
  <si>
    <t>attributable to Bumble Inc. shareholders /</t>
  </si>
  <si>
    <t>Net earnings (loss) per share / unit</t>
  </si>
  <si>
    <t>owners</t>
  </si>
  <si>
    <t>Inc. shareholders / Buzz Holdings L.P.</t>
  </si>
  <si>
    <t>(In thousands, except per share / unit information)</t>
  </si>
  <si>
    <t>Cash and cash equivalents, beginning of the period</t>
  </si>
  <si>
    <t>Proceeds from exercise of options</t>
  </si>
  <si>
    <t>Unitholders in the initial public offering</t>
  </si>
  <si>
    <t>Purchase of Common Units from Pre-IPO Common</t>
  </si>
  <si>
    <t>Payments to purchase and retire common stock</t>
  </si>
  <si>
    <t>in initial public offering, net of offering costs</t>
  </si>
  <si>
    <t>Proceeds from issuance of Class A common stock sold</t>
  </si>
  <si>
    <t>securities</t>
  </si>
  <si>
    <t>Changes in fair value of investments in equity</t>
  </si>
  <si>
    <t>Loss on extinguishment of long term debt</t>
  </si>
  <si>
    <t>30, 2021</t>
  </si>
  <si>
    <t>as of June 30, 2022 and December 31, 2021,</t>
  </si>
  <si>
    <t>outstanding as of June 30, 2022 and December 31, 2021,</t>
  </si>
  <si>
    <t>30, 2022 and December 31, 2021, respectively)</t>
  </si>
  <si>
    <t>129,212,949 shares issued and outstanding as of June</t>
  </si>
  <si>
    <t>6,000,000,000 shares authorized; 129,559,112 and</t>
  </si>
  <si>
    <t>Equity:</t>
  </si>
  <si>
    <t>Bumble Inc. Shareholders' / Buzz Holdings L.P. Owners'</t>
  </si>
  <si>
    <t>Commitments and contingencies (Note 17)</t>
  </si>
  <si>
    <t>Other liabilities</t>
  </si>
  <si>
    <t>June 30, 2022</t>
  </si>
  <si>
    <t>December 31,</t>
  </si>
  <si>
    <t>Date Filed: Aug 12, 2022</t>
  </si>
  <si>
    <t>Period End: Jun 30, 2022</t>
  </si>
  <si>
    <t>/ Buzz Holdings L.P. owners</t>
  </si>
  <si>
    <t>attributable to Bumble Inc. shareholders</t>
  </si>
  <si>
    <t>L.P. owners</t>
  </si>
  <si>
    <t>Bumble Inc. shareholders / Buzz Holdings</t>
  </si>
  <si>
    <t>as of March 31, 2022 and December 31, 2021,</t>
  </si>
  <si>
    <t>outstanding as of March 31, 2022 and December 31,</t>
  </si>
  <si>
    <t>31, 2022 and December 31, 2021, respectively)</t>
  </si>
  <si>
    <t>129,212,949 shares issued and outstanding as of March</t>
  </si>
  <si>
    <t>6,000,000,000 shares authorized; 129,519,804 and</t>
  </si>
  <si>
    <t>March 31, 2022</t>
  </si>
  <si>
    <t>Date Filed: May 16, 2022</t>
  </si>
  <si>
    <t>Period End: Mar 31, 2022</t>
  </si>
  <si>
    <t>Bumble Inc. shareholders / Buzz Holdings L.P. owners</t>
  </si>
  <si>
    <t>Net earnings (loss) per share / unit attributable to</t>
  </si>
  <si>
    <t>shareholders / Buzz Holdings L.P. owners</t>
  </si>
  <si>
    <t>March 31,</t>
  </si>
  <si>
    <t>Lease receivable</t>
  </si>
  <si>
    <t>(in thousands, except share and per share information)</t>
  </si>
  <si>
    <t>Consolidated Balance Sheets</t>
  </si>
  <si>
    <t>Date Filed: Mar 16, 2022</t>
  </si>
  <si>
    <t>Period End: Dec 31, 2021</t>
  </si>
  <si>
    <t>Form Type: 10-K</t>
  </si>
  <si>
    <t>unit</t>
  </si>
  <si>
    <t>Diluted earnings (loss) per share /</t>
  </si>
  <si>
    <t>shareholders / Buzz Holdings L.P.</t>
  </si>
  <si>
    <t>attributable to Bumble Inc.</t>
  </si>
  <si>
    <t>Limited shareholders</t>
  </si>
  <si>
    <t>Holdings L.P. owners / Worldwide Vision</t>
  </si>
  <si>
    <t>Bumble Inc. shareholders / Buzz</t>
  </si>
  <si>
    <t>Income (loss) before income tax</t>
  </si>
  <si>
    <t>January 28,</t>
  </si>
  <si>
    <t>through</t>
  </si>
  <si>
    <t>Year</t>
  </si>
  <si>
    <t>January 1,</t>
  </si>
  <si>
    <t>January 29,</t>
  </si>
  <si>
    <t>Period from</t>
  </si>
  <si>
    <t>Predecessor</t>
  </si>
  <si>
    <t>Successor</t>
  </si>
  <si>
    <t>(in thousands, except per share / unit data)</t>
  </si>
  <si>
    <t>Consolidated Statements of Operations</t>
  </si>
  <si>
    <t>period</t>
  </si>
  <si>
    <t>Cash and cash equivalents, end of the</t>
  </si>
  <si>
    <t>restricted cash, end of the period</t>
  </si>
  <si>
    <t>Cash and cash equivalents and</t>
  </si>
  <si>
    <t>restricted cash, beginning of the</t>
  </si>
  <si>
    <t>cash equivalents and restricted cash</t>
  </si>
  <si>
    <t>Net increase (decrease) in cash and</t>
  </si>
  <si>
    <t>cash and cash equivalents</t>
  </si>
  <si>
    <t>Effects of exchange rate changes on</t>
  </si>
  <si>
    <t>financing activities</t>
  </si>
  <si>
    <t>Net cash provided by (used in)</t>
  </si>
  <si>
    <t>employees on stock based awards</t>
  </si>
  <si>
    <t>Withholding tax paid on behalf of</t>
  </si>
  <si>
    <t>Dividends paid</t>
  </si>
  <si>
    <t>Proceeds from issuance of shares</t>
  </si>
  <si>
    <t>Issuance of loans</t>
  </si>
  <si>
    <t>Proceeds from term loan</t>
  </si>
  <si>
    <t>Limited Partners' interest</t>
  </si>
  <si>
    <t>Debt issuance costs</t>
  </si>
  <si>
    <t>related companies</t>
  </si>
  <si>
    <t>Proceeds from repayments of loans to</t>
  </si>
  <si>
    <t>in the initial public offering</t>
  </si>
  <si>
    <t>Common Unitholders</t>
  </si>
  <si>
    <t>Purchase of Common Units from Pre-IPO</t>
  </si>
  <si>
    <t>stock</t>
  </si>
  <si>
    <t>Payments to purchase and retire common</t>
  </si>
  <si>
    <t>offering, net of offering costs</t>
  </si>
  <si>
    <t>common stock sold in initial public</t>
  </si>
  <si>
    <t>Proceeds from issuance of Class A</t>
  </si>
  <si>
    <t>acquired</t>
  </si>
  <si>
    <t>Acquisition of business, net of cash</t>
  </si>
  <si>
    <t>operating activities</t>
  </si>
  <si>
    <t>liabilities</t>
  </si>
  <si>
    <t>Accrued expenses and other current</t>
  </si>
  <si>
    <t>earn-out liability</t>
  </si>
  <si>
    <t>Change in fair value of contingent</t>
  </si>
  <si>
    <t>swap</t>
  </si>
  <si>
    <t>Change in fair value of interest rate</t>
  </si>
  <si>
    <t>by (used in) operating activities:</t>
  </si>
  <si>
    <t>(loss) to net cash provided</t>
  </si>
  <si>
    <t>Adjustments to reconcile net earnings</t>
  </si>
  <si>
    <t>(in thousands)</t>
  </si>
  <si>
    <t>Consolidated Statements of Cash Flows</t>
  </si>
  <si>
    <t>December 31, 2022 and 2021, respectively)</t>
  </si>
  <si>
    <t>authorized; no shares issued and outstanding as of</t>
  </si>
  <si>
    <t>Preferred stock (par value $0.01; 600,000,000 shares</t>
  </si>
  <si>
    <t>outstanding as of December 31, 2022 and 2021,</t>
  </si>
  <si>
    <t>6,000,000,000 shares authorized; 129,774,299 and</t>
  </si>
  <si>
    <t>Commitments and contingencies (Note 20)</t>
  </si>
  <si>
    <t>Date Filed: Feb 28, 2023</t>
  </si>
  <si>
    <t>Period End: Dec 31, 2022</t>
  </si>
  <si>
    <t>L.P. owners / Worldwide Vision Limited</t>
  </si>
  <si>
    <t>INCOME_STATEMENT2</t>
  </si>
  <si>
    <t>cash, end of the period</t>
  </si>
  <si>
    <t>Cash and cash equivalents and restricted</t>
  </si>
  <si>
    <t>cash, beginning of the period</t>
  </si>
  <si>
    <t>equivalents and restricted cash</t>
  </si>
  <si>
    <t>Net increase (decrease) in cash and cash</t>
  </si>
  <si>
    <t>and cash equivalents</t>
  </si>
  <si>
    <t>Effects of exchange rate changes on cash</t>
  </si>
  <si>
    <t>activities</t>
  </si>
  <si>
    <t>Net cash provided by (used in) financing</t>
  </si>
  <si>
    <t>net of offering costs</t>
  </si>
  <si>
    <t>stock sold in initial public offering,</t>
  </si>
  <si>
    <t>Proceeds from issuance of Class A common</t>
  </si>
  <si>
    <t>Net cash provided by (used in) operating</t>
  </si>
  <si>
    <t>remeasurement expense</t>
  </si>
  <si>
    <t>Tax receivable agreement liability</t>
  </si>
  <si>
    <t>Gain on settlement of lease liabilities</t>
  </si>
  <si>
    <t>Treasury stock (7,832,473 and no shares as of December</t>
  </si>
  <si>
    <t>December 31, 2023 and December 31, 2022, respectively)</t>
  </si>
  <si>
    <t>outstanding as of December 31, 2023 and December 31,</t>
  </si>
  <si>
    <t>of December 31, 2022)</t>
  </si>
  <si>
    <t>31, 2023; 129,774,299 shares issued and outstanding as</t>
  </si>
  <si>
    <t>issued and 130,687,629 shares outstanding as of December</t>
  </si>
  <si>
    <t>6,000,000,000 shares authorized;138,520,102 shares</t>
  </si>
  <si>
    <t>Commitments and contingencies (Note 19)</t>
  </si>
  <si>
    <t>agreement</t>
  </si>
  <si>
    <t>Payable to related parties pursuant to a tax receivable</t>
  </si>
  <si>
    <t>Date Filed: Feb 28, 2024</t>
  </si>
  <si>
    <t>Period End: Dec 31, 2023</t>
  </si>
  <si>
    <t>Bumble Inc. shareholders</t>
  </si>
  <si>
    <t>Net earnings (loss) per share attributable to</t>
  </si>
  <si>
    <t>Year Ended</t>
  </si>
  <si>
    <t>(in thousands, except per share data)</t>
  </si>
  <si>
    <t>end of the period</t>
  </si>
  <si>
    <t>cash equivalents</t>
  </si>
  <si>
    <t>Effects of exchange rate changes on cash and</t>
  </si>
  <si>
    <t>Distributions paid to noncontrolling interest</t>
  </si>
  <si>
    <t>Unitholders</t>
  </si>
  <si>
    <t>offering costs</t>
  </si>
  <si>
    <t>sold in initial public offering, net of</t>
  </si>
  <si>
    <t>Proceeds from issuance of Class A common stock</t>
  </si>
  <si>
    <t>Net cash provided by (used in) investing</t>
  </si>
  <si>
    <t>Changes in fair value of interest rate swap</t>
  </si>
  <si>
    <t>to net cash provided</t>
  </si>
  <si>
    <t>Adjustments to reconcile net earnings (loss)</t>
  </si>
  <si>
    <t>31, 2024 and December 31, 2023, respectively)</t>
  </si>
  <si>
    <t>Treasury stock (nil and 7,832,473 shares as of December</t>
  </si>
  <si>
    <t>December 31, 2024 and December 31, 2023, respectively)</t>
  </si>
  <si>
    <t>outstanding as of December 31, 2024 and December 31,</t>
  </si>
  <si>
    <t>outstanding as of December 31, 2023)</t>
  </si>
  <si>
    <t>138,520,102 shares issued and 130,687,629 shares</t>
  </si>
  <si>
    <t>issued and outstanding as of December 31, 2024;</t>
  </si>
  <si>
    <t>6,000,000,000 shares authorized; 107,107,632 shares</t>
  </si>
  <si>
    <t>of $21,811 and $15,831, respectively)</t>
  </si>
  <si>
    <t>Property and equipment (net of accumulated depreciation</t>
  </si>
  <si>
    <t>Accounts receivable (net of allowance of $103 and $648,</t>
  </si>
  <si>
    <t>Date Filed: Feb 28, 2025</t>
  </si>
  <si>
    <t>Period End: Dec 31, 2024</t>
  </si>
  <si>
    <t>Basic and diluted loss per share</t>
  </si>
  <si>
    <t>Net loss per share attributable to</t>
  </si>
  <si>
    <t>Net loss attributable to Bumble</t>
  </si>
  <si>
    <t>Net loss</t>
  </si>
  <si>
    <t>by operating activities:</t>
  </si>
  <si>
    <t>provided</t>
  </si>
  <si>
    <t>Adjustments to reconcile net loss to net cash</t>
  </si>
  <si>
    <t>Net income</t>
  </si>
  <si>
    <t>Divide</t>
  </si>
  <si>
    <t>calc.</t>
  </si>
  <si>
    <t>Q2 25</t>
  </si>
  <si>
    <t>EPS</t>
  </si>
  <si>
    <t>EBITDA Margin</t>
  </si>
  <si>
    <t>Average 4 quarters</t>
  </si>
  <si>
    <t>Cash</t>
  </si>
  <si>
    <t>$mn</t>
  </si>
  <si>
    <t>BMBL user statistics (YTD for each quarter)</t>
  </si>
  <si>
    <t>Bumble, paying users (mn)</t>
  </si>
  <si>
    <t>Badoo and other, paying users (mn)</t>
  </si>
  <si>
    <t>Total paying users (mn)</t>
  </si>
  <si>
    <t>Bumble</t>
  </si>
  <si>
    <t>Badoo and other</t>
  </si>
  <si>
    <t>Bumble paying user growth</t>
  </si>
  <si>
    <t>Badoo paying user growth</t>
  </si>
  <si>
    <t>Total paying user growth</t>
  </si>
  <si>
    <t>Bumble ARPPU ($)</t>
  </si>
  <si>
    <t>Badoo and other ARPPU ($)</t>
  </si>
  <si>
    <t>Total ARRPU ($)</t>
  </si>
  <si>
    <t>Bumble ARPPU growth</t>
  </si>
  <si>
    <t>Badoo ARPPU growth</t>
  </si>
  <si>
    <t>Total ARPPU growth</t>
  </si>
  <si>
    <t>Jun 25</t>
  </si>
  <si>
    <t>31 Dec</t>
  </si>
  <si>
    <t>30 Jun</t>
  </si>
  <si>
    <t>discount factor</t>
  </si>
  <si>
    <t>TV  growth</t>
  </si>
  <si>
    <t>Fair Value</t>
  </si>
  <si>
    <t>Shareprice</t>
  </si>
  <si>
    <t>Revenue growth rate</t>
  </si>
  <si>
    <t>$BMBL price per share</t>
  </si>
  <si>
    <t>0 due to TLCF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</si>
</sst>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_(&quot;$&quot;* #,##0_);_(&quot;$&quot;* \(#,##0\);_(&quot;$&quot;* &quot;-&quot;_);_(@_)"/>
    <numFmt numFmtId="169" formatCode="_(* #,##0.00_);_(* \(#,##0.00\);_(* &quot;-&quot;??_);_(@_)"/>
    <numFmt numFmtId="170" formatCode="_(* #,##0.0_);_(* \(#,##0.0\);_(* &quot;-&quot;_);_(@_)"/>
    <numFmt numFmtId="171" formatCode="_(* #,##0.0000_);_(* \(#,##0.0000\);_(* &quot;-&quot;_);_(@_)"/>
    <numFmt numFmtId="174" formatCode="_(* #,##0.000_);_(* \(#,##0.000\);_(* &quot;-&quot;_);_(@_)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i/>
      <sz val="10"/>
      <color theme="1"/>
      <name val="Arial"/>
      <family val="2"/>
    </font>
    <font>
      <i/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i/>
      <sz val="10"/>
      <name val="Arial"/>
      <family val="2"/>
    </font>
    <font>
      <i/>
      <sz val="10"/>
      <color theme="4" tint="0.79998168889431442"/>
      <name val="Arial"/>
      <family val="2"/>
    </font>
    <font>
      <b/>
      <i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5" fillId="4" borderId="0" xfId="0" quotePrefix="1" applyFont="1" applyFill="1" applyAlignment="1">
      <alignment horizontal="right"/>
    </xf>
    <xf numFmtId="166" fontId="4" fillId="0" borderId="0" xfId="1" applyNumberFormat="1" applyFont="1" applyBorder="1" applyAlignment="1">
      <alignment horizontal="right"/>
    </xf>
    <xf numFmtId="0" fontId="5" fillId="4" borderId="0" xfId="0" applyFont="1" applyFill="1" applyAlignment="1">
      <alignment horizontal="right"/>
    </xf>
    <xf numFmtId="164" fontId="0" fillId="1" borderId="0" xfId="0" applyNumberFormat="1" applyFill="1" applyAlignment="1">
      <alignment horizontal="right"/>
    </xf>
    <xf numFmtId="166" fontId="6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167" fontId="0" fillId="0" borderId="0" xfId="0" applyNumberFormat="1"/>
    <xf numFmtId="0" fontId="0" fillId="0" borderId="0" xfId="0" quotePrefix="1"/>
    <xf numFmtId="0" fontId="8" fillId="0" borderId="0" xfId="2">
      <alignment vertical="top"/>
    </xf>
    <xf numFmtId="168" fontId="8" fillId="0" borderId="0" xfId="2" applyNumberFormat="1">
      <alignment vertical="top"/>
    </xf>
    <xf numFmtId="37" fontId="8" fillId="0" borderId="0" xfId="2" applyNumberFormat="1">
      <alignment vertical="top"/>
    </xf>
    <xf numFmtId="169" fontId="8" fillId="0" borderId="0" xfId="2" applyNumberFormat="1">
      <alignment vertical="top"/>
    </xf>
    <xf numFmtId="165" fontId="8" fillId="0" borderId="0" xfId="2" applyNumberFormat="1">
      <alignment vertical="top"/>
    </xf>
    <xf numFmtId="0" fontId="9" fillId="0" borderId="0" xfId="2" applyFont="1">
      <alignment vertical="top"/>
    </xf>
    <xf numFmtId="0" fontId="10" fillId="0" borderId="0" xfId="2" applyFont="1">
      <alignment vertical="top"/>
    </xf>
    <xf numFmtId="0" fontId="8" fillId="0" borderId="0" xfId="2" applyAlignment="1">
      <alignment vertical="top" shrinkToFit="1"/>
    </xf>
    <xf numFmtId="0" fontId="0" fillId="3" borderId="0" xfId="0" applyFill="1" applyAlignment="1">
      <alignment horizontal="right"/>
    </xf>
    <xf numFmtId="167" fontId="0" fillId="3" borderId="0" xfId="0" applyNumberFormat="1" applyFill="1"/>
    <xf numFmtId="165" fontId="0" fillId="0" borderId="0" xfId="0" applyNumberFormat="1" applyAlignment="1">
      <alignment horizontal="right"/>
    </xf>
    <xf numFmtId="170" fontId="2" fillId="0" borderId="3" xfId="0" applyNumberFormat="1" applyFont="1" applyBorder="1"/>
    <xf numFmtId="170" fontId="2" fillId="0" borderId="0" xfId="0" applyNumberFormat="1" applyFont="1"/>
    <xf numFmtId="170" fontId="0" fillId="0" borderId="0" xfId="0" applyNumberFormat="1"/>
    <xf numFmtId="170" fontId="0" fillId="0" borderId="2" xfId="0" applyNumberFormat="1" applyBorder="1"/>
    <xf numFmtId="170" fontId="4" fillId="0" borderId="0" xfId="0" applyNumberFormat="1" applyFont="1"/>
    <xf numFmtId="43" fontId="0" fillId="0" borderId="0" xfId="0" applyNumberFormat="1"/>
    <xf numFmtId="0" fontId="11" fillId="0" borderId="0" xfId="0" applyFont="1"/>
    <xf numFmtId="170" fontId="11" fillId="0" borderId="0" xfId="0" applyNumberFormat="1" applyFont="1"/>
    <xf numFmtId="170" fontId="12" fillId="0" borderId="0" xfId="0" applyNumberFormat="1" applyFont="1"/>
    <xf numFmtId="170" fontId="13" fillId="0" borderId="0" xfId="0" applyNumberFormat="1" applyFont="1"/>
    <xf numFmtId="167" fontId="14" fillId="0" borderId="0" xfId="0" applyNumberFormat="1" applyFont="1"/>
    <xf numFmtId="164" fontId="4" fillId="0" borderId="0" xfId="0" applyNumberFormat="1" applyFont="1"/>
    <xf numFmtId="171" fontId="12" fillId="0" borderId="0" xfId="0" applyNumberFormat="1" applyFont="1"/>
    <xf numFmtId="170" fontId="15" fillId="0" borderId="0" xfId="0" applyNumberFormat="1" applyFont="1"/>
    <xf numFmtId="170" fontId="14" fillId="0" borderId="0" xfId="0" applyNumberFormat="1" applyFont="1"/>
    <xf numFmtId="170" fontId="0" fillId="3" borderId="0" xfId="0" applyNumberFormat="1" applyFill="1"/>
    <xf numFmtId="166" fontId="11" fillId="0" borderId="0" xfId="1" applyNumberFormat="1" applyFont="1" applyBorder="1" applyAlignment="1">
      <alignment horizontal="right"/>
    </xf>
    <xf numFmtId="170" fontId="14" fillId="0" borderId="2" xfId="0" applyNumberFormat="1" applyFont="1" applyBorder="1"/>
    <xf numFmtId="174" fontId="0" fillId="0" borderId="0" xfId="0" applyNumberFormat="1"/>
    <xf numFmtId="166" fontId="5" fillId="7" borderId="0" xfId="1" applyNumberFormat="1" applyFont="1" applyFill="1" applyBorder="1" applyAlignment="1">
      <alignment horizontal="center" vertical="center" textRotation="90" wrapText="1"/>
    </xf>
    <xf numFmtId="0" fontId="5" fillId="7" borderId="0" xfId="0" applyFont="1" applyFill="1" applyAlignment="1">
      <alignment horizontal="center"/>
    </xf>
    <xf numFmtId="166" fontId="4" fillId="6" borderId="0" xfId="1" applyNumberFormat="1" applyFont="1" applyFill="1" applyBorder="1" applyAlignment="1">
      <alignment horizontal="right"/>
    </xf>
    <xf numFmtId="170" fontId="0" fillId="6" borderId="0" xfId="0" applyNumberFormat="1" applyFill="1"/>
    <xf numFmtId="170" fontId="0" fillId="0" borderId="0" xfId="0" applyNumberFormat="1" applyFill="1"/>
    <xf numFmtId="170" fontId="5" fillId="8" borderId="0" xfId="0" applyNumberFormat="1" applyFont="1" applyFill="1"/>
    <xf numFmtId="166" fontId="16" fillId="6" borderId="0" xfId="1" applyNumberFormat="1" applyFont="1" applyFill="1" applyBorder="1" applyAlignment="1">
      <alignment horizontal="right"/>
    </xf>
    <xf numFmtId="0" fontId="0" fillId="7" borderId="0" xfId="0" applyFill="1"/>
    <xf numFmtId="166" fontId="17" fillId="8" borderId="0" xfId="1" applyNumberFormat="1" applyFont="1" applyFill="1" applyBorder="1" applyAlignment="1">
      <alignment horizontal="right"/>
    </xf>
  </cellXfs>
  <cellStyles count="3">
    <cellStyle name="Normal" xfId="0" builtinId="0"/>
    <cellStyle name="Normal 2" xfId="2" xr:uid="{7FD532B7-6918-4ED5-9AF6-485B019E04EE}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66CC"/>
      <color rgb="FF0366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6"/>
  <sheetViews>
    <sheetView showGridLines="0" zoomScale="205" zoomScaleNormal="205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9" x14ac:dyDescent="0.2">
      <c r="A1" s="2" t="str">
        <f ca="1">MID(CELL("filename",A1),FIND("]",CELL("filename",A1))+1,256)</f>
        <v>Input</v>
      </c>
    </row>
    <row r="2" spans="1:9" x14ac:dyDescent="0.2">
      <c r="A2" s="3" t="str">
        <f>"Indicative valuation of "&amp;IF(Input!E7="","###",Input!E7)&amp;": Public information"</f>
        <v>Indicative valuation of Bumble Inc.: Public information</v>
      </c>
    </row>
    <row r="3" spans="1:9" x14ac:dyDescent="0.2">
      <c r="A3" s="3" t="s">
        <v>8</v>
      </c>
    </row>
    <row r="7" spans="1:9" x14ac:dyDescent="0.2">
      <c r="B7" t="s">
        <v>5</v>
      </c>
      <c r="E7" s="7" t="s">
        <v>48</v>
      </c>
    </row>
    <row r="8" spans="1:9" x14ac:dyDescent="0.2">
      <c r="B8" t="s">
        <v>6</v>
      </c>
      <c r="E8" s="7" t="s">
        <v>49</v>
      </c>
    </row>
    <row r="9" spans="1:9" x14ac:dyDescent="0.2">
      <c r="B9" t="s">
        <v>10</v>
      </c>
      <c r="E9" s="7" t="s">
        <v>50</v>
      </c>
    </row>
    <row r="10" spans="1:9" x14ac:dyDescent="0.2">
      <c r="B10" t="s">
        <v>11</v>
      </c>
      <c r="E10" s="7" t="s">
        <v>51</v>
      </c>
    </row>
    <row r="11" spans="1:9" x14ac:dyDescent="0.2">
      <c r="B11" t="s">
        <v>7</v>
      </c>
      <c r="E11" s="7" t="s">
        <v>49</v>
      </c>
    </row>
    <row r="12" spans="1:9" x14ac:dyDescent="0.2">
      <c r="B12" t="s">
        <v>9</v>
      </c>
      <c r="E12" s="8">
        <v>46022</v>
      </c>
    </row>
    <row r="13" spans="1:9" x14ac:dyDescent="0.2">
      <c r="B13" t="s">
        <v>33</v>
      </c>
      <c r="E13" s="21" t="s">
        <v>52</v>
      </c>
    </row>
    <row r="14" spans="1:9" x14ac:dyDescent="0.2">
      <c r="B14" t="s">
        <v>21</v>
      </c>
      <c r="E14" s="7" t="s">
        <v>554</v>
      </c>
    </row>
    <row r="16" spans="1:9" x14ac:dyDescent="0.2">
      <c r="B16" s="2" t="s">
        <v>26</v>
      </c>
      <c r="F16">
        <v>2025</v>
      </c>
      <c r="G16">
        <f>+F16+1</f>
        <v>2026</v>
      </c>
      <c r="H16">
        <f t="shared" ref="H16" si="0">+G16+1</f>
        <v>2027</v>
      </c>
      <c r="I16" s="19" t="s">
        <v>25</v>
      </c>
    </row>
    <row r="18" spans="2:11" x14ac:dyDescent="0.2">
      <c r="B18" t="s">
        <v>551</v>
      </c>
      <c r="E18" s="17"/>
      <c r="F18" s="18"/>
      <c r="G18" s="18"/>
      <c r="H18" s="18"/>
      <c r="I18" s="17"/>
      <c r="K18" t="s">
        <v>552</v>
      </c>
    </row>
    <row r="19" spans="2:11" x14ac:dyDescent="0.2">
      <c r="B19" t="s">
        <v>27</v>
      </c>
      <c r="E19" s="17"/>
      <c r="F19" s="17"/>
      <c r="G19" s="17"/>
      <c r="H19" s="17"/>
      <c r="I19" s="18">
        <v>0.01</v>
      </c>
    </row>
    <row r="22" spans="2:11" x14ac:dyDescent="0.2">
      <c r="B22" s="2" t="s">
        <v>29</v>
      </c>
    </row>
    <row r="23" spans="2:11" x14ac:dyDescent="0.2">
      <c r="B23" t="s">
        <v>30</v>
      </c>
      <c r="E23" s="20"/>
    </row>
    <row r="24" spans="2:11" x14ac:dyDescent="0.2">
      <c r="B24" t="s">
        <v>31</v>
      </c>
      <c r="E24" s="20"/>
    </row>
    <row r="25" spans="2:11" x14ac:dyDescent="0.2">
      <c r="B25" t="s">
        <v>32</v>
      </c>
      <c r="E25" s="7"/>
    </row>
    <row r="26" spans="2:11" x14ac:dyDescent="0.2">
      <c r="B26" t="s">
        <v>34</v>
      </c>
      <c r="E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O750"/>
  <sheetViews>
    <sheetView showGridLines="0" tabSelected="1" topLeftCell="D3" zoomScale="115" zoomScaleNormal="115" workbookViewId="0">
      <selection activeCell="AJ44" sqref="AJ44"/>
    </sheetView>
  </sheetViews>
  <sheetFormatPr defaultColWidth="8.85546875" defaultRowHeight="12.75" outlineLevelRow="1" outlineLevelCol="1" x14ac:dyDescent="0.2"/>
  <cols>
    <col min="1" max="3" width="9.140625" style="4" hidden="1" customWidth="1" outlineLevel="1"/>
    <col min="4" max="4" width="2.28515625" customWidth="1" collapsed="1"/>
    <col min="5" max="5" width="38.140625" customWidth="1"/>
    <col min="6" max="7" width="8.85546875" customWidth="1" outlineLevel="1"/>
    <col min="8" max="8" width="10.140625" customWidth="1" outlineLevel="1"/>
    <col min="9" max="9" width="2.85546875" customWidth="1" outlineLevel="1"/>
    <col min="10" max="18" width="8.85546875" customWidth="1" outlineLevel="1"/>
    <col min="26" max="26" width="17.7109375" bestFit="1" customWidth="1"/>
    <col min="35" max="35" width="4.85546875" customWidth="1"/>
  </cols>
  <sheetData>
    <row r="1" spans="1:33" s="4" customFormat="1" hidden="1" outlineLevel="1" x14ac:dyDescent="0.2">
      <c r="B1" s="4">
        <v>0.1</v>
      </c>
      <c r="F1" s="4">
        <v>22</v>
      </c>
      <c r="G1" s="4">
        <v>23</v>
      </c>
      <c r="H1" s="4">
        <v>24</v>
      </c>
      <c r="J1" s="4">
        <v>22</v>
      </c>
      <c r="K1" s="4">
        <v>22</v>
      </c>
      <c r="L1" s="4">
        <v>22</v>
      </c>
      <c r="N1" s="4">
        <v>23</v>
      </c>
      <c r="O1" s="4">
        <v>23</v>
      </c>
      <c r="P1" s="4">
        <v>23</v>
      </c>
      <c r="R1" s="4">
        <v>24</v>
      </c>
      <c r="S1" s="4">
        <v>24</v>
      </c>
      <c r="T1" s="4">
        <v>24</v>
      </c>
      <c r="V1" s="4">
        <v>25</v>
      </c>
    </row>
    <row r="2" spans="1:33" s="4" customFormat="1" hidden="1" outlineLevel="1" x14ac:dyDescent="0.2">
      <c r="B2" s="11" t="b">
        <f ca="1">AND(C:C)</f>
        <v>0</v>
      </c>
      <c r="J2" s="4">
        <v>1</v>
      </c>
      <c r="K2" s="4">
        <v>2</v>
      </c>
      <c r="L2" s="4">
        <v>3</v>
      </c>
      <c r="N2" s="4">
        <v>1</v>
      </c>
      <c r="O2" s="4">
        <v>2</v>
      </c>
      <c r="P2" s="4">
        <v>3</v>
      </c>
      <c r="R2" s="4">
        <v>1</v>
      </c>
      <c r="S2" s="4">
        <v>2</v>
      </c>
      <c r="T2" s="4">
        <v>3</v>
      </c>
      <c r="V2" s="4">
        <v>1</v>
      </c>
    </row>
    <row r="3" spans="1:33" collapsed="1" x14ac:dyDescent="0.2">
      <c r="A3" s="4" t="s">
        <v>547</v>
      </c>
      <c r="B3" s="4">
        <f>10^3</f>
        <v>1000</v>
      </c>
      <c r="D3" s="2" t="str">
        <f ca="1">MID(CELL("filename",D3),FIND("]",CELL("filename",D3))+1,256)</f>
        <v>Main</v>
      </c>
    </row>
    <row r="4" spans="1:33" x14ac:dyDescent="0.2">
      <c r="D4" s="3" t="str">
        <f>Input!$A$2</f>
        <v>Indicative valuation of Bumble Inc.: Public information</v>
      </c>
    </row>
    <row r="5" spans="1:33" x14ac:dyDescent="0.2">
      <c r="D5" s="3" t="str">
        <f>Input!$A$3</f>
        <v>Educational purposes only, no financial advice</v>
      </c>
    </row>
    <row r="6" spans="1:33" x14ac:dyDescent="0.2">
      <c r="J6" s="41"/>
      <c r="L6" s="41"/>
      <c r="O6" s="41"/>
      <c r="R6" s="41"/>
      <c r="U6" s="41"/>
      <c r="V6" s="41"/>
    </row>
    <row r="8" spans="1:33" x14ac:dyDescent="0.2">
      <c r="E8" s="2" t="str">
        <f>Input!$E$8&amp;" - P&amp;L"</f>
        <v>BMBL - P&amp;L</v>
      </c>
      <c r="F8" s="5"/>
      <c r="G8" s="5"/>
      <c r="H8" s="5"/>
      <c r="J8" s="5"/>
      <c r="K8" s="5"/>
      <c r="L8" s="5"/>
      <c r="M8" s="35"/>
      <c r="N8" s="35"/>
      <c r="O8" s="35"/>
      <c r="P8" s="35"/>
      <c r="Q8" s="35"/>
      <c r="R8" s="35"/>
      <c r="S8" s="35"/>
      <c r="T8" s="35"/>
      <c r="U8" s="35"/>
      <c r="V8" s="5"/>
      <c r="W8" s="5"/>
    </row>
    <row r="9" spans="1:33" x14ac:dyDescent="0.2">
      <c r="E9" s="6" t="str">
        <f>+Input!$E$14</f>
        <v>$mn</v>
      </c>
      <c r="F9" s="16" t="s">
        <v>24</v>
      </c>
      <c r="G9" s="16" t="s">
        <v>23</v>
      </c>
      <c r="H9" s="16" t="s">
        <v>22</v>
      </c>
      <c r="J9" s="16" t="s">
        <v>77</v>
      </c>
      <c r="K9" s="16" t="s">
        <v>78</v>
      </c>
      <c r="L9" s="16" t="s">
        <v>79</v>
      </c>
      <c r="M9" s="16" t="s">
        <v>80</v>
      </c>
      <c r="N9" s="16" t="s">
        <v>75</v>
      </c>
      <c r="O9" s="16" t="s">
        <v>73</v>
      </c>
      <c r="P9" s="16" t="s">
        <v>74</v>
      </c>
      <c r="Q9" s="16" t="s">
        <v>76</v>
      </c>
      <c r="R9" s="16" t="s">
        <v>67</v>
      </c>
      <c r="S9" s="16" t="s">
        <v>69</v>
      </c>
      <c r="T9" s="16" t="s">
        <v>70</v>
      </c>
      <c r="U9" s="16" t="s">
        <v>71</v>
      </c>
      <c r="V9" s="16" t="s">
        <v>65</v>
      </c>
      <c r="W9" s="16" t="s">
        <v>549</v>
      </c>
      <c r="AA9" s="12">
        <v>1</v>
      </c>
      <c r="AB9" s="12">
        <f>+AA9+1</f>
        <v>2</v>
      </c>
      <c r="AC9" s="12">
        <f t="shared" ref="AC9:AE9" si="0">+AB9+1</f>
        <v>3</v>
      </c>
      <c r="AD9" s="12">
        <f t="shared" si="0"/>
        <v>4</v>
      </c>
      <c r="AE9" s="12">
        <f t="shared" si="0"/>
        <v>5</v>
      </c>
      <c r="AF9" s="12" t="s">
        <v>25</v>
      </c>
      <c r="AG9" s="12"/>
    </row>
    <row r="10" spans="1:33" ht="3" customHeight="1" x14ac:dyDescent="0.2">
      <c r="AA10" s="38"/>
      <c r="AB10" s="38"/>
      <c r="AC10" s="38"/>
      <c r="AD10" s="38"/>
      <c r="AE10" s="38"/>
      <c r="AF10" s="38"/>
      <c r="AG10" s="38"/>
    </row>
    <row r="11" spans="1:33" x14ac:dyDescent="0.2">
      <c r="A11" s="33"/>
      <c r="E11" s="9" t="s">
        <v>559</v>
      </c>
      <c r="F11" s="50">
        <v>694.32899999999995</v>
      </c>
      <c r="G11" s="50">
        <v>844.774</v>
      </c>
      <c r="H11" s="50">
        <v>866.28899999999999</v>
      </c>
      <c r="I11" s="38"/>
      <c r="J11" s="50">
        <v>154.36699999999999</v>
      </c>
      <c r="K11" s="50">
        <v>168.47399999999999</v>
      </c>
      <c r="L11" s="50">
        <v>180.64099999999999</v>
      </c>
      <c r="M11" s="38">
        <f>F11-SUM(J11:L11)</f>
        <v>190.84699999999998</v>
      </c>
      <c r="N11" s="50">
        <v>194.27699999999999</v>
      </c>
      <c r="O11" s="50">
        <v>207.977</v>
      </c>
      <c r="P11" s="50">
        <v>221.785</v>
      </c>
      <c r="Q11" s="38">
        <f>G11-SUM(N11:P11)</f>
        <v>220.73500000000001</v>
      </c>
      <c r="R11" s="50">
        <v>215.75700000000001</v>
      </c>
      <c r="S11" s="50">
        <v>217.98400000000001</v>
      </c>
      <c r="T11" s="50">
        <v>220.18799999999999</v>
      </c>
      <c r="U11" s="38">
        <f>H11-SUM(R11:T11)</f>
        <v>212.36</v>
      </c>
      <c r="V11" s="50">
        <v>201.822</v>
      </c>
      <c r="W11" s="50">
        <v>201.4</v>
      </c>
      <c r="AA11" s="38"/>
      <c r="AB11" s="38"/>
      <c r="AC11" s="38"/>
      <c r="AD11" s="38"/>
      <c r="AE11" s="38"/>
      <c r="AF11" s="38"/>
      <c r="AG11" s="38"/>
    </row>
    <row r="12" spans="1:33" x14ac:dyDescent="0.2">
      <c r="A12" s="33"/>
      <c r="E12" s="9" t="s">
        <v>560</v>
      </c>
      <c r="F12" s="50">
        <v>209.17400000000001</v>
      </c>
      <c r="G12" s="50">
        <v>207.05600000000001</v>
      </c>
      <c r="H12" s="50">
        <v>205.35400000000001</v>
      </c>
      <c r="I12" s="38"/>
      <c r="J12" s="50">
        <v>55.662999999999997</v>
      </c>
      <c r="K12" s="50">
        <v>50.731999999999999</v>
      </c>
      <c r="L12" s="50">
        <v>51.997999999999998</v>
      </c>
      <c r="M12" s="38">
        <f>F12-SUM(J12:L12)</f>
        <v>50.781000000000006</v>
      </c>
      <c r="N12" s="50">
        <v>48.670999999999999</v>
      </c>
      <c r="O12" s="50">
        <v>51.758000000000003</v>
      </c>
      <c r="P12" s="50">
        <v>53.725000000000001</v>
      </c>
      <c r="Q12" s="38">
        <f>G12-SUM(N12:P12)</f>
        <v>52.902000000000015</v>
      </c>
      <c r="R12" s="50">
        <v>52.018000000000001</v>
      </c>
      <c r="S12" s="50">
        <v>50.631</v>
      </c>
      <c r="T12" s="50">
        <v>53.417000000000002</v>
      </c>
      <c r="U12" s="38">
        <f>H12-SUM(R12:T12)</f>
        <v>49.288000000000011</v>
      </c>
      <c r="V12" s="50">
        <v>45.279000000000003</v>
      </c>
      <c r="W12" s="50">
        <v>46.8</v>
      </c>
      <c r="X12" s="50"/>
      <c r="Y12" s="50"/>
      <c r="Z12" s="50"/>
      <c r="AA12" s="38"/>
      <c r="AB12" s="38"/>
      <c r="AC12" s="38"/>
      <c r="AD12" s="38"/>
      <c r="AE12" s="38"/>
      <c r="AF12" s="38"/>
      <c r="AG12" s="38"/>
    </row>
    <row r="13" spans="1:33" x14ac:dyDescent="0.2">
      <c r="A13" s="33" t="s">
        <v>12</v>
      </c>
      <c r="E13" s="2" t="s">
        <v>12</v>
      </c>
      <c r="F13" s="37">
        <f t="shared" ref="F13:H13" si="1">SUM(F11:F12)</f>
        <v>903.50299999999993</v>
      </c>
      <c r="G13" s="37">
        <f t="shared" si="1"/>
        <v>1051.83</v>
      </c>
      <c r="H13" s="37">
        <f t="shared" si="1"/>
        <v>1071.643</v>
      </c>
      <c r="I13" s="38"/>
      <c r="J13" s="37">
        <f t="shared" ref="J13:M13" si="2">SUM(J11:J12)</f>
        <v>210.02999999999997</v>
      </c>
      <c r="K13" s="37">
        <f t="shared" si="2"/>
        <v>219.20599999999999</v>
      </c>
      <c r="L13" s="37">
        <f t="shared" si="2"/>
        <v>232.63899999999998</v>
      </c>
      <c r="M13" s="37">
        <f t="shared" si="2"/>
        <v>241.62799999999999</v>
      </c>
      <c r="N13" s="37">
        <f t="shared" ref="N13:V13" si="3">SUM(N11:N12)</f>
        <v>242.94799999999998</v>
      </c>
      <c r="O13" s="37">
        <f t="shared" si="3"/>
        <v>259.73500000000001</v>
      </c>
      <c r="P13" s="37">
        <f t="shared" si="3"/>
        <v>275.51</v>
      </c>
      <c r="Q13" s="37">
        <f t="shared" si="3"/>
        <v>273.63700000000006</v>
      </c>
      <c r="R13" s="37">
        <f t="shared" si="3"/>
        <v>267.77499999999998</v>
      </c>
      <c r="S13" s="37">
        <f t="shared" si="3"/>
        <v>268.61500000000001</v>
      </c>
      <c r="T13" s="37">
        <f t="shared" si="3"/>
        <v>273.60500000000002</v>
      </c>
      <c r="U13" s="37">
        <f t="shared" si="3"/>
        <v>261.64800000000002</v>
      </c>
      <c r="V13" s="37">
        <f t="shared" si="3"/>
        <v>247.101</v>
      </c>
      <c r="W13" s="37">
        <f t="shared" ref="W13" si="4">SUM(W11:W12)</f>
        <v>248.2</v>
      </c>
      <c r="X13" s="41"/>
      <c r="Y13" s="41"/>
      <c r="Z13" s="41"/>
      <c r="AA13" s="37">
        <f>W13*4</f>
        <v>992.8</v>
      </c>
      <c r="AB13" s="37">
        <f>AA13*(1+AB29)</f>
        <v>1012.6559999999999</v>
      </c>
      <c r="AC13" s="37">
        <f t="shared" ref="AC13:AF13" si="5">AB13*(1+AC29)</f>
        <v>1032.90912</v>
      </c>
      <c r="AD13" s="37">
        <f t="shared" si="5"/>
        <v>1053.5673024</v>
      </c>
      <c r="AE13" s="37">
        <f t="shared" si="5"/>
        <v>1074.6386484480001</v>
      </c>
      <c r="AF13" s="37">
        <f>AE13*(1+AF29)</f>
        <v>1096.1314214169602</v>
      </c>
      <c r="AG13" s="38"/>
    </row>
    <row r="14" spans="1:33" x14ac:dyDescent="0.2">
      <c r="A14" s="33" t="s">
        <v>53</v>
      </c>
      <c r="E14" s="9" t="s">
        <v>53</v>
      </c>
      <c r="F14" s="38">
        <f t="shared" ref="F14:H15" ca="1" si="6">SUMIFS(INDIRECT("'is_fy" &amp; F$2 &amp; F$1 &amp; "'!E:E"), INDIRECT("'is_fy" &amp; F$2 &amp; F$1 &amp; "'!A:A"), $A14) / $B$3*-1</f>
        <v>-249.49</v>
      </c>
      <c r="G14" s="38">
        <f t="shared" ca="1" si="6"/>
        <v>-307.83499999999998</v>
      </c>
      <c r="H14" s="38">
        <f t="shared" ca="1" si="6"/>
        <v>-318.83499999999998</v>
      </c>
      <c r="I14" s="38"/>
      <c r="J14" s="38">
        <f t="shared" ref="J14:T17" ca="1" si="7">SUMIFS(INDIRECT("'is_q" &amp; J$2 &amp; J$1 &amp; "'!E:E"), INDIRECT("'is_q" &amp; J$2 &amp; J$1 &amp; "'!A:A"), $A14) / $B$3*-1</f>
        <v>-56.780999999999999</v>
      </c>
      <c r="K14" s="38">
        <f t="shared" ca="1" si="7"/>
        <v>-62.756999999999998</v>
      </c>
      <c r="L14" s="38">
        <f t="shared" ca="1" si="7"/>
        <v>-64.581000000000003</v>
      </c>
      <c r="M14" s="38">
        <f ca="1">F14-SUM(J14:L14)</f>
        <v>-65.371000000000009</v>
      </c>
      <c r="N14" s="38">
        <f t="shared" ca="1" si="7"/>
        <v>-70.58</v>
      </c>
      <c r="O14" s="38">
        <f t="shared" ca="1" si="7"/>
        <v>-76.736999999999995</v>
      </c>
      <c r="P14" s="38">
        <f t="shared" ca="1" si="7"/>
        <v>-80.049000000000007</v>
      </c>
      <c r="Q14" s="38">
        <f ca="1">G14-SUM(N14:P14)</f>
        <v>-80.468999999999966</v>
      </c>
      <c r="R14" s="38">
        <f t="shared" ca="1" si="7"/>
        <v>-81.289000000000001</v>
      </c>
      <c r="S14" s="38">
        <f t="shared" ca="1" si="7"/>
        <v>-80.040999999999997</v>
      </c>
      <c r="T14" s="38">
        <f t="shared" ca="1" si="7"/>
        <v>-79.552000000000007</v>
      </c>
      <c r="U14" s="38">
        <f ca="1">H14-SUM(R14:T14)</f>
        <v>-77.952999999999975</v>
      </c>
      <c r="V14" s="38">
        <f ca="1">SUMIFS(INDIRECT("'is_q" &amp; V$2 &amp; V$1 &amp; "'!E:E"), INDIRECT("'is_q" &amp; V$2 &amp; V$1 &amp; "'!A:A"), $A14) / $B$3*-1</f>
        <v>-73.352999999999994</v>
      </c>
      <c r="W14" s="50">
        <v>-74.337999999999994</v>
      </c>
      <c r="AA14" s="38"/>
      <c r="AB14" s="38"/>
      <c r="AC14" s="38"/>
      <c r="AD14" s="38"/>
      <c r="AE14" s="38"/>
      <c r="AF14" s="38"/>
      <c r="AG14" s="38"/>
    </row>
    <row r="15" spans="1:33" x14ac:dyDescent="0.2">
      <c r="A15" s="33" t="s">
        <v>54</v>
      </c>
      <c r="E15" s="9" t="s">
        <v>54</v>
      </c>
      <c r="F15" s="38">
        <f t="shared" ca="1" si="6"/>
        <v>-249.26900000000001</v>
      </c>
      <c r="G15" s="38">
        <f t="shared" ca="1" si="6"/>
        <v>-270.38</v>
      </c>
      <c r="H15" s="38">
        <f t="shared" ca="1" si="6"/>
        <v>-261.17200000000003</v>
      </c>
      <c r="I15" s="38"/>
      <c r="J15" s="38">
        <f t="shared" ca="1" si="7"/>
        <v>-56.829000000000001</v>
      </c>
      <c r="K15" s="38">
        <f t="shared" ca="1" si="7"/>
        <v>-59.482999999999997</v>
      </c>
      <c r="L15" s="38">
        <f t="shared" ca="1" si="7"/>
        <v>-64.316000000000003</v>
      </c>
      <c r="M15" s="38">
        <f ca="1">F15-SUM(J15:L15)</f>
        <v>-68.64100000000002</v>
      </c>
      <c r="N15" s="38">
        <f t="shared" ca="1" si="7"/>
        <v>-63.59</v>
      </c>
      <c r="O15" s="38">
        <f t="shared" ca="1" si="7"/>
        <v>-65.328999999999994</v>
      </c>
      <c r="P15" s="38">
        <f t="shared" ca="1" si="7"/>
        <v>-68.847999999999999</v>
      </c>
      <c r="Q15" s="38">
        <f ca="1">G15-SUM(N15:P15)</f>
        <v>-72.613</v>
      </c>
      <c r="R15" s="38">
        <f t="shared" ca="1" si="7"/>
        <v>-63.616999999999997</v>
      </c>
      <c r="S15" s="38">
        <f t="shared" ca="1" si="7"/>
        <v>-67.561999999999998</v>
      </c>
      <c r="T15" s="38">
        <f t="shared" ca="1" si="7"/>
        <v>-63.548999999999999</v>
      </c>
      <c r="U15" s="38">
        <f ca="1">H15-SUM(R15:T15)</f>
        <v>-66.444000000000017</v>
      </c>
      <c r="V15" s="38">
        <f ca="1">SUMIFS(INDIRECT("'is_q" &amp; V$2 &amp; V$1 &amp; "'!E:E"), INDIRECT("'is_q" &amp; V$2 &amp; V$1 &amp; "'!A:A"), $A15) / $B$3*-1</f>
        <v>-59.734000000000002</v>
      </c>
      <c r="W15" s="50">
        <v>-32.091999999999999</v>
      </c>
      <c r="AA15" s="38"/>
      <c r="AB15" s="38"/>
      <c r="AC15" s="38"/>
      <c r="AD15" s="38"/>
      <c r="AE15" s="38"/>
      <c r="AF15" s="38"/>
      <c r="AG15" s="38"/>
    </row>
    <row r="16" spans="1:33" x14ac:dyDescent="0.2">
      <c r="A16" s="33" t="s">
        <v>55</v>
      </c>
      <c r="E16" s="9" t="s">
        <v>55</v>
      </c>
      <c r="F16" s="38">
        <f t="shared" ref="F16:H21" ca="1" si="8">SUMIFS(INDIRECT("'is_fy" &amp; F$2 &amp; F$1 &amp; "'!E:E"), INDIRECT("'is_fy" &amp; F$2 &amp; F$1 &amp; "'!A:A"), $A16) / $B$3*-1</f>
        <v>-319.3</v>
      </c>
      <c r="G16" s="38">
        <f t="shared" ca="1" si="8"/>
        <v>-221.649</v>
      </c>
      <c r="H16" s="38">
        <f t="shared" ca="1" si="8"/>
        <v>-128.52099999999999</v>
      </c>
      <c r="I16" s="38"/>
      <c r="J16" s="38">
        <f t="shared" ca="1" si="7"/>
        <v>-26.446000000000002</v>
      </c>
      <c r="K16" s="38">
        <f t="shared" ca="1" si="7"/>
        <v>-51.375</v>
      </c>
      <c r="L16" s="38">
        <f t="shared" ca="1" si="7"/>
        <v>-29.815000000000001</v>
      </c>
      <c r="M16" s="38">
        <f ca="1">F16-SUM(J16:L16)</f>
        <v>-211.66400000000002</v>
      </c>
      <c r="N16" s="38">
        <f t="shared" ca="1" si="7"/>
        <v>-49.831000000000003</v>
      </c>
      <c r="O16" s="38">
        <f t="shared" ca="1" si="7"/>
        <v>-43.298000000000002</v>
      </c>
      <c r="P16" s="38">
        <f t="shared" ca="1" si="7"/>
        <v>-48.576999999999998</v>
      </c>
      <c r="Q16" s="38">
        <f ca="1">G16-SUM(N16:P16)</f>
        <v>-79.942999999999984</v>
      </c>
      <c r="R16" s="38">
        <f t="shared" ca="1" si="7"/>
        <v>-20.856000000000002</v>
      </c>
      <c r="S16" s="38">
        <f t="shared" ca="1" si="7"/>
        <v>-36.329000000000001</v>
      </c>
      <c r="T16" s="38">
        <f t="shared" ca="1" si="7"/>
        <v>-33.250999999999998</v>
      </c>
      <c r="U16" s="38">
        <f ca="1">H16-SUM(R16:T16)</f>
        <v>-38.08499999999998</v>
      </c>
      <c r="V16" s="38">
        <f ca="1">SUMIFS(INDIRECT("'is_q" &amp; V$2 &amp; V$1 &amp; "'!E:E"), INDIRECT("'is_q" &amp; V$2 &amp; V$1 &amp; "'!A:A"), $A16) / $B$3*-1</f>
        <v>-21.643999999999998</v>
      </c>
      <c r="W16" s="50">
        <v>-36.146000000000001</v>
      </c>
      <c r="AA16" s="38"/>
      <c r="AB16" s="38"/>
      <c r="AC16" s="38"/>
      <c r="AD16" s="38"/>
      <c r="AE16" s="38"/>
      <c r="AF16" s="38"/>
      <c r="AG16" s="38"/>
    </row>
    <row r="17" spans="1:33" x14ac:dyDescent="0.2">
      <c r="A17" s="33" t="s">
        <v>56</v>
      </c>
      <c r="E17" s="9" t="s">
        <v>56</v>
      </c>
      <c r="F17" s="38">
        <f t="shared" ca="1" si="8"/>
        <v>-98.575000000000003</v>
      </c>
      <c r="G17" s="38">
        <f t="shared" ca="1" si="8"/>
        <v>-130.565</v>
      </c>
      <c r="H17" s="38">
        <f t="shared" ca="1" si="8"/>
        <v>-100.72499999999999</v>
      </c>
      <c r="I17" s="38"/>
      <c r="J17" s="38">
        <f t="shared" ca="1" si="7"/>
        <v>-25.195</v>
      </c>
      <c r="K17" s="38">
        <f t="shared" ca="1" si="7"/>
        <v>-22.456</v>
      </c>
      <c r="L17" s="38">
        <f t="shared" ca="1" si="7"/>
        <v>-25.827999999999999</v>
      </c>
      <c r="M17" s="38">
        <f ca="1">F17-SUM(J17:L17)</f>
        <v>-25.096000000000004</v>
      </c>
      <c r="N17" s="38">
        <f t="shared" ca="1" si="7"/>
        <v>-33.152000000000001</v>
      </c>
      <c r="O17" s="38">
        <f t="shared" ca="1" si="7"/>
        <v>-36.232999999999997</v>
      </c>
      <c r="P17" s="38">
        <f t="shared" ca="1" si="7"/>
        <v>-30.908999999999999</v>
      </c>
      <c r="Q17" s="38">
        <f ca="1">G17-SUM(N17:P17)</f>
        <v>-30.271000000000015</v>
      </c>
      <c r="R17" s="38">
        <f t="shared" ca="1" si="7"/>
        <v>-36.017000000000003</v>
      </c>
      <c r="S17" s="38">
        <f t="shared" ca="1" si="7"/>
        <v>-15.705</v>
      </c>
      <c r="T17" s="38">
        <f t="shared" ca="1" si="7"/>
        <v>-24.88</v>
      </c>
      <c r="U17" s="38">
        <f ca="1">H17-SUM(R17:T17)</f>
        <v>-24.12299999999999</v>
      </c>
      <c r="V17" s="38">
        <f ca="1">SUMIFS(INDIRECT("'is_q" &amp; V$2 &amp; V$1 &amp; "'!E:E"), INDIRECT("'is_q" &amp; V$2 &amp; V$1 &amp; "'!A:A"), $A17) / $B$3*-1</f>
        <v>-34.503999999999998</v>
      </c>
      <c r="W17" s="50">
        <v>-32.51</v>
      </c>
      <c r="AA17" s="38"/>
      <c r="AB17" s="38"/>
      <c r="AC17" s="38"/>
      <c r="AD17" s="38"/>
      <c r="AE17" s="38"/>
      <c r="AF17" s="38"/>
      <c r="AG17" s="38"/>
    </row>
    <row r="18" spans="1:33" x14ac:dyDescent="0.2">
      <c r="A18" s="33" t="s">
        <v>58</v>
      </c>
      <c r="E18" s="9" t="s">
        <v>58</v>
      </c>
      <c r="F18" s="39">
        <f ca="1">SUMIFS(INDIRECT("'is_fy" &amp; F$2 &amp; F$1 &amp; "'!E:E"), INDIRECT("'is_fy" &amp; F$2 &amp; F$1 &amp; "'!A:A"), $A18) / $B$3</f>
        <v>16.189</v>
      </c>
      <c r="G18" s="39">
        <f ca="1">SUMIFS(INDIRECT("'is_fy" &amp; G$2 &amp; G$1 &amp; "'!E:E"), INDIRECT("'is_fy" &amp; G$2 &amp; G$1 &amp; "'!A:A"), $A18) / $B$3</f>
        <v>-26.536999999999999</v>
      </c>
      <c r="H18" s="39">
        <f ca="1">SUMIFS(INDIRECT("'is_fy" &amp; H$2 &amp; H$1 &amp; "'!E:E"), INDIRECT("'is_fy" &amp; H$2 &amp; H$1 &amp; "'!A:A"), $A18) / $B$3</f>
        <v>-4.827</v>
      </c>
      <c r="I18" s="38"/>
      <c r="J18" s="39">
        <f t="shared" ref="J18:T18" ca="1" si="9">SUMIFS(INDIRECT("'is_q" &amp; J$2 &amp; J$1 &amp; "'!E:E"), INDIRECT("'is_q" &amp; J$2 &amp; J$1 &amp; "'!A:A"), $A18) / $B$3</f>
        <v>13.23</v>
      </c>
      <c r="K18" s="39">
        <f t="shared" ca="1" si="9"/>
        <v>4.9539999999999997</v>
      </c>
      <c r="L18" s="39">
        <f t="shared" ca="1" si="9"/>
        <v>6.5449999999999999</v>
      </c>
      <c r="M18" s="39">
        <f ca="1">F18-SUM(J18:L18)</f>
        <v>-8.5399999999999991</v>
      </c>
      <c r="N18" s="39">
        <f t="shared" ca="1" si="9"/>
        <v>-3.5609999999999999</v>
      </c>
      <c r="O18" s="39">
        <f t="shared" ca="1" si="9"/>
        <v>-2.9689999999999999</v>
      </c>
      <c r="P18" s="39">
        <f t="shared" ca="1" si="9"/>
        <v>0.252</v>
      </c>
      <c r="Q18" s="39">
        <f ca="1">G18-SUM(N18:P18)</f>
        <v>-20.259</v>
      </c>
      <c r="R18" s="39">
        <f t="shared" ca="1" si="9"/>
        <v>1.4750000000000001</v>
      </c>
      <c r="S18" s="39">
        <f t="shared" ca="1" si="9"/>
        <v>-0.55800000000000005</v>
      </c>
      <c r="T18" s="39">
        <f t="shared" ca="1" si="9"/>
        <v>2.8980000000000001</v>
      </c>
      <c r="U18" s="39">
        <f ca="1">H18-SUM(R18:T18)</f>
        <v>-8.6419999999999995</v>
      </c>
      <c r="V18" s="39">
        <f ca="1">SUMIFS(INDIRECT("'is_q" &amp; V$2 &amp; V$1 &amp; "'!E:E"), INDIRECT("'is_q" &amp; V$2 &amp; V$1 &amp; "'!A:A"), $A18) / $B$3</f>
        <v>-6.7619999999999996</v>
      </c>
      <c r="W18" s="53">
        <v>-11.912000000000001</v>
      </c>
      <c r="AA18" s="38"/>
      <c r="AB18" s="38"/>
      <c r="AC18" s="38"/>
      <c r="AD18" s="38"/>
      <c r="AE18" s="38"/>
      <c r="AF18" s="38"/>
      <c r="AG18" s="38"/>
    </row>
    <row r="19" spans="1:33" x14ac:dyDescent="0.2">
      <c r="A19" s="33"/>
      <c r="E19" s="2" t="s">
        <v>41</v>
      </c>
      <c r="F19" s="37">
        <f ca="1">SUM(F13:F18)</f>
        <v>3.0579999999999004</v>
      </c>
      <c r="G19" s="37">
        <f ca="1">SUM(G13:G18)</f>
        <v>94.863999999999891</v>
      </c>
      <c r="H19" s="37">
        <f ca="1">SUM(H13:H18)</f>
        <v>257.56299999999999</v>
      </c>
      <c r="I19" s="38"/>
      <c r="J19" s="37">
        <f t="shared" ref="J19:T19" ca="1" si="10">SUM(J13:J18)</f>
        <v>58.008999999999958</v>
      </c>
      <c r="K19" s="37">
        <f t="shared" ca="1" si="10"/>
        <v>28.088999999999981</v>
      </c>
      <c r="L19" s="37">
        <f t="shared" ca="1" si="10"/>
        <v>54.643999999999991</v>
      </c>
      <c r="M19" s="37">
        <f t="shared" ca="1" si="10"/>
        <v>-137.68400000000005</v>
      </c>
      <c r="N19" s="37">
        <f t="shared" ca="1" si="10"/>
        <v>22.233999999999988</v>
      </c>
      <c r="O19" s="37">
        <f t="shared" ca="1" si="10"/>
        <v>35.169000000000025</v>
      </c>
      <c r="P19" s="37">
        <f t="shared" ca="1" si="10"/>
        <v>47.378999999999991</v>
      </c>
      <c r="Q19" s="37">
        <f t="shared" ca="1" si="10"/>
        <v>-9.9179999999999069</v>
      </c>
      <c r="R19" s="37">
        <f t="shared" ca="1" si="10"/>
        <v>67.471000000000004</v>
      </c>
      <c r="S19" s="37">
        <f t="shared" ca="1" si="10"/>
        <v>68.420000000000016</v>
      </c>
      <c r="T19" s="37">
        <f t="shared" ca="1" si="10"/>
        <v>75.270999999999987</v>
      </c>
      <c r="U19" s="37">
        <f ca="1">H19-SUM(R19:T19)</f>
        <v>46.400999999999982</v>
      </c>
      <c r="V19" s="37">
        <f ca="1">SUM(V13:V18)</f>
        <v>51.103999999999978</v>
      </c>
      <c r="W19" s="37">
        <f>SUM(W13:W18)</f>
        <v>61.201999999999977</v>
      </c>
      <c r="AA19" s="37">
        <f>AA13*AA30</f>
        <v>228.34399999999999</v>
      </c>
      <c r="AB19" s="37">
        <f>AB13*AB30</f>
        <v>232.91087999999999</v>
      </c>
      <c r="AC19" s="37">
        <f t="shared" ref="AB19:AF19" si="11">AC13*AC30</f>
        <v>237.56909760000002</v>
      </c>
      <c r="AD19" s="37">
        <f t="shared" si="11"/>
        <v>242.32047955200002</v>
      </c>
      <c r="AE19" s="37">
        <f t="shared" si="11"/>
        <v>247.16688914304004</v>
      </c>
      <c r="AF19" s="37">
        <f t="shared" si="11"/>
        <v>252.11022692590086</v>
      </c>
      <c r="AG19" s="38"/>
    </row>
    <row r="20" spans="1:33" x14ac:dyDescent="0.2">
      <c r="A20" s="33" t="s">
        <v>57</v>
      </c>
      <c r="E20" s="9" t="s">
        <v>57</v>
      </c>
      <c r="F20" s="38">
        <f t="shared" ca="1" si="8"/>
        <v>0</v>
      </c>
      <c r="G20" s="38">
        <f t="shared" ca="1" si="8"/>
        <v>0</v>
      </c>
      <c r="H20" s="38">
        <f t="shared" ca="1" si="8"/>
        <v>-892.24800000000005</v>
      </c>
      <c r="I20" s="38"/>
      <c r="J20" s="38">
        <f t="shared" ref="J20:T21" ca="1" si="12">SUMIFS(INDIRECT("'is_q" &amp; J$2 &amp; J$1 &amp; "'!E:E"), INDIRECT("'is_q" &amp; J$2 &amp; J$1 &amp; "'!A:A"), $A20) / $B$3*-1</f>
        <v>0</v>
      </c>
      <c r="K20" s="38">
        <f t="shared" ca="1" si="12"/>
        <v>0</v>
      </c>
      <c r="L20" s="38">
        <f t="shared" ca="1" si="12"/>
        <v>0</v>
      </c>
      <c r="M20" s="38">
        <f ca="1">F20-SUM(J20:L20)</f>
        <v>0</v>
      </c>
      <c r="N20" s="38">
        <f t="shared" ca="1" si="12"/>
        <v>0</v>
      </c>
      <c r="O20" s="38">
        <f t="shared" ca="1" si="12"/>
        <v>0</v>
      </c>
      <c r="P20" s="38">
        <f t="shared" ca="1" si="12"/>
        <v>0</v>
      </c>
      <c r="Q20" s="38">
        <f ca="1">G20-SUM(N20:P20)</f>
        <v>0</v>
      </c>
      <c r="R20" s="38">
        <f t="shared" ca="1" si="12"/>
        <v>0</v>
      </c>
      <c r="S20" s="38">
        <f t="shared" ca="1" si="12"/>
        <v>0</v>
      </c>
      <c r="T20" s="38">
        <f t="shared" ca="1" si="12"/>
        <v>-892.24800000000005</v>
      </c>
      <c r="U20" s="38">
        <f ca="1">H20-SUM(R20:T20)</f>
        <v>0</v>
      </c>
      <c r="V20" s="38">
        <f ca="1">SUMIFS(INDIRECT("'is_q" &amp; V$2 &amp; V$1 &amp; "'!E:E"), INDIRECT("'is_q" &amp; V$2 &amp; V$1 &amp; "'!A:A"), $A20) / $B$3*-1</f>
        <v>-3.6309999999999998</v>
      </c>
      <c r="W20" s="50">
        <v>-404.85500000000002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/>
    </row>
    <row r="21" spans="1:33" x14ac:dyDescent="0.2">
      <c r="A21" s="33" t="s">
        <v>40</v>
      </c>
      <c r="E21" s="9" t="s">
        <v>40</v>
      </c>
      <c r="F21" s="39">
        <f t="shared" ca="1" si="8"/>
        <v>-89.712999999999994</v>
      </c>
      <c r="G21" s="39">
        <f t="shared" ca="1" si="8"/>
        <v>-68.028000000000006</v>
      </c>
      <c r="H21" s="39">
        <f t="shared" ca="1" si="8"/>
        <v>-70.616</v>
      </c>
      <c r="I21" s="38"/>
      <c r="J21" s="39">
        <f t="shared" ca="1" si="12"/>
        <v>-26.928999999999998</v>
      </c>
      <c r="K21" s="39">
        <f t="shared" ca="1" si="12"/>
        <v>-27.151</v>
      </c>
      <c r="L21" s="39">
        <f t="shared" ca="1" si="12"/>
        <v>-19.754999999999999</v>
      </c>
      <c r="M21" s="39">
        <f ca="1">F21-SUM(J21:L21)</f>
        <v>-15.878</v>
      </c>
      <c r="N21" s="39">
        <f t="shared" ca="1" si="12"/>
        <v>-16.731000000000002</v>
      </c>
      <c r="O21" s="39">
        <f t="shared" ca="1" si="12"/>
        <v>-16.966999999999999</v>
      </c>
      <c r="P21" s="39">
        <f t="shared" ca="1" si="12"/>
        <v>-17.126999999999999</v>
      </c>
      <c r="Q21" s="39">
        <f ca="1">G21-SUM(N21:P21)</f>
        <v>-17.203000000000003</v>
      </c>
      <c r="R21" s="39">
        <f t="shared" ca="1" si="12"/>
        <v>-17.206</v>
      </c>
      <c r="S21" s="39">
        <f t="shared" ca="1" si="12"/>
        <v>-17.024000000000001</v>
      </c>
      <c r="T21" s="39">
        <f t="shared" ca="1" si="12"/>
        <v>-18.312000000000001</v>
      </c>
      <c r="U21" s="39">
        <f ca="1">H21-SUM(R21:T21)</f>
        <v>-18.073999999999998</v>
      </c>
      <c r="V21" s="39">
        <f ca="1">SUMIFS(INDIRECT("'is_q" &amp; V$2 &amp; V$1 &amp; "'!E:E"), INDIRECT("'is_q" &amp; V$2 &amp; V$1 &amp; "'!A:A"), $A21) / $B$3*-1</f>
        <v>-9.5850000000000009</v>
      </c>
      <c r="W21" s="53">
        <v>-6.6310000000000002</v>
      </c>
      <c r="AA21" s="39">
        <f ca="1">V21*4</f>
        <v>-38.340000000000003</v>
      </c>
      <c r="AB21" s="39">
        <f ca="1">+AA21</f>
        <v>-38.340000000000003</v>
      </c>
      <c r="AC21" s="39">
        <f t="shared" ref="AC21:AE21" ca="1" si="13">+AB21</f>
        <v>-38.340000000000003</v>
      </c>
      <c r="AD21" s="39">
        <f t="shared" ca="1" si="13"/>
        <v>-38.340000000000003</v>
      </c>
      <c r="AE21" s="39">
        <f t="shared" ca="1" si="13"/>
        <v>-38.340000000000003</v>
      </c>
      <c r="AF21" s="39">
        <f ca="1">+AE21*(1+$AF$39)</f>
        <v>-39.106800000000007</v>
      </c>
      <c r="AG21" s="38"/>
    </row>
    <row r="22" spans="1:33" x14ac:dyDescent="0.2">
      <c r="E22" s="2" t="s">
        <v>39</v>
      </c>
      <c r="F22" s="37">
        <f ca="1">SUM(F19:F21)</f>
        <v>-86.655000000000086</v>
      </c>
      <c r="G22" s="37">
        <f ca="1">SUM(G19:G21)</f>
        <v>26.835999999999885</v>
      </c>
      <c r="H22" s="37">
        <f ca="1">SUM(H19:H21)</f>
        <v>-705.30100000000004</v>
      </c>
      <c r="I22" s="38"/>
      <c r="J22" s="37">
        <f t="shared" ref="J22:T22" ca="1" si="14">SUM(J19:J21)</f>
        <v>31.079999999999959</v>
      </c>
      <c r="K22" s="37">
        <f t="shared" ca="1" si="14"/>
        <v>0.93799999999998107</v>
      </c>
      <c r="L22" s="37">
        <f t="shared" ca="1" si="14"/>
        <v>34.888999999999996</v>
      </c>
      <c r="M22" s="37">
        <f t="shared" ca="1" si="14"/>
        <v>-153.56200000000007</v>
      </c>
      <c r="N22" s="37">
        <f t="shared" ca="1" si="14"/>
        <v>5.5029999999999859</v>
      </c>
      <c r="O22" s="37">
        <f t="shared" ca="1" si="14"/>
        <v>18.202000000000027</v>
      </c>
      <c r="P22" s="37">
        <f t="shared" ca="1" si="14"/>
        <v>30.251999999999992</v>
      </c>
      <c r="Q22" s="37">
        <f t="shared" ca="1" si="14"/>
        <v>-27.12099999999991</v>
      </c>
      <c r="R22" s="37">
        <f t="shared" ca="1" si="14"/>
        <v>50.265000000000001</v>
      </c>
      <c r="S22" s="37">
        <f t="shared" ca="1" si="14"/>
        <v>51.396000000000015</v>
      </c>
      <c r="T22" s="37">
        <f t="shared" ca="1" si="14"/>
        <v>-835.2890000000001</v>
      </c>
      <c r="U22" s="37">
        <f ca="1">H22-SUM(R22:T22)</f>
        <v>28.326999999999998</v>
      </c>
      <c r="V22" s="37">
        <f ca="1">SUM(V19:V21)</f>
        <v>37.887999999999977</v>
      </c>
      <c r="W22" s="37">
        <f>SUM(W19:W21)</f>
        <v>-350.28399999999999</v>
      </c>
      <c r="AA22" s="37">
        <f ca="1">SUM(AA19:AA21)</f>
        <v>190.00399999999999</v>
      </c>
      <c r="AB22" s="37">
        <f t="shared" ref="AB22:AF22" ca="1" si="15">SUM(AB19:AB21)</f>
        <v>194.57087999999999</v>
      </c>
      <c r="AC22" s="37">
        <f t="shared" ca="1" si="15"/>
        <v>199.22909760000002</v>
      </c>
      <c r="AD22" s="37">
        <f t="shared" ca="1" si="15"/>
        <v>203.98047955200002</v>
      </c>
      <c r="AE22" s="37">
        <f t="shared" ca="1" si="15"/>
        <v>208.82688914304003</v>
      </c>
      <c r="AF22" s="37">
        <f t="shared" ca="1" si="15"/>
        <v>213.00342692590084</v>
      </c>
      <c r="AG22" s="38"/>
    </row>
    <row r="23" spans="1:33" x14ac:dyDescent="0.2">
      <c r="A23" s="33" t="s">
        <v>38</v>
      </c>
      <c r="E23" s="9" t="s">
        <v>38</v>
      </c>
      <c r="F23" s="39">
        <f ca="1">SUMIFS(INDIRECT("'is_fy" &amp; F$2 &amp; F$1 &amp; "'!E:E"), INDIRECT("'is_fy" &amp; F$2 &amp; F$1 &amp; "'!A:A"), $A23) / $B$3</f>
        <v>-24.062999999999999</v>
      </c>
      <c r="G23" s="39">
        <f ca="1">SUMIFS(INDIRECT("'is_fy" &amp; G$2 &amp; G$1 &amp; "'!E:E"), INDIRECT("'is_fy" &amp; G$2 &amp; G$1 &amp; "'!A:A"), $A23) / $B$3</f>
        <v>-21.533999999999999</v>
      </c>
      <c r="H23" s="39">
        <f ca="1">SUMIFS(INDIRECT("'is_fy" &amp; H$2 &amp; H$1 &amp; "'!E:E"), INDIRECT("'is_fy" &amp; H$2 &amp; H$1 &amp; "'!A:A"), $A23) / $B$3</f>
        <v>-39.945</v>
      </c>
      <c r="I23" s="38"/>
      <c r="J23" s="39">
        <f t="shared" ref="J23:T23" ca="1" si="16">SUMIFS(INDIRECT("'is_q" &amp; J$2 &amp; J$1 &amp; "'!E:E"), INDIRECT("'is_q" &amp; J$2 &amp; J$1 &amp; "'!A:A"), $A23) / $B$3</f>
        <v>-5.883</v>
      </c>
      <c r="K23" s="39">
        <f t="shared" ca="1" si="16"/>
        <v>-6.2809999999999997</v>
      </c>
      <c r="L23" s="39">
        <f t="shared" ca="1" si="16"/>
        <v>-6.8659999999999997</v>
      </c>
      <c r="M23" s="39">
        <f ca="1">F23-SUM(J23:L23)</f>
        <v>-5.0329999999999977</v>
      </c>
      <c r="N23" s="39">
        <f t="shared" ca="1" si="16"/>
        <v>-5.2190000000000003</v>
      </c>
      <c r="O23" s="39">
        <f t="shared" ca="1" si="16"/>
        <v>-6.11</v>
      </c>
      <c r="P23" s="39">
        <f t="shared" ca="1" si="16"/>
        <v>-5.2560000000000002</v>
      </c>
      <c r="Q23" s="39">
        <f ca="1">G23-SUM(N23:P23)</f>
        <v>-4.9489999999999981</v>
      </c>
      <c r="R23" s="39">
        <f t="shared" ca="1" si="16"/>
        <v>-8.9179999999999993</v>
      </c>
      <c r="S23" s="39">
        <f t="shared" ca="1" si="16"/>
        <v>-9.0820000000000007</v>
      </c>
      <c r="T23" s="39">
        <f t="shared" ca="1" si="16"/>
        <v>-9.8089999999999993</v>
      </c>
      <c r="U23" s="39">
        <f ca="1">H23-SUM(R23:T23)</f>
        <v>-12.136000000000003</v>
      </c>
      <c r="V23" s="39">
        <f ca="1">SUMIFS(INDIRECT("'is_q" &amp; V$2 &amp; V$1 &amp; "'!E:E"), INDIRECT("'is_q" &amp; V$2 &amp; V$1 &amp; "'!A:A"), $A23) / $B$3</f>
        <v>-12.048999999999999</v>
      </c>
      <c r="W23" s="53">
        <v>-10.259</v>
      </c>
      <c r="AA23" s="39">
        <f>+W23*1</f>
        <v>-10.259</v>
      </c>
      <c r="AB23" s="39">
        <f>+AA23</f>
        <v>-10.259</v>
      </c>
      <c r="AC23" s="39">
        <f t="shared" ref="AC23:AE23" si="17">+AB23</f>
        <v>-10.259</v>
      </c>
      <c r="AD23" s="39">
        <f t="shared" si="17"/>
        <v>-10.259</v>
      </c>
      <c r="AE23" s="39">
        <f t="shared" si="17"/>
        <v>-10.259</v>
      </c>
      <c r="AF23" s="39">
        <f>+AE23*(1+$AF$39)</f>
        <v>-10.464180000000001</v>
      </c>
      <c r="AG23" s="38"/>
    </row>
    <row r="24" spans="1:33" x14ac:dyDescent="0.2">
      <c r="E24" s="2" t="s">
        <v>13</v>
      </c>
      <c r="F24" s="37">
        <f t="shared" ref="F24" ca="1" si="18">SUM(F22:F23)</f>
        <v>-110.71800000000009</v>
      </c>
      <c r="G24" s="37">
        <f t="shared" ref="G24" ca="1" si="19">SUM(G22:G23)</f>
        <v>5.3019999999998859</v>
      </c>
      <c r="H24" s="37">
        <f t="shared" ref="H24:V24" ca="1" si="20">SUM(H22:H23)</f>
        <v>-745.24600000000009</v>
      </c>
      <c r="I24" s="38"/>
      <c r="J24" s="37">
        <f t="shared" ref="J24:T24" ca="1" si="21">SUM(J22:J23)</f>
        <v>25.19699999999996</v>
      </c>
      <c r="K24" s="37">
        <f t="shared" ca="1" si="21"/>
        <v>-5.3430000000000186</v>
      </c>
      <c r="L24" s="37">
        <f t="shared" ca="1" si="21"/>
        <v>28.022999999999996</v>
      </c>
      <c r="M24" s="37">
        <f t="shared" ca="1" si="21"/>
        <v>-158.59500000000006</v>
      </c>
      <c r="N24" s="37">
        <f t="shared" ca="1" si="21"/>
        <v>0.2839999999999856</v>
      </c>
      <c r="O24" s="37">
        <f t="shared" ca="1" si="21"/>
        <v>12.092000000000027</v>
      </c>
      <c r="P24" s="37">
        <f t="shared" ca="1" si="21"/>
        <v>24.995999999999992</v>
      </c>
      <c r="Q24" s="37">
        <f t="shared" ref="Q24" ca="1" si="22">SUM(Q22:Q23)</f>
        <v>-32.069999999999908</v>
      </c>
      <c r="R24" s="37">
        <f t="shared" ca="1" si="21"/>
        <v>41.347000000000001</v>
      </c>
      <c r="S24" s="37">
        <f t="shared" ca="1" si="21"/>
        <v>42.314000000000014</v>
      </c>
      <c r="T24" s="37">
        <f t="shared" ca="1" si="21"/>
        <v>-845.09800000000007</v>
      </c>
      <c r="U24" s="37">
        <f ca="1">H24-SUM(R24:T24)</f>
        <v>16.190999999999917</v>
      </c>
      <c r="V24" s="37">
        <f t="shared" ca="1" si="20"/>
        <v>25.838999999999977</v>
      </c>
      <c r="W24" s="37">
        <f t="shared" ref="W24:AF24" si="23">SUM(W22:W23)</f>
        <v>-360.54300000000001</v>
      </c>
      <c r="AA24" s="37">
        <f t="shared" ca="1" si="23"/>
        <v>179.745</v>
      </c>
      <c r="AB24" s="37">
        <f t="shared" ca="1" si="23"/>
        <v>184.31187999999997</v>
      </c>
      <c r="AC24" s="37">
        <f t="shared" ca="1" si="23"/>
        <v>188.97009760000003</v>
      </c>
      <c r="AD24" s="37">
        <f t="shared" ca="1" si="23"/>
        <v>193.72147955200001</v>
      </c>
      <c r="AE24" s="37">
        <f t="shared" ca="1" si="23"/>
        <v>198.56788914304002</v>
      </c>
      <c r="AF24" s="37">
        <f t="shared" ca="1" si="23"/>
        <v>202.53924692590084</v>
      </c>
      <c r="AG24" s="38"/>
    </row>
    <row r="25" spans="1:33" x14ac:dyDescent="0.2">
      <c r="A25" s="33" t="s">
        <v>14</v>
      </c>
      <c r="E25" s="9" t="s">
        <v>14</v>
      </c>
      <c r="F25" s="38">
        <f ca="1">SUMIFS(INDIRECT("'is_fy" &amp; F$2 &amp; F$1 &amp; "'!E:E"), INDIRECT("'is_fy" &amp; F$2 &amp; F$1 &amp; "'!A:A"), $A25) / $B$3</f>
        <v>-3.4060000000000001</v>
      </c>
      <c r="G25" s="38">
        <f ca="1">SUMIFS(INDIRECT("'is_fy" &amp; G$2 &amp; G$1 &amp; "'!E:E"), INDIRECT("'is_fy" &amp; G$2 &amp; G$1 &amp; "'!A:A"), $A25) / $B$3</f>
        <v>-7.17</v>
      </c>
      <c r="H25" s="38">
        <f ca="1">SUMIFS(INDIRECT("'is_fy" &amp; H$2 &amp; H$1 &amp; "'!E:E"), INDIRECT("'is_fy" &amp; H$2 &amp; H$1 &amp; "'!A:A"), $A25) / $B$3</f>
        <v>-23.128</v>
      </c>
      <c r="I25" s="38"/>
      <c r="J25" s="38">
        <f t="shared" ref="J25:T25" ca="1" si="24">SUMIFS(INDIRECT("'is_q" &amp; J$2 &amp; J$1 &amp; "'!E:E"), INDIRECT("'is_q" &amp; J$2 &amp; J$1 &amp; "'!A:A"), $A25) / $B$3</f>
        <v>-2.4279999999999999</v>
      </c>
      <c r="K25" s="38">
        <f t="shared" ca="1" si="24"/>
        <v>-2.3279999999999998</v>
      </c>
      <c r="L25" s="38">
        <f t="shared" ca="1" si="24"/>
        <v>-1.6180000000000001</v>
      </c>
      <c r="M25" s="38">
        <f ca="1">F25-SUM(J25:L25)</f>
        <v>2.9680000000000004</v>
      </c>
      <c r="N25" s="38">
        <f t="shared" ca="1" si="24"/>
        <v>-2.613</v>
      </c>
      <c r="O25" s="38">
        <f t="shared" ca="1" si="24"/>
        <v>-2.7429999999999999</v>
      </c>
      <c r="P25" s="38">
        <f t="shared" ca="1" si="24"/>
        <v>-1.8720000000000001</v>
      </c>
      <c r="Q25" s="38">
        <f ca="1">G25-SUM(N25:P25)</f>
        <v>5.7999999999999829E-2</v>
      </c>
      <c r="R25" s="38">
        <f t="shared" ca="1" si="24"/>
        <v>-7.4740000000000002</v>
      </c>
      <c r="S25" s="38">
        <f t="shared" ca="1" si="24"/>
        <v>-4.6280000000000001</v>
      </c>
      <c r="T25" s="38">
        <f t="shared" ca="1" si="24"/>
        <v>-4.1609999999999996</v>
      </c>
      <c r="U25" s="38">
        <f ca="1">H25-SUM(R25:T25)</f>
        <v>-6.865000000000002</v>
      </c>
      <c r="V25" s="38">
        <f ca="1">SUMIFS(INDIRECT("'is_q" &amp; V$2 &amp; V$1 &amp; "'!E:E"), INDIRECT("'is_q" &amp; V$2 &amp; V$1 &amp; "'!A:A"), $A25) / $B$3</f>
        <v>-6.008</v>
      </c>
      <c r="W25" s="50">
        <v>-6.4690000000000003</v>
      </c>
      <c r="Z25" t="s">
        <v>579</v>
      </c>
      <c r="AA25" s="38">
        <v>0</v>
      </c>
      <c r="AB25" s="38">
        <v>0</v>
      </c>
      <c r="AC25" s="38">
        <f t="shared" ref="AC25:AF25" ca="1" si="25">+AC24*-AC32</f>
        <v>-47.242524400000008</v>
      </c>
      <c r="AD25" s="38">
        <f t="shared" ca="1" si="25"/>
        <v>-48.430369888000001</v>
      </c>
      <c r="AE25" s="38">
        <f t="shared" ca="1" si="25"/>
        <v>-49.641972285760005</v>
      </c>
      <c r="AF25" s="38">
        <f t="shared" ca="1" si="25"/>
        <v>-50.63481173147521</v>
      </c>
      <c r="AG25" s="38"/>
    </row>
    <row r="26" spans="1:33" x14ac:dyDescent="0.2">
      <c r="A26" s="33" t="s">
        <v>59</v>
      </c>
      <c r="E26" s="9" t="s">
        <v>59</v>
      </c>
      <c r="F26" s="38">
        <f ca="1">SUMIFS(INDIRECT("'is_fy" &amp; F$2 &amp; F$1 &amp; "'!E:E"), INDIRECT("'is_fy" &amp; F$2 &amp; F$1 &amp; "'!A:A"), $A26) / $B$3*-1</f>
        <v>34.378</v>
      </c>
      <c r="G26" s="38">
        <f ca="1">SUMIFS(INDIRECT("'is_fy" &amp; G$2 &amp; G$1 &amp; "'!E:E"), INDIRECT("'is_fy" &amp; G$2 &amp; G$1 &amp; "'!A:A"), $A26) / $B$3*-1</f>
        <v>-2.3450000000000002</v>
      </c>
      <c r="H26" s="38">
        <f ca="1">SUMIFS(INDIRECT("'is_fy" &amp; H$2 &amp; H$1 &amp; "'!E:E"), INDIRECT("'is_fy" &amp; H$2 &amp; H$1 &amp; "'!A:A"), $A26) / $B$3*-1</f>
        <v>211.36600000000001</v>
      </c>
      <c r="I26" s="38"/>
      <c r="J26" s="38">
        <f t="shared" ref="J26:T26" ca="1" si="26">SUMIFS(INDIRECT("'is_q" &amp; J$2 &amp; J$1 &amp; "'!E:E"), INDIRECT("'is_q" &amp; J$2 &amp; J$1 &amp; "'!A:A"), $A26) / $B$3*-1</f>
        <v>-7.5430000000000001</v>
      </c>
      <c r="K26" s="38">
        <f t="shared" ca="1" si="26"/>
        <v>2.0310000000000001</v>
      </c>
      <c r="L26" s="38">
        <f t="shared" ca="1" si="26"/>
        <v>-8.3420000000000005</v>
      </c>
      <c r="M26" s="38">
        <f ca="1">F26-SUM(J26:L26)</f>
        <v>48.231999999999999</v>
      </c>
      <c r="N26" s="38">
        <f t="shared" ca="1" si="26"/>
        <v>0.71799999999999997</v>
      </c>
      <c r="O26" s="38">
        <f t="shared" ca="1" si="26"/>
        <v>-2.5960000000000001</v>
      </c>
      <c r="P26" s="38">
        <f t="shared" ca="1" si="26"/>
        <v>-6.4530000000000003</v>
      </c>
      <c r="Q26" s="38">
        <f ca="1">G26-SUM(N26:P26)</f>
        <v>5.9859999999999989</v>
      </c>
      <c r="R26" s="38">
        <f t="shared" ca="1" si="26"/>
        <v>-9.2560000000000002</v>
      </c>
      <c r="S26" s="38">
        <f t="shared" ca="1" si="26"/>
        <v>-10.291</v>
      </c>
      <c r="T26" s="38">
        <f t="shared" ca="1" si="26"/>
        <v>236.06</v>
      </c>
      <c r="U26" s="38">
        <f ca="1">H26-SUM(R26:T26)</f>
        <v>-5.1469999999999914</v>
      </c>
      <c r="V26" s="38">
        <f ca="1">SUMIFS(INDIRECT("'is_q" &amp; V$2 &amp; V$1 &amp; "'!E:E"), INDIRECT("'is_q" &amp; V$2 &amp; V$1 &amp; "'!A:A"), $A26) / $B$3*-1</f>
        <v>-6.3869999999999996</v>
      </c>
      <c r="W26" s="50">
        <v>113.239</v>
      </c>
      <c r="AA26" s="39">
        <f ca="1">+AA24*-AA34</f>
        <v>-35.949000000000005</v>
      </c>
      <c r="AB26" s="39">
        <f t="shared" ref="AB26:AE26" ca="1" si="27">+AB24*-AB34</f>
        <v>-36.862375999999998</v>
      </c>
      <c r="AC26" s="39">
        <f t="shared" ca="1" si="27"/>
        <v>-37.794019520000006</v>
      </c>
      <c r="AD26" s="39">
        <f t="shared" ca="1" si="27"/>
        <v>-38.744295910400005</v>
      </c>
      <c r="AE26" s="39">
        <f t="shared" ca="1" si="27"/>
        <v>-39.71357782860801</v>
      </c>
      <c r="AF26" s="39">
        <f t="shared" ref="AF26" ca="1" si="28">+AF24*-AF34</f>
        <v>-40.507849385180172</v>
      </c>
      <c r="AG26" s="38"/>
    </row>
    <row r="27" spans="1:33" ht="13.5" thickBot="1" x14ac:dyDescent="0.25">
      <c r="E27" s="2" t="s">
        <v>60</v>
      </c>
      <c r="F27" s="36">
        <f t="shared" ref="F27" ca="1" si="29">SUM(F24:F26)</f>
        <v>-79.746000000000095</v>
      </c>
      <c r="G27" s="36">
        <f t="shared" ref="G27" ca="1" si="30">SUM(G24:G26)</f>
        <v>-4.2130000000001147</v>
      </c>
      <c r="H27" s="36">
        <f t="shared" ref="H27:V27" ca="1" si="31">SUM(H24:H26)</f>
        <v>-557.00800000000015</v>
      </c>
      <c r="I27" s="38"/>
      <c r="J27" s="36">
        <f t="shared" ref="J27:T27" ca="1" si="32">SUM(J24:J26)</f>
        <v>15.22599999999996</v>
      </c>
      <c r="K27" s="36">
        <f t="shared" ca="1" si="32"/>
        <v>-5.6400000000000183</v>
      </c>
      <c r="L27" s="36">
        <f t="shared" ca="1" si="32"/>
        <v>18.062999999999995</v>
      </c>
      <c r="M27" s="36">
        <f t="shared" ca="1" si="32"/>
        <v>-107.39500000000007</v>
      </c>
      <c r="N27" s="36">
        <f t="shared" ca="1" si="32"/>
        <v>-1.6110000000000144</v>
      </c>
      <c r="O27" s="36">
        <f t="shared" ca="1" si="32"/>
        <v>6.7530000000000268</v>
      </c>
      <c r="P27" s="36">
        <f t="shared" ca="1" si="32"/>
        <v>16.670999999999992</v>
      </c>
      <c r="Q27" s="36">
        <f t="shared" ref="Q27" ca="1" si="33">SUM(Q24:Q26)</f>
        <v>-26.025999999999911</v>
      </c>
      <c r="R27" s="36">
        <f t="shared" ca="1" si="32"/>
        <v>24.617000000000004</v>
      </c>
      <c r="S27" s="36">
        <f t="shared" ca="1" si="32"/>
        <v>27.395000000000014</v>
      </c>
      <c r="T27" s="36">
        <f t="shared" ca="1" si="32"/>
        <v>-613.19900000000007</v>
      </c>
      <c r="U27" s="36">
        <f ca="1">H27-SUM(R27:T27)</f>
        <v>4.1789999999998599</v>
      </c>
      <c r="V27" s="36">
        <f t="shared" ca="1" si="31"/>
        <v>13.443999999999978</v>
      </c>
      <c r="W27" s="36">
        <f t="shared" ref="W27" si="34">SUM(W24:W26)</f>
        <v>-253.773</v>
      </c>
      <c r="AA27" s="37">
        <f ca="1">SUM(AA24:AA26)</f>
        <v>143.79599999999999</v>
      </c>
      <c r="AB27" s="37">
        <f t="shared" ref="AB27:AF27" ca="1" si="35">SUM(AB24:AB26)</f>
        <v>147.44950399999999</v>
      </c>
      <c r="AC27" s="37">
        <f t="shared" ca="1" si="35"/>
        <v>103.93355368000002</v>
      </c>
      <c r="AD27" s="37">
        <f t="shared" ca="1" si="35"/>
        <v>106.54681375359999</v>
      </c>
      <c r="AE27" s="37">
        <f t="shared" ca="1" si="35"/>
        <v>109.21233902867201</v>
      </c>
      <c r="AF27" s="37">
        <f t="shared" ca="1" si="35"/>
        <v>111.39658580924544</v>
      </c>
      <c r="AG27" s="38"/>
    </row>
    <row r="28" spans="1:33" ht="3" customHeight="1" x14ac:dyDescent="0.2">
      <c r="AA28" s="38"/>
      <c r="AB28" s="38"/>
      <c r="AC28" s="38"/>
      <c r="AD28" s="38"/>
      <c r="AE28" s="38"/>
      <c r="AF28" s="38"/>
      <c r="AG28" s="38"/>
    </row>
    <row r="29" spans="1:33" x14ac:dyDescent="0.2">
      <c r="E29" s="3" t="s">
        <v>19</v>
      </c>
      <c r="F29" s="15" t="str">
        <f>IFERROR(+F13/#REF!-1,"n/a")</f>
        <v>n/a</v>
      </c>
      <c r="G29" s="15">
        <f>IFERROR(+G13/F13-1,"n/a")</f>
        <v>0.16416879634046588</v>
      </c>
      <c r="H29" s="15">
        <f>IFERROR(+H13/G13-1,"n/a")</f>
        <v>1.8836694142589705E-2</v>
      </c>
      <c r="J29" s="15" t="str">
        <f>IFERROR(+J13/I13-1,"n/a")</f>
        <v>n/a</v>
      </c>
      <c r="K29" s="15">
        <f>IFERROR(+K13/J13-1,"n/a")</f>
        <v>4.3688996809979619E-2</v>
      </c>
      <c r="L29" s="15">
        <f t="shared" ref="L29:U29" si="36">IFERROR(+L13/K13-1,"n/a")</f>
        <v>6.1280256927273902E-2</v>
      </c>
      <c r="M29" s="15">
        <f t="shared" si="36"/>
        <v>3.8639265127515143E-2</v>
      </c>
      <c r="N29" s="15">
        <f t="shared" si="36"/>
        <v>5.4629430364030451E-3</v>
      </c>
      <c r="O29" s="15">
        <f t="shared" si="36"/>
        <v>6.9097090735466216E-2</v>
      </c>
      <c r="P29" s="15">
        <f t="shared" si="36"/>
        <v>6.0734979883342533E-2</v>
      </c>
      <c r="Q29" s="15">
        <f t="shared" si="36"/>
        <v>-6.7983013320748187E-3</v>
      </c>
      <c r="R29" s="15">
        <f t="shared" si="36"/>
        <v>-2.142254154226253E-2</v>
      </c>
      <c r="S29" s="15">
        <f t="shared" si="36"/>
        <v>3.1369620016805655E-3</v>
      </c>
      <c r="T29" s="15">
        <f t="shared" si="36"/>
        <v>1.8576773448988337E-2</v>
      </c>
      <c r="U29" s="15">
        <f t="shared" si="36"/>
        <v>-4.3701686738180978E-2</v>
      </c>
      <c r="V29" s="15">
        <f>IFERROR(+V13/U13-1,"n/a")</f>
        <v>-5.559759677123477E-2</v>
      </c>
      <c r="W29" s="15">
        <f>IFERROR(+W13/V13-1,"n/a")</f>
        <v>4.4475740689029486E-3</v>
      </c>
      <c r="AA29" s="38">
        <v>0</v>
      </c>
      <c r="AB29" s="15">
        <v>0.02</v>
      </c>
      <c r="AC29" s="15">
        <f>AB29</f>
        <v>0.02</v>
      </c>
      <c r="AD29" s="15">
        <f t="shared" ref="AD29:AE29" si="37">AC29</f>
        <v>0.02</v>
      </c>
      <c r="AE29" s="15">
        <f t="shared" si="37"/>
        <v>0.02</v>
      </c>
      <c r="AF29" s="15">
        <f>+AF39</f>
        <v>0.02</v>
      </c>
      <c r="AG29" s="38"/>
    </row>
    <row r="30" spans="1:33" x14ac:dyDescent="0.2">
      <c r="E30" s="3" t="s">
        <v>42</v>
      </c>
      <c r="F30" s="15">
        <f ca="1">IFERROR(+F19/F13,"n/a")</f>
        <v>3.3846041463059897E-3</v>
      </c>
      <c r="G30" s="15">
        <f ca="1">IFERROR(+G19/G13,"n/a")</f>
        <v>9.0189479288478078E-2</v>
      </c>
      <c r="H30" s="15">
        <f ca="1">IFERROR(+H19/H13,"n/a")</f>
        <v>0.24034403248096611</v>
      </c>
      <c r="J30" s="15">
        <f t="shared" ref="J30:V30" ca="1" si="38">IFERROR(+J19/J13,"n/a")</f>
        <v>0.276193877065181</v>
      </c>
      <c r="K30" s="15">
        <f t="shared" ca="1" si="38"/>
        <v>0.12813974070052819</v>
      </c>
      <c r="L30" s="15">
        <f t="shared" ca="1" si="38"/>
        <v>0.23488752960595599</v>
      </c>
      <c r="M30" s="15">
        <f t="shared" ca="1" si="38"/>
        <v>-0.56981806744251517</v>
      </c>
      <c r="N30" s="15">
        <f t="shared" ca="1" si="38"/>
        <v>9.1517526384246789E-2</v>
      </c>
      <c r="O30" s="15">
        <f t="shared" ca="1" si="38"/>
        <v>0.13540339191868644</v>
      </c>
      <c r="P30" s="15">
        <f t="shared" ca="1" si="38"/>
        <v>0.17196834960618487</v>
      </c>
      <c r="Q30" s="15">
        <f t="shared" ca="1" si="38"/>
        <v>-3.6245098433325552E-2</v>
      </c>
      <c r="R30" s="15">
        <f t="shared" ca="1" si="38"/>
        <v>0.2519690038278406</v>
      </c>
      <c r="S30" s="15">
        <f t="shared" ca="1" si="38"/>
        <v>0.25471399586769172</v>
      </c>
      <c r="T30" s="15">
        <f t="shared" ca="1" si="38"/>
        <v>0.27510827653003411</v>
      </c>
      <c r="U30" s="15">
        <f t="shared" ca="1" si="38"/>
        <v>0.17734131352045487</v>
      </c>
      <c r="V30" s="15">
        <f t="shared" ca="1" si="38"/>
        <v>0.20681421766807895</v>
      </c>
      <c r="W30" s="15">
        <f t="shared" ref="W30" si="39">IFERROR(+W19/W13,"n/a")</f>
        <v>0.24658340048348099</v>
      </c>
      <c r="AA30" s="15">
        <v>0.23</v>
      </c>
      <c r="AB30" s="15">
        <f>+AA30</f>
        <v>0.23</v>
      </c>
      <c r="AC30" s="15">
        <f>+AB30</f>
        <v>0.23</v>
      </c>
      <c r="AD30" s="15">
        <f t="shared" ref="AC30:AE30" si="40">+AC30</f>
        <v>0.23</v>
      </c>
      <c r="AE30" s="15">
        <f t="shared" si="40"/>
        <v>0.23</v>
      </c>
      <c r="AF30" s="15">
        <f t="shared" ref="AF30" si="41">+AE30</f>
        <v>0.23</v>
      </c>
      <c r="AG30" s="38"/>
    </row>
    <row r="31" spans="1:33" x14ac:dyDescent="0.2">
      <c r="E31" s="3" t="s">
        <v>20</v>
      </c>
      <c r="F31" s="15">
        <f ca="1">IFERROR(+F22/F13,"n/a")</f>
        <v>-9.5910030182523018E-2</v>
      </c>
      <c r="G31" s="15">
        <f t="shared" ref="G31:H31" ca="1" si="42">IFERROR(+G22/G13,"n/a")</f>
        <v>2.5513628628200266E-2</v>
      </c>
      <c r="H31" s="15">
        <f t="shared" ca="1" si="42"/>
        <v>-0.65814921573695717</v>
      </c>
      <c r="J31" s="15">
        <f t="shared" ref="J31:W31" ca="1" si="43">IFERROR(+J22/J13,"n/a")</f>
        <v>0.14797886016283371</v>
      </c>
      <c r="K31" s="15">
        <f t="shared" ca="1" si="43"/>
        <v>4.2790799521910039E-3</v>
      </c>
      <c r="L31" s="15">
        <f t="shared" ca="1" si="43"/>
        <v>0.14997055523794375</v>
      </c>
      <c r="M31" s="15">
        <f t="shared" ca="1" si="43"/>
        <v>-0.63553065042130907</v>
      </c>
      <c r="N31" s="15">
        <f t="shared" ca="1" si="43"/>
        <v>2.2650937649208829E-2</v>
      </c>
      <c r="O31" s="15">
        <f t="shared" ca="1" si="43"/>
        <v>7.0079119102161913E-2</v>
      </c>
      <c r="P31" s="15">
        <f t="shared" ca="1" si="43"/>
        <v>0.10980363689158286</v>
      </c>
      <c r="Q31" s="15">
        <f t="shared" ca="1" si="43"/>
        <v>-9.9113058541059521E-2</v>
      </c>
      <c r="R31" s="15">
        <f t="shared" ca="1" si="43"/>
        <v>0.187713565493418</v>
      </c>
      <c r="S31" s="15">
        <f t="shared" ca="1" si="43"/>
        <v>0.19133704372428945</v>
      </c>
      <c r="T31" s="15">
        <f t="shared" ca="1" si="43"/>
        <v>-3.0529010800241227</v>
      </c>
      <c r="U31" s="15">
        <f t="shared" ca="1" si="43"/>
        <v>0.10826377423102793</v>
      </c>
      <c r="V31" s="15">
        <f t="shared" ca="1" si="43"/>
        <v>0.15333001485222633</v>
      </c>
      <c r="W31" s="15">
        <f t="shared" si="43"/>
        <v>-1.4112973408541498</v>
      </c>
      <c r="AA31" s="38"/>
      <c r="AB31" s="38"/>
      <c r="AC31" s="38"/>
      <c r="AD31" s="38"/>
      <c r="AE31" s="38"/>
      <c r="AF31" s="38"/>
      <c r="AG31" s="38"/>
    </row>
    <row r="32" spans="1:33" x14ac:dyDescent="0.2">
      <c r="E32" s="3" t="s">
        <v>28</v>
      </c>
      <c r="F32" s="15">
        <f t="shared" ref="F32:V32" ca="1" si="44">-F25/F24</f>
        <v>-3.0762838924113491E-2</v>
      </c>
      <c r="G32" s="15">
        <f t="shared" ca="1" si="44"/>
        <v>1.3523198792908628</v>
      </c>
      <c r="H32" s="15">
        <f t="shared" ca="1" si="44"/>
        <v>-3.1034047817767554E-2</v>
      </c>
      <c r="J32" s="15">
        <f t="shared" ref="J32:U32" ca="1" si="45">-J25/J24</f>
        <v>9.6360677858475366E-2</v>
      </c>
      <c r="K32" s="15">
        <f t="shared" ca="1" si="45"/>
        <v>-0.43571027512633198</v>
      </c>
      <c r="L32" s="15">
        <f t="shared" ca="1" si="45"/>
        <v>5.7738286407593771E-2</v>
      </c>
      <c r="M32" s="15">
        <f t="shared" ca="1" si="45"/>
        <v>1.8714335256470881E-2</v>
      </c>
      <c r="N32" s="15">
        <f t="shared" ca="1" si="45"/>
        <v>9.2007042253525793</v>
      </c>
      <c r="O32" s="15">
        <f t="shared" ca="1" si="45"/>
        <v>0.22684419450876561</v>
      </c>
      <c r="P32" s="15">
        <f t="shared" ca="1" si="45"/>
        <v>7.4891982717234781E-2</v>
      </c>
      <c r="Q32" s="15">
        <f t="shared" ca="1" si="45"/>
        <v>1.8085438104147177E-3</v>
      </c>
      <c r="R32" s="15">
        <f t="shared" ca="1" si="45"/>
        <v>0.18076281229593441</v>
      </c>
      <c r="S32" s="15">
        <f t="shared" ca="1" si="45"/>
        <v>0.1093727844212317</v>
      </c>
      <c r="T32" s="15">
        <f t="shared" ca="1" si="45"/>
        <v>-4.9236893236050717E-3</v>
      </c>
      <c r="U32" s="15">
        <f t="shared" ca="1" si="45"/>
        <v>0.4240009882033251</v>
      </c>
      <c r="V32" s="15">
        <f t="shared" ca="1" si="44"/>
        <v>0.2325167382638649</v>
      </c>
      <c r="W32" s="15">
        <f t="shared" ref="W32" si="46">-W25/W24</f>
        <v>-1.7942381352570983E-2</v>
      </c>
      <c r="AA32" s="15">
        <v>0.25</v>
      </c>
      <c r="AB32" s="15">
        <f>AA32</f>
        <v>0.25</v>
      </c>
      <c r="AC32" s="15">
        <f t="shared" ref="AC32:AE34" si="47">AB32</f>
        <v>0.25</v>
      </c>
      <c r="AD32" s="15">
        <f t="shared" si="47"/>
        <v>0.25</v>
      </c>
      <c r="AE32" s="15">
        <f t="shared" si="47"/>
        <v>0.25</v>
      </c>
      <c r="AF32" s="15">
        <f t="shared" ref="AF32" si="48">AE32</f>
        <v>0.25</v>
      </c>
      <c r="AG32" s="38"/>
    </row>
    <row r="33" spans="1:41" ht="3" customHeight="1" x14ac:dyDescent="0.2">
      <c r="AA33" s="38"/>
      <c r="AB33" s="38"/>
      <c r="AC33" s="38"/>
      <c r="AD33" s="38"/>
      <c r="AE33" s="38"/>
      <c r="AF33" s="38"/>
      <c r="AG33" s="38"/>
    </row>
    <row r="34" spans="1:41" x14ac:dyDescent="0.2">
      <c r="A34" s="33"/>
      <c r="B34" s="33"/>
      <c r="E34" s="2" t="s">
        <v>555</v>
      </c>
      <c r="H34" s="5"/>
      <c r="U34" s="48"/>
      <c r="AA34" s="15">
        <v>0.2</v>
      </c>
      <c r="AB34" s="15">
        <f>AA34</f>
        <v>0.2</v>
      </c>
      <c r="AC34" s="15">
        <f t="shared" si="47"/>
        <v>0.2</v>
      </c>
      <c r="AD34" s="15">
        <f t="shared" si="47"/>
        <v>0.2</v>
      </c>
      <c r="AE34" s="15">
        <f t="shared" si="47"/>
        <v>0.2</v>
      </c>
      <c r="AF34" s="15">
        <f t="shared" ref="AF34" si="49">AE34</f>
        <v>0.2</v>
      </c>
      <c r="AG34" s="38"/>
    </row>
    <row r="35" spans="1:41" x14ac:dyDescent="0.2">
      <c r="A35" s="33"/>
      <c r="B35" s="33"/>
      <c r="E35" s="3" t="s">
        <v>556</v>
      </c>
      <c r="F35" s="44">
        <v>2.0022000000000002</v>
      </c>
      <c r="G35" s="44">
        <v>2.5173999999999999</v>
      </c>
      <c r="H35" s="44">
        <v>2.8073000000000001</v>
      </c>
      <c r="J35" s="44">
        <v>1.7751999999999999</v>
      </c>
      <c r="K35" s="44">
        <v>1.9245000000000001</v>
      </c>
      <c r="L35" s="44">
        <v>2.0880999999999998</v>
      </c>
      <c r="M35" s="49">
        <f>F35*4-L35-K35-J35</f>
        <v>2.221000000000001</v>
      </c>
      <c r="N35" s="44">
        <v>2.3188</v>
      </c>
      <c r="O35" s="44">
        <v>2.4578000000000002</v>
      </c>
      <c r="P35" s="44">
        <v>2.6049000000000002</v>
      </c>
      <c r="Q35" s="49">
        <f>G35*4-P35-O35-N35</f>
        <v>2.6880999999999982</v>
      </c>
      <c r="R35" s="44">
        <v>2.73</v>
      </c>
      <c r="S35" s="44">
        <v>2.8172000000000001</v>
      </c>
      <c r="T35" s="44">
        <v>2.8693</v>
      </c>
      <c r="U35" s="49">
        <f>H35*4-T35-S35-R35</f>
        <v>2.8127</v>
      </c>
      <c r="V35" s="44">
        <v>2.7084000000000001</v>
      </c>
      <c r="W35" s="44">
        <v>2.4998</v>
      </c>
      <c r="AA35" s="15"/>
      <c r="AB35" s="38"/>
      <c r="AC35" s="38"/>
      <c r="AD35" s="38"/>
      <c r="AE35" s="38"/>
      <c r="AF35" s="38"/>
      <c r="AG35" s="38"/>
    </row>
    <row r="36" spans="1:41" x14ac:dyDescent="0.2">
      <c r="A36" s="33"/>
      <c r="B36" s="33"/>
      <c r="E36" s="3" t="s">
        <v>557</v>
      </c>
      <c r="F36" s="44">
        <v>1.1797</v>
      </c>
      <c r="G36" s="44">
        <v>1.2033</v>
      </c>
      <c r="H36" s="44">
        <v>1.3420000000000001</v>
      </c>
      <c r="J36" s="44">
        <v>1.232</v>
      </c>
      <c r="K36" s="44">
        <v>1.0962000000000001</v>
      </c>
      <c r="L36" s="44">
        <v>1.2021999999999999</v>
      </c>
      <c r="M36" s="49">
        <f>F36*4-L36-K36-J36</f>
        <v>1.1883999999999999</v>
      </c>
      <c r="N36" s="44">
        <v>1.141</v>
      </c>
      <c r="O36" s="44">
        <v>1.1755</v>
      </c>
      <c r="P36" s="44">
        <v>1.2156</v>
      </c>
      <c r="Q36" s="49">
        <f>G36*4-P36-O36-N36</f>
        <v>1.2810999999999999</v>
      </c>
      <c r="R36" s="44">
        <v>1.2943</v>
      </c>
      <c r="S36" s="44">
        <v>1.3213999999999999</v>
      </c>
      <c r="T36" s="44">
        <v>1.3862000000000001</v>
      </c>
      <c r="U36" s="49">
        <f>H36*4-T36-S36-R36</f>
        <v>1.3661000000000001</v>
      </c>
      <c r="V36" s="44">
        <v>1.3063</v>
      </c>
      <c r="W36" s="44">
        <v>1.2774000000000001</v>
      </c>
      <c r="AA36" s="15"/>
      <c r="AB36" s="38"/>
      <c r="AC36" s="38"/>
      <c r="AD36" s="38"/>
      <c r="AE36" s="38"/>
      <c r="AF36" s="38"/>
      <c r="AG36" s="38"/>
    </row>
    <row r="37" spans="1:41" x14ac:dyDescent="0.2">
      <c r="A37" s="33"/>
      <c r="B37" s="33"/>
      <c r="E37" s="42" t="s">
        <v>558</v>
      </c>
      <c r="F37" s="43">
        <f t="shared" ref="F37:H37" si="50">SUM(F35:F36)</f>
        <v>3.1819000000000002</v>
      </c>
      <c r="G37" s="43">
        <f t="shared" si="50"/>
        <v>3.7206999999999999</v>
      </c>
      <c r="H37" s="43">
        <f t="shared" si="50"/>
        <v>4.1493000000000002</v>
      </c>
      <c r="J37" s="43">
        <f t="shared" ref="J37:U37" si="51">SUM(J35:J36)</f>
        <v>3.0072000000000001</v>
      </c>
      <c r="K37" s="43">
        <f t="shared" si="51"/>
        <v>3.0207000000000002</v>
      </c>
      <c r="L37" s="43">
        <f t="shared" si="51"/>
        <v>3.2902999999999998</v>
      </c>
      <c r="M37" s="43">
        <f t="shared" si="51"/>
        <v>3.4094000000000007</v>
      </c>
      <c r="N37" s="43">
        <f t="shared" si="51"/>
        <v>3.4598</v>
      </c>
      <c r="O37" s="43">
        <f t="shared" si="51"/>
        <v>3.6333000000000002</v>
      </c>
      <c r="P37" s="43">
        <f t="shared" si="51"/>
        <v>3.8205</v>
      </c>
      <c r="Q37" s="43">
        <f t="shared" si="51"/>
        <v>3.9691999999999981</v>
      </c>
      <c r="R37" s="43">
        <f t="shared" si="51"/>
        <v>4.0243000000000002</v>
      </c>
      <c r="S37" s="43">
        <f t="shared" si="51"/>
        <v>4.1386000000000003</v>
      </c>
      <c r="T37" s="43">
        <f t="shared" si="51"/>
        <v>4.2554999999999996</v>
      </c>
      <c r="U37" s="43">
        <f t="shared" si="51"/>
        <v>4.1787999999999998</v>
      </c>
      <c r="V37" s="43">
        <f>SUM(V35:V36)</f>
        <v>4.0147000000000004</v>
      </c>
      <c r="W37" s="43">
        <f>SUM(W35:W36)</f>
        <v>3.7772000000000001</v>
      </c>
      <c r="Z37" t="s">
        <v>29</v>
      </c>
      <c r="AA37" s="15">
        <v>0.1</v>
      </c>
      <c r="AB37" s="15">
        <f>AA37</f>
        <v>0.1</v>
      </c>
      <c r="AC37" s="15">
        <f t="shared" ref="AC37:AE37" si="52">AB37</f>
        <v>0.1</v>
      </c>
      <c r="AD37" s="15">
        <f t="shared" si="52"/>
        <v>0.1</v>
      </c>
      <c r="AE37" s="15">
        <f t="shared" si="52"/>
        <v>0.1</v>
      </c>
      <c r="AF37" s="15">
        <f>AE37-AF39</f>
        <v>0.08</v>
      </c>
      <c r="AG37" s="38"/>
    </row>
    <row r="38" spans="1:41" ht="1.5" customHeight="1" x14ac:dyDescent="0.2">
      <c r="A38" s="33"/>
      <c r="B38" s="33"/>
      <c r="F38" s="47"/>
      <c r="G38" s="47"/>
      <c r="H38" s="4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AA38" s="38"/>
      <c r="AB38" s="38"/>
      <c r="AC38" s="38"/>
      <c r="AD38" s="38"/>
      <c r="AE38" s="15"/>
      <c r="AF38" s="38"/>
      <c r="AG38" s="38"/>
    </row>
    <row r="39" spans="1:41" x14ac:dyDescent="0.2">
      <c r="A39" s="33"/>
      <c r="B39" s="33"/>
      <c r="E39" s="3" t="s">
        <v>564</v>
      </c>
      <c r="F39" s="44">
        <v>28.9</v>
      </c>
      <c r="G39" s="44">
        <v>27.97</v>
      </c>
      <c r="H39" s="44">
        <v>25.72</v>
      </c>
      <c r="J39" s="44">
        <v>28.99</v>
      </c>
      <c r="K39" s="44">
        <v>29.18</v>
      </c>
      <c r="L39" s="44">
        <v>28.84</v>
      </c>
      <c r="M39" s="49">
        <f>+M11/M35/3</f>
        <v>28.642803541948055</v>
      </c>
      <c r="N39" s="44">
        <v>27.93</v>
      </c>
      <c r="O39" s="44">
        <v>28.21</v>
      </c>
      <c r="P39" s="44">
        <v>28.38</v>
      </c>
      <c r="Q39" s="49">
        <f>+Q11/Q35/3</f>
        <v>27.371873566211594</v>
      </c>
      <c r="R39" s="44">
        <v>26.34</v>
      </c>
      <c r="S39" s="44">
        <v>25.79</v>
      </c>
      <c r="T39" s="44">
        <v>25.58</v>
      </c>
      <c r="U39" s="49">
        <f>+U11/U35/3</f>
        <v>25.166802953271471</v>
      </c>
      <c r="V39" s="44">
        <v>24.84</v>
      </c>
      <c r="W39" s="44">
        <v>26.85</v>
      </c>
      <c r="Z39" t="s">
        <v>574</v>
      </c>
      <c r="AE39" s="15"/>
      <c r="AF39" s="15">
        <v>0.02</v>
      </c>
      <c r="AG39" s="38"/>
    </row>
    <row r="40" spans="1:41" x14ac:dyDescent="0.2">
      <c r="A40" s="33"/>
      <c r="B40" s="33"/>
      <c r="E40" s="3" t="s">
        <v>565</v>
      </c>
      <c r="F40" s="44">
        <v>13.06</v>
      </c>
      <c r="G40" s="44">
        <v>12.7</v>
      </c>
      <c r="H40" s="44">
        <v>11.85</v>
      </c>
      <c r="J40" s="44">
        <v>13.48</v>
      </c>
      <c r="K40" s="44">
        <v>13.56</v>
      </c>
      <c r="L40" s="44">
        <v>12.75</v>
      </c>
      <c r="M40" s="49">
        <f>+M12/M36/3</f>
        <v>14.24352070010098</v>
      </c>
      <c r="N40" s="44">
        <v>12.47</v>
      </c>
      <c r="O40" s="44">
        <v>12.83</v>
      </c>
      <c r="P40" s="44">
        <v>12.79</v>
      </c>
      <c r="Q40" s="49">
        <f>+Q12/Q36/3</f>
        <v>13.764733432206702</v>
      </c>
      <c r="R40" s="44">
        <v>12.35</v>
      </c>
      <c r="S40" s="44">
        <v>11.93</v>
      </c>
      <c r="T40" s="44">
        <v>12.03</v>
      </c>
      <c r="U40" s="49">
        <f>+U12/U36/3</f>
        <v>12.026449991459875</v>
      </c>
      <c r="V40" s="44">
        <v>10.72</v>
      </c>
      <c r="W40" s="44">
        <v>11.57</v>
      </c>
      <c r="Z40" t="s">
        <v>573</v>
      </c>
      <c r="AA40" s="54">
        <f>1/(1+AA37)^AA9</f>
        <v>0.90909090909090906</v>
      </c>
      <c r="AB40" s="54">
        <f>1/(1+AB37)^AB9</f>
        <v>0.82644628099173545</v>
      </c>
      <c r="AC40" s="54">
        <f>1/(1+AC37)^AC9</f>
        <v>0.75131480090157754</v>
      </c>
      <c r="AD40" s="54">
        <f>1/(1+AD37)^AD9</f>
        <v>0.68301345536507052</v>
      </c>
      <c r="AE40" s="54">
        <f>1/(1+AE37)^AE9</f>
        <v>0.62092132305915493</v>
      </c>
      <c r="AF40" s="38">
        <f>AE40/AF37</f>
        <v>7.7615165382394364</v>
      </c>
      <c r="AG40" s="38"/>
    </row>
    <row r="41" spans="1:41" x14ac:dyDescent="0.2">
      <c r="A41" s="33"/>
      <c r="B41" s="33"/>
      <c r="E41" s="42" t="s">
        <v>566</v>
      </c>
      <c r="F41" s="43">
        <f>F35/F37*F39+F36/F37*F40</f>
        <v>23.027267355982275</v>
      </c>
      <c r="G41" s="43">
        <f>G35/G37*G39+G36/G37*G40</f>
        <v>23.031576853817832</v>
      </c>
      <c r="H41" s="43">
        <f>H35/H37*H39+H36/H37*H40</f>
        <v>21.23405297279059</v>
      </c>
      <c r="J41" s="43">
        <f>J35/J37*J39+J36/J37*J40</f>
        <v>22.635810055865921</v>
      </c>
      <c r="K41" s="43">
        <f>K35/K37*K39+K36/K37*K40</f>
        <v>23.511564206971897</v>
      </c>
      <c r="L41" s="43">
        <f>L35/L37*L39+L36/L37*L40</f>
        <v>22.961083791751513</v>
      </c>
      <c r="M41" s="43">
        <f>M35/M37*M39+M36/M37*M40</f>
        <v>23.623707006120327</v>
      </c>
      <c r="N41" s="43">
        <f>N35/N37*N39+N36/N37*N40</f>
        <v>22.83147985432684</v>
      </c>
      <c r="O41" s="43">
        <f>O35/O37*O39+O36/O37*O40</f>
        <v>23.234030495692622</v>
      </c>
      <c r="P41" s="43">
        <f>P35/P37*P39+P36/P37*P40</f>
        <v>23.419601099332546</v>
      </c>
      <c r="Q41" s="43">
        <f>Q35/Q37*Q39+Q36/Q37*Q40</f>
        <v>22.98002956095268</v>
      </c>
      <c r="R41" s="43">
        <f>R35/R37*R39+R36/R37*R40</f>
        <v>21.840520090450511</v>
      </c>
      <c r="S41" s="43">
        <f>S35/S37*S39+S36/S37*S40</f>
        <v>21.364686125743003</v>
      </c>
      <c r="T41" s="43">
        <f>T35/T37*T39+T36/T37*T40</f>
        <v>21.166180237339915</v>
      </c>
      <c r="U41" s="43">
        <f>U35/U37*U39+U36/U37*U40</f>
        <v>20.871063463195178</v>
      </c>
      <c r="V41" s="43">
        <f>V35/V37*V39+V36/V37*V40</f>
        <v>20.245645253692679</v>
      </c>
      <c r="W41" s="43">
        <f>W35/W37*W39+W36/W37*W40</f>
        <v>21.682502382717356</v>
      </c>
      <c r="AA41" s="38">
        <f ca="1">+AA40*AA27</f>
        <v>130.72363636363636</v>
      </c>
      <c r="AB41" s="38">
        <f t="shared" ref="AB41:AF41" ca="1" si="53">+AB40*AB27</f>
        <v>121.85909421487601</v>
      </c>
      <c r="AC41" s="38">
        <f t="shared" ca="1" si="53"/>
        <v>78.086817190082641</v>
      </c>
      <c r="AD41" s="38">
        <f t="shared" ca="1" si="53"/>
        <v>72.772907419984946</v>
      </c>
      <c r="AE41" s="38">
        <f t="shared" ca="1" si="53"/>
        <v>67.812270044068001</v>
      </c>
      <c r="AF41" s="38">
        <f t="shared" ca="1" si="53"/>
        <v>864.60644306186703</v>
      </c>
      <c r="AG41" s="38"/>
    </row>
    <row r="42" spans="1:41" x14ac:dyDescent="0.2">
      <c r="A42" s="33"/>
      <c r="B42" s="33"/>
      <c r="F42" s="12"/>
      <c r="G42" s="12"/>
      <c r="H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5"/>
      <c r="AA42" s="38"/>
      <c r="AB42" s="38"/>
      <c r="AC42" s="38"/>
      <c r="AD42" s="38"/>
      <c r="AE42" s="38"/>
      <c r="AF42" s="38"/>
      <c r="AG42" s="38"/>
    </row>
    <row r="43" spans="1:41" x14ac:dyDescent="0.2">
      <c r="A43" s="33"/>
      <c r="B43" s="33"/>
      <c r="E43" s="3" t="s">
        <v>561</v>
      </c>
      <c r="F43" s="15" t="str">
        <f>IFERROR(+F35/E35-1,"n/a")</f>
        <v>n/a</v>
      </c>
      <c r="G43" s="15">
        <f>IFERROR(+G35/F35-1,"n/a")</f>
        <v>0.25731695135351096</v>
      </c>
      <c r="H43" s="15">
        <f>IFERROR(+H35/G35-1,"n/a")</f>
        <v>0.11515849686184176</v>
      </c>
      <c r="J43" s="15" t="str">
        <f>IFERROR(+J35/I35-1,"n/a")</f>
        <v>n/a</v>
      </c>
      <c r="K43" s="15">
        <f>IFERROR(+K35/J35-1,"n/a")</f>
        <v>8.4103199639477433E-2</v>
      </c>
      <c r="L43" s="15">
        <f>IFERROR(+L35/K35-1,"n/a")</f>
        <v>8.5009093270979275E-2</v>
      </c>
      <c r="M43" s="15">
        <f>IFERROR(+M35/L35-1,"n/a")</f>
        <v>6.3646377089220385E-2</v>
      </c>
      <c r="N43" s="15">
        <f>IFERROR(+N35/M35-1,"n/a")</f>
        <v>4.4034218820350635E-2</v>
      </c>
      <c r="O43" s="15">
        <f>IFERROR(+O35/N35-1,"n/a")</f>
        <v>5.9944799033983198E-2</v>
      </c>
      <c r="P43" s="15">
        <f>IFERROR(+P35/O35-1,"n/a")</f>
        <v>5.9850272601513543E-2</v>
      </c>
      <c r="Q43" s="15">
        <f>IFERROR(+Q35/P35-1,"n/a")</f>
        <v>3.1939805750699879E-2</v>
      </c>
      <c r="R43" s="15">
        <f>IFERROR(+R35/Q35-1,"n/a")</f>
        <v>1.5587217737436099E-2</v>
      </c>
      <c r="S43" s="15">
        <f>IFERROR(+S35/R35-1,"n/a")</f>
        <v>3.1941391941392006E-2</v>
      </c>
      <c r="T43" s="15">
        <f>IFERROR(+T35/S35-1,"n/a")</f>
        <v>1.8493539684793392E-2</v>
      </c>
      <c r="U43" s="15">
        <f>IFERROR(+U35/T35-1,"n/a")</f>
        <v>-1.9726065590910724E-2</v>
      </c>
      <c r="V43" s="15">
        <f>IFERROR(+V35/U35-1,"n/a")</f>
        <v>-3.7081807515909948E-2</v>
      </c>
      <c r="W43" s="15">
        <f>IFERROR(+W35/V35-1,"n/a")</f>
        <v>-7.7019642593413096E-2</v>
      </c>
      <c r="Z43" t="s">
        <v>575</v>
      </c>
      <c r="AA43" s="38">
        <f ca="1">+SUM(AA41:AF41)</f>
        <v>1335.861168294515</v>
      </c>
    </row>
    <row r="44" spans="1:41" x14ac:dyDescent="0.2">
      <c r="A44" s="33"/>
      <c r="B44" s="33"/>
      <c r="E44" s="3" t="s">
        <v>562</v>
      </c>
      <c r="F44" s="15" t="str">
        <f>IFERROR(+F36/E36-1,"n/a")</f>
        <v>n/a</v>
      </c>
      <c r="G44" s="15">
        <f>IFERROR(+G36/F36-1,"n/a")</f>
        <v>2.000508603882345E-2</v>
      </c>
      <c r="H44" s="15">
        <f>IFERROR(+H36/G36-1,"n/a")</f>
        <v>0.11526635086844506</v>
      </c>
      <c r="J44" s="15" t="str">
        <f>IFERROR(+J36/I36-1,"n/a")</f>
        <v>n/a</v>
      </c>
      <c r="K44" s="15">
        <f>IFERROR(+K36/J36-1,"n/a")</f>
        <v>-0.11022727272727262</v>
      </c>
      <c r="L44" s="15">
        <f>IFERROR(+L36/K36-1,"n/a")</f>
        <v>9.6697682904579363E-2</v>
      </c>
      <c r="M44" s="15">
        <f>IFERROR(+M36/L36-1,"n/a")</f>
        <v>-1.1478955248710676E-2</v>
      </c>
      <c r="N44" s="15">
        <f>IFERROR(+N36/M36-1,"n/a")</f>
        <v>-3.9885560417367794E-2</v>
      </c>
      <c r="O44" s="15">
        <f>IFERROR(+O36/N36-1,"n/a")</f>
        <v>3.0236634531113138E-2</v>
      </c>
      <c r="P44" s="15">
        <f>IFERROR(+P36/O36-1,"n/a")</f>
        <v>3.4113143343258212E-2</v>
      </c>
      <c r="Q44" s="15">
        <f>IFERROR(+Q36/P36-1,"n/a")</f>
        <v>5.388285620269806E-2</v>
      </c>
      <c r="R44" s="15">
        <f>IFERROR(+R36/Q36-1,"n/a")</f>
        <v>1.03036453048162E-2</v>
      </c>
      <c r="S44" s="15">
        <f>IFERROR(+S36/R36-1,"n/a")</f>
        <v>2.0937958742177187E-2</v>
      </c>
      <c r="T44" s="15">
        <f>IFERROR(+T36/S36-1,"n/a")</f>
        <v>4.9038898138338283E-2</v>
      </c>
      <c r="U44" s="15">
        <f>IFERROR(+U36/T36-1,"n/a")</f>
        <v>-1.4500072139662423E-2</v>
      </c>
      <c r="V44" s="15">
        <f>IFERROR(+V36/U36-1,"n/a")</f>
        <v>-4.3774247858868409E-2</v>
      </c>
      <c r="W44" s="15">
        <f>IFERROR(+W36/V36-1,"n/a")</f>
        <v>-2.2123555079231361E-2</v>
      </c>
    </row>
    <row r="45" spans="1:41" x14ac:dyDescent="0.2">
      <c r="A45" s="33"/>
      <c r="B45" s="33"/>
      <c r="E45" s="42" t="s">
        <v>563</v>
      </c>
      <c r="F45" s="52" t="str">
        <f>IFERROR(+F37/E37-1,"n/a")</f>
        <v>n/a</v>
      </c>
      <c r="G45" s="52">
        <f>IFERROR(+G37/F37-1,"n/a")</f>
        <v>0.16933278858543632</v>
      </c>
      <c r="H45" s="52">
        <f>IFERROR(+H37/G37-1,"n/a")</f>
        <v>0.11519337759023851</v>
      </c>
      <c r="J45" s="52" t="str">
        <f>IFERROR(+J37/I37-1,"n/a")</f>
        <v>n/a</v>
      </c>
      <c r="K45" s="52">
        <f>IFERROR(+K37/J37-1,"n/a")</f>
        <v>4.4892258579409816E-3</v>
      </c>
      <c r="L45" s="52">
        <f>IFERROR(+L37/K37-1,"n/a")</f>
        <v>8.9250835898963654E-2</v>
      </c>
      <c r="M45" s="52">
        <f>IFERROR(+M37/L37-1,"n/a")</f>
        <v>3.619730723642256E-2</v>
      </c>
      <c r="N45" s="52">
        <f>IFERROR(+N37/M37-1,"n/a")</f>
        <v>1.4782659705519841E-2</v>
      </c>
      <c r="O45" s="52">
        <f>IFERROR(+O37/N37-1,"n/a")</f>
        <v>5.014740736458756E-2</v>
      </c>
      <c r="P45" s="52">
        <f>IFERROR(+P37/O37-1,"n/a")</f>
        <v>5.1523408471637389E-2</v>
      </c>
      <c r="Q45" s="52">
        <f>IFERROR(+Q37/P37-1,"n/a")</f>
        <v>3.8921607119486445E-2</v>
      </c>
      <c r="R45" s="52">
        <f>IFERROR(+R37/Q37-1,"n/a")</f>
        <v>1.3881890557291721E-2</v>
      </c>
      <c r="S45" s="52">
        <f>IFERROR(+S37/R37-1,"n/a")</f>
        <v>2.8402455085356548E-2</v>
      </c>
      <c r="T45" s="52">
        <f>IFERROR(+T37/S37-1,"n/a")</f>
        <v>2.824626685352527E-2</v>
      </c>
      <c r="U45" s="52">
        <f>IFERROR(+U37/T37-1,"n/a")</f>
        <v>-1.8023733991305302E-2</v>
      </c>
      <c r="V45" s="52">
        <f>IFERROR(+V37/U37-1,"n/a")</f>
        <v>-3.9269646788551604E-2</v>
      </c>
      <c r="W45" s="52">
        <f>IFERROR(+W37/V37-1,"n/a")</f>
        <v>-5.9157595835305332E-2</v>
      </c>
      <c r="Z45" t="s">
        <v>576</v>
      </c>
      <c r="AA45" s="38">
        <f ca="1">AA43/W78</f>
        <v>12.850769202744933</v>
      </c>
    </row>
    <row r="46" spans="1:41" x14ac:dyDescent="0.2">
      <c r="A46" s="33"/>
      <c r="B46" s="33"/>
      <c r="E46" s="3"/>
      <c r="F46" s="12"/>
      <c r="G46" s="12"/>
      <c r="H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AI46" s="2" t="s">
        <v>578</v>
      </c>
    </row>
    <row r="47" spans="1:41" x14ac:dyDescent="0.2">
      <c r="A47" s="33"/>
      <c r="B47" s="33"/>
      <c r="E47" s="3" t="s">
        <v>567</v>
      </c>
      <c r="F47" s="15" t="str">
        <f t="shared" ref="F47:F49" si="54">IFERROR(+F39/E39-1,"n/a")</f>
        <v>n/a</v>
      </c>
      <c r="G47" s="15">
        <f t="shared" ref="G47:G49" si="55">IFERROR(+G39/F39-1,"n/a")</f>
        <v>-3.2179930795847689E-2</v>
      </c>
      <c r="H47" s="15">
        <f t="shared" ref="H47:H49" si="56">IFERROR(+H39/G39-1,"n/a")</f>
        <v>-8.0443332141580282E-2</v>
      </c>
      <c r="J47" s="15" t="str">
        <f t="shared" ref="J47:J49" si="57">IFERROR(+J39/I39-1,"n/a")</f>
        <v>n/a</v>
      </c>
      <c r="K47" s="15">
        <f t="shared" ref="K47:U49" si="58">IFERROR(+K39/J39-1,"n/a")</f>
        <v>6.553984132459556E-3</v>
      </c>
      <c r="L47" s="15">
        <f t="shared" si="58"/>
        <v>-1.1651816312542862E-2</v>
      </c>
      <c r="M47" s="15">
        <f t="shared" si="58"/>
        <v>-6.8376025676818442E-3</v>
      </c>
      <c r="N47" s="15">
        <f t="shared" si="58"/>
        <v>-2.48859557656127E-2</v>
      </c>
      <c r="O47" s="15">
        <f t="shared" si="58"/>
        <v>1.0025062656641603E-2</v>
      </c>
      <c r="P47" s="15">
        <f t="shared" si="58"/>
        <v>6.0262318326833597E-3</v>
      </c>
      <c r="Q47" s="15">
        <f t="shared" si="58"/>
        <v>-3.5522425432995219E-2</v>
      </c>
      <c r="R47" s="15">
        <f t="shared" si="58"/>
        <v>-3.7698316986432334E-2</v>
      </c>
      <c r="S47" s="15">
        <f t="shared" si="58"/>
        <v>-2.0880789673500377E-2</v>
      </c>
      <c r="T47" s="15">
        <f t="shared" si="58"/>
        <v>-8.1426909654905844E-3</v>
      </c>
      <c r="U47" s="15">
        <f t="shared" si="58"/>
        <v>-1.6153129270075284E-2</v>
      </c>
      <c r="V47" s="15">
        <f>IFERROR(+V39/U39-1,"n/a")</f>
        <v>-1.2985477491052944E-2</v>
      </c>
      <c r="W47" s="15">
        <f>IFERROR(+W39/V39-1,"n/a")</f>
        <v>8.0917874396135403E-2</v>
      </c>
      <c r="AI47" s="62"/>
      <c r="AJ47" s="62"/>
      <c r="AK47" s="56" t="s">
        <v>577</v>
      </c>
      <c r="AL47" s="56"/>
      <c r="AM47" s="56"/>
      <c r="AN47" s="56"/>
      <c r="AO47" s="56"/>
    </row>
    <row r="48" spans="1:41" x14ac:dyDescent="0.2">
      <c r="A48" s="33"/>
      <c r="B48" s="33"/>
      <c r="E48" s="3" t="s">
        <v>568</v>
      </c>
      <c r="F48" s="15" t="str">
        <f t="shared" si="54"/>
        <v>n/a</v>
      </c>
      <c r="G48" s="15">
        <f t="shared" si="55"/>
        <v>-2.7565084226646386E-2</v>
      </c>
      <c r="H48" s="15">
        <f t="shared" si="56"/>
        <v>-6.6929133858267709E-2</v>
      </c>
      <c r="J48" s="15" t="str">
        <f t="shared" si="57"/>
        <v>n/a</v>
      </c>
      <c r="K48" s="15">
        <f t="shared" si="58"/>
        <v>5.9347181008901906E-3</v>
      </c>
      <c r="L48" s="15">
        <f t="shared" si="58"/>
        <v>-5.9734513274336321E-2</v>
      </c>
      <c r="M48" s="15">
        <f t="shared" si="58"/>
        <v>0.1171388784392926</v>
      </c>
      <c r="N48" s="15">
        <f t="shared" si="58"/>
        <v>-0.12451420806994762</v>
      </c>
      <c r="O48" s="15">
        <f t="shared" si="58"/>
        <v>2.8869286287088958E-2</v>
      </c>
      <c r="P48" s="15">
        <f t="shared" si="58"/>
        <v>-3.1176929072487258E-3</v>
      </c>
      <c r="Q48" s="15">
        <f t="shared" si="58"/>
        <v>7.6210588913737443E-2</v>
      </c>
      <c r="R48" s="15">
        <f t="shared" si="58"/>
        <v>-0.10277957355109479</v>
      </c>
      <c r="S48" s="15">
        <f t="shared" si="58"/>
        <v>-3.4008097165991846E-2</v>
      </c>
      <c r="T48" s="15">
        <f t="shared" si="58"/>
        <v>8.3822296730931001E-3</v>
      </c>
      <c r="U48" s="15">
        <f t="shared" si="58"/>
        <v>-2.9509630424973121E-4</v>
      </c>
      <c r="V48" s="15">
        <f>IFERROR(+V40/U40-1,"n/a")</f>
        <v>-0.10863139100795338</v>
      </c>
      <c r="W48" s="15">
        <f>IFERROR(+W40/V40-1,"n/a")</f>
        <v>7.9291044776119257E-2</v>
      </c>
      <c r="AI48" s="62"/>
      <c r="AJ48" s="61">
        <f ca="1">AA45</f>
        <v>12.850769202744933</v>
      </c>
      <c r="AK48" s="57">
        <f>AL48-0.01</f>
        <v>0</v>
      </c>
      <c r="AL48" s="57">
        <f>AM48-0.01</f>
        <v>0.01</v>
      </c>
      <c r="AM48" s="63">
        <v>0.02</v>
      </c>
      <c r="AN48" s="57">
        <f>+AM48+0.01</f>
        <v>0.03</v>
      </c>
      <c r="AO48" s="57">
        <f>+AN48+0.01</f>
        <v>0.04</v>
      </c>
    </row>
    <row r="49" spans="1:41" x14ac:dyDescent="0.2">
      <c r="A49" s="33"/>
      <c r="B49" s="33"/>
      <c r="E49" s="42" t="s">
        <v>569</v>
      </c>
      <c r="F49" s="52" t="str">
        <f t="shared" si="54"/>
        <v>n/a</v>
      </c>
      <c r="G49" s="52">
        <f t="shared" si="55"/>
        <v>1.8714760066562697E-4</v>
      </c>
      <c r="H49" s="52">
        <f t="shared" si="56"/>
        <v>-7.8046062257750903E-2</v>
      </c>
      <c r="J49" s="52" t="str">
        <f t="shared" si="57"/>
        <v>n/a</v>
      </c>
      <c r="K49" s="52">
        <f t="shared" si="58"/>
        <v>3.8688880536839054E-2</v>
      </c>
      <c r="L49" s="52">
        <f t="shared" si="58"/>
        <v>-2.3413177038095645E-2</v>
      </c>
      <c r="M49" s="52">
        <f t="shared" si="58"/>
        <v>2.885853387316395E-2</v>
      </c>
      <c r="N49" s="52">
        <f t="shared" si="58"/>
        <v>-3.3535259795943073E-2</v>
      </c>
      <c r="O49" s="52">
        <f t="shared" si="58"/>
        <v>1.7631386311102171E-2</v>
      </c>
      <c r="P49" s="52">
        <f t="shared" si="58"/>
        <v>7.9870173052551952E-3</v>
      </c>
      <c r="Q49" s="52">
        <f t="shared" si="58"/>
        <v>-1.8769386229742113E-2</v>
      </c>
      <c r="R49" s="52">
        <f t="shared" si="58"/>
        <v>-4.9586945372707691E-2</v>
      </c>
      <c r="S49" s="52">
        <f t="shared" si="58"/>
        <v>-2.1786750623926765E-2</v>
      </c>
      <c r="T49" s="52">
        <f t="shared" si="58"/>
        <v>-9.2913084346182284E-3</v>
      </c>
      <c r="U49" s="52">
        <f t="shared" si="58"/>
        <v>-1.3942845182056685E-2</v>
      </c>
      <c r="V49" s="52">
        <f>IFERROR(+V41/U41-1,"n/a")</f>
        <v>-2.9965804598571788E-2</v>
      </c>
      <c r="W49" s="52">
        <f>IFERROR(+W41/V41-1,"n/a")</f>
        <v>7.0971169899492592E-2</v>
      </c>
      <c r="AI49" s="55" t="s">
        <v>42</v>
      </c>
      <c r="AJ49" s="57">
        <f>+AJ50-0.01</f>
        <v>0.21</v>
      </c>
      <c r="AK49" s="59">
        <f t="dataTable" ref="AK49:AO53" dt2D="1" dtr="1" r1="AB29" r2="AA30" ca="1"/>
        <v>10.571448171006207</v>
      </c>
      <c r="AL49" s="59">
        <v>11.00659794660103</v>
      </c>
      <c r="AM49" s="59">
        <v>11.45389879415962</v>
      </c>
      <c r="AN49" s="59">
        <v>11.913584652566493</v>
      </c>
      <c r="AO49" s="59">
        <v>12.385891720985244</v>
      </c>
    </row>
    <row r="50" spans="1:41" x14ac:dyDescent="0.2">
      <c r="A50" s="33"/>
      <c r="B50" s="33"/>
      <c r="F50" s="12"/>
      <c r="G50" s="12"/>
      <c r="H50" s="12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AI50" s="55"/>
      <c r="AJ50" s="57">
        <f>+AJ51-0.01</f>
        <v>0.22</v>
      </c>
      <c r="AK50" s="59">
        <v>11.227861917053463</v>
      </c>
      <c r="AL50" s="58">
        <v>11.683733110533757</v>
      </c>
      <c r="AM50" s="58">
        <v>12.152333998452278</v>
      </c>
      <c r="AN50" s="58">
        <v>12.633909659640427</v>
      </c>
      <c r="AO50" s="59">
        <v>13.128707540841024</v>
      </c>
    </row>
    <row r="51" spans="1:41" x14ac:dyDescent="0.2">
      <c r="A51" s="33" t="s">
        <v>546</v>
      </c>
      <c r="B51" s="33"/>
      <c r="E51" s="4" t="s">
        <v>16</v>
      </c>
      <c r="F51" s="13">
        <f ca="1">SUMIFS(INDIRECT("'is_fy" &amp; F$2 &amp; F$1 &amp; "'!E:E"), INDIRECT("'is_fy" &amp; F$2 &amp; F$1 &amp; "'!A:A"), $A51) / $B$3</f>
        <v>-79.745999999999995</v>
      </c>
      <c r="G51" s="13">
        <f ca="1">SUMIFS(INDIRECT("'is_fy" &amp; G$2 &amp; G$1 &amp; "'!E:E"), INDIRECT("'is_fy" &amp; G$2 &amp; G$1 &amp; "'!A:A"), $A51) / $B$3</f>
        <v>-4.2130000000000001</v>
      </c>
      <c r="H51" s="13">
        <f ca="1">SUMIFS(INDIRECT("'is_fy" &amp; H$2 &amp; H$1 &amp; "'!E:E"), INDIRECT("'is_fy" &amp; H$2 &amp; H$1 &amp; "'!A:A"), $A51) / $B$3</f>
        <v>-557.00800000000004</v>
      </c>
      <c r="J51" s="51">
        <f t="shared" ref="J51:T51" ca="1" si="59">SUMIFS(INDIRECT("'is_q" &amp; J$2 &amp; J$1 &amp; "'!E:E"), INDIRECT("'is_q" &amp; J$2 &amp; J$1 &amp; "'!A:A"), $A51) / $B$3</f>
        <v>16.395</v>
      </c>
      <c r="K51" s="51">
        <f t="shared" ca="1" si="59"/>
        <v>-4.3920000000000003</v>
      </c>
      <c r="L51" s="51">
        <f t="shared" ca="1" si="59"/>
        <v>18.062999999999999</v>
      </c>
      <c r="M51" s="51"/>
      <c r="N51" s="51">
        <f t="shared" ca="1" si="59"/>
        <v>-1.611</v>
      </c>
      <c r="O51" s="51">
        <f t="shared" ca="1" si="59"/>
        <v>6.7530000000000001</v>
      </c>
      <c r="P51" s="51">
        <f t="shared" ca="1" si="59"/>
        <v>16.670999999999999</v>
      </c>
      <c r="Q51" s="51"/>
      <c r="R51" s="51">
        <f t="shared" ca="1" si="59"/>
        <v>24.617000000000001</v>
      </c>
      <c r="S51" s="51">
        <f t="shared" ca="1" si="59"/>
        <v>27.395</v>
      </c>
      <c r="T51" s="51">
        <f t="shared" ca="1" si="59"/>
        <v>-613.19899999999996</v>
      </c>
      <c r="U51" s="51"/>
      <c r="V51" s="51">
        <f ca="1">SUMIFS(INDIRECT("'is_q" &amp; V$2 &amp; V$1 &amp; "'!E:E"), INDIRECT("'is_q" &amp; V$2 &amp; V$1 &amp; "'!A:A"), $A51) / $B$3</f>
        <v>13.444000000000001</v>
      </c>
      <c r="W51" s="51">
        <v>-253.744</v>
      </c>
      <c r="AI51" s="55"/>
      <c r="AJ51" s="63">
        <v>0.23</v>
      </c>
      <c r="AK51" s="59">
        <v>11.884275663100722</v>
      </c>
      <c r="AL51" s="58">
        <v>12.360868274466476</v>
      </c>
      <c r="AM51" s="60">
        <v>12.850769202744933</v>
      </c>
      <c r="AN51" s="58">
        <v>13.354234666714365</v>
      </c>
      <c r="AO51" s="59">
        <v>13.871523360696806</v>
      </c>
    </row>
    <row r="52" spans="1:41" x14ac:dyDescent="0.2">
      <c r="A52" s="33"/>
      <c r="B52" s="33"/>
      <c r="C52" s="11" t="b" cm="1">
        <f t="array" aca="1" ref="C52" ca="1">AND(F52:X52&lt;$B$1,F52:X52&gt;-$B$1)</f>
        <v>0</v>
      </c>
      <c r="E52" s="4" t="s">
        <v>15</v>
      </c>
      <c r="F52" s="13">
        <f ca="1">+F51-F27</f>
        <v>0</v>
      </c>
      <c r="G52" s="13">
        <f ca="1">+G51-G27</f>
        <v>1.1457501614131615E-13</v>
      </c>
      <c r="H52" s="13">
        <f ca="1">+H51-H27</f>
        <v>0</v>
      </c>
      <c r="J52" s="34">
        <f ca="1">+J51-J27</f>
        <v>1.1690000000000396</v>
      </c>
      <c r="K52" s="34">
        <f ca="1">+K51-K27</f>
        <v>1.248000000000018</v>
      </c>
      <c r="L52" s="34">
        <f ca="1">+L51-L27</f>
        <v>0</v>
      </c>
      <c r="M52" s="34">
        <f ca="1">F27-SUM(J27:M27)</f>
        <v>0</v>
      </c>
      <c r="N52" s="34">
        <f ca="1">+N51-N27</f>
        <v>1.4432899320127035E-14</v>
      </c>
      <c r="O52" s="34">
        <f ca="1">+O51-O27</f>
        <v>-2.6645352591003757E-14</v>
      </c>
      <c r="P52" s="34">
        <f ca="1">+P51-P27</f>
        <v>0</v>
      </c>
      <c r="Q52" s="34">
        <f ca="1">G27-SUM(N27:Q27)</f>
        <v>-2.0605739337042905E-13</v>
      </c>
      <c r="R52" s="34">
        <f ca="1">+R51-R27</f>
        <v>0</v>
      </c>
      <c r="S52" s="34">
        <f ca="1">+S51-S27</f>
        <v>0</v>
      </c>
      <c r="T52" s="34">
        <f ca="1">+T51-T27</f>
        <v>0</v>
      </c>
      <c r="U52" s="34">
        <f ca="1">H27-SUM(R27:U27)</f>
        <v>0</v>
      </c>
      <c r="V52" s="34">
        <f ca="1">+V51-V27</f>
        <v>2.3092638912203256E-14</v>
      </c>
      <c r="W52" s="34">
        <f>+W51-W27</f>
        <v>2.8999999999996362E-2</v>
      </c>
      <c r="AI52" s="55"/>
      <c r="AJ52" s="57">
        <f>+AJ51+0.01</f>
        <v>0.24000000000000002</v>
      </c>
      <c r="AK52" s="59">
        <v>12.540689409147976</v>
      </c>
      <c r="AL52" s="58">
        <v>13.038003438399199</v>
      </c>
      <c r="AM52" s="58">
        <v>13.549204407037591</v>
      </c>
      <c r="AN52" s="58">
        <v>14.074559673788302</v>
      </c>
      <c r="AO52" s="59">
        <v>14.614339180552591</v>
      </c>
    </row>
    <row r="53" spans="1:41" x14ac:dyDescent="0.2">
      <c r="A53" s="33"/>
      <c r="B53" s="33"/>
      <c r="F53" s="12"/>
      <c r="G53" s="12"/>
      <c r="H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AI53" s="55"/>
      <c r="AJ53" s="57">
        <f>+AJ52+0.01</f>
        <v>0.25</v>
      </c>
      <c r="AK53" s="59">
        <v>13.197103155195229</v>
      </c>
      <c r="AL53" s="59">
        <v>13.715138602331923</v>
      </c>
      <c r="AM53" s="59">
        <v>14.247639611330248</v>
      </c>
      <c r="AN53" s="59">
        <v>14.794884680862236</v>
      </c>
      <c r="AO53" s="59">
        <v>15.357155000408367</v>
      </c>
    </row>
    <row r="54" spans="1:41" x14ac:dyDescent="0.2">
      <c r="A54" s="33"/>
      <c r="B54" s="33"/>
      <c r="E54" s="2" t="str">
        <f>Input!$E$8&amp;" - BS"</f>
        <v>BMBL - BS</v>
      </c>
      <c r="H54" s="5"/>
    </row>
    <row r="55" spans="1:41" x14ac:dyDescent="0.2">
      <c r="A55" s="33"/>
      <c r="B55" s="33"/>
      <c r="E55" s="6" t="str">
        <f>+Input!$E$14</f>
        <v>$mn</v>
      </c>
      <c r="F55" s="14" t="s">
        <v>35</v>
      </c>
      <c r="G55" s="14" t="s">
        <v>36</v>
      </c>
      <c r="H55" s="14" t="s">
        <v>37</v>
      </c>
      <c r="J55" s="14" t="s">
        <v>86</v>
      </c>
      <c r="K55" s="14" t="s">
        <v>87</v>
      </c>
      <c r="L55" s="14" t="s">
        <v>88</v>
      </c>
      <c r="M55" s="14" t="s">
        <v>35</v>
      </c>
      <c r="N55" s="14" t="s">
        <v>83</v>
      </c>
      <c r="O55" s="14" t="s">
        <v>84</v>
      </c>
      <c r="P55" s="14" t="s">
        <v>85</v>
      </c>
      <c r="Q55" s="14" t="s">
        <v>36</v>
      </c>
      <c r="R55" s="14" t="s">
        <v>68</v>
      </c>
      <c r="S55" s="14" t="s">
        <v>81</v>
      </c>
      <c r="T55" s="14" t="s">
        <v>82</v>
      </c>
      <c r="U55" s="14" t="s">
        <v>37</v>
      </c>
      <c r="V55" s="14" t="s">
        <v>66</v>
      </c>
      <c r="W55" s="14" t="s">
        <v>570</v>
      </c>
    </row>
    <row r="56" spans="1:41" ht="3" customHeight="1" x14ac:dyDescent="0.2">
      <c r="A56" s="33"/>
      <c r="B56" s="33"/>
    </row>
    <row r="57" spans="1:41" x14ac:dyDescent="0.2">
      <c r="A57" s="33" t="s">
        <v>137</v>
      </c>
      <c r="B57" s="33"/>
      <c r="E57" t="s">
        <v>553</v>
      </c>
      <c r="F57" s="38">
        <f>+bs_fy22!C16/B3</f>
        <v>402.55900000000003</v>
      </c>
      <c r="G57" s="38">
        <f t="shared" ref="G57:H60" ca="1" si="60">SUMIFS(INDIRECT("'bs_fy" &amp; G$2 &amp; G$1 &amp; "'!C:C"), INDIRECT("'bs_fy" &amp; G$2 &amp; G$1 &amp; "'!B:B"), $A57) / $B$3</f>
        <v>355.642</v>
      </c>
      <c r="H57" s="38">
        <f t="shared" ca="1" si="60"/>
        <v>204.31899999999999</v>
      </c>
      <c r="I57" s="38"/>
      <c r="J57" s="38">
        <f t="shared" ref="J57:P60" ca="1" si="61">SUMIFS(INDIRECT("'bs_q" &amp; J$2 &amp; J$1 &amp; "'!C:C"), INDIRECT("'bs_q" &amp; J$2 &amp; J$1 &amp; "'!B:B"), $A57) / $B$3</f>
        <v>308.78800000000001</v>
      </c>
      <c r="K57" s="38">
        <f ca="1">SUMIFS(INDIRECT("'bs_q" &amp; K$2 &amp; K$1 &amp; "'!C:C"), INDIRECT("'bs_q" &amp; K$2 &amp; K$1 &amp; "'!B:B"), $A57) / $B$3</f>
        <v>334.64499999999998</v>
      </c>
      <c r="L57" s="38">
        <f t="shared" ca="1" si="61"/>
        <v>365.10500000000002</v>
      </c>
      <c r="M57" s="38">
        <f>F57</f>
        <v>402.55900000000003</v>
      </c>
      <c r="N57" s="38">
        <f t="shared" ca="1" si="61"/>
        <v>388.95499999999998</v>
      </c>
      <c r="O57" s="38">
        <f t="shared" ca="1" si="61"/>
        <v>381.01900000000001</v>
      </c>
      <c r="P57" s="38">
        <f t="shared" ca="1" si="61"/>
        <v>439.18400000000003</v>
      </c>
      <c r="Q57" s="38">
        <f ca="1">+G57</f>
        <v>355.642</v>
      </c>
      <c r="R57" s="38">
        <f t="shared" ref="R57:T60" ca="1" si="62">SUMIFS(INDIRECT("'bs_q" &amp; R$2 &amp; R$1 &amp; "'!C:C"), INDIRECT("'bs_q" &amp; R$2 &amp; R$1 &amp; "'!B:B"), $A57) / $B$3</f>
        <v>262.69900000000001</v>
      </c>
      <c r="S57" s="38">
        <f t="shared" ca="1" si="62"/>
        <v>286.66399999999999</v>
      </c>
      <c r="T57" s="38">
        <f t="shared" ca="1" si="62"/>
        <v>252.05699999999999</v>
      </c>
      <c r="U57" s="38">
        <f ca="1">H57</f>
        <v>204.31899999999999</v>
      </c>
      <c r="V57" s="38">
        <f ca="1">SUMIFS(INDIRECT("'bs_q" &amp; V$2 &amp; V$1 &amp; "'!C:C"), INDIRECT("'bs_q" &amp; V$2 &amp; V$1 &amp; "'!B:B"), $A57) / $B$3</f>
        <v>202.24299999999999</v>
      </c>
      <c r="W57" s="50">
        <v>261.73899999999998</v>
      </c>
    </row>
    <row r="58" spans="1:41" x14ac:dyDescent="0.2">
      <c r="A58" s="33" t="s">
        <v>17</v>
      </c>
      <c r="B58" s="33"/>
      <c r="E58" s="2" t="s">
        <v>17</v>
      </c>
      <c r="F58" s="37">
        <f>+bs_fy22!C26/B3</f>
        <v>3692.6210000000001</v>
      </c>
      <c r="G58" s="37">
        <f t="shared" ca="1" si="60"/>
        <v>3625.127</v>
      </c>
      <c r="H58" s="37">
        <f t="shared" ca="1" si="60"/>
        <v>2524.8870000000002</v>
      </c>
      <c r="I58" s="38"/>
      <c r="J58" s="37">
        <f>+bs_q122!C28/B3</f>
        <v>3795.402</v>
      </c>
      <c r="K58" s="37">
        <f ca="1">SUMIFS(INDIRECT("'bs_q" &amp; K$2 &amp; K$1 &amp; "'!C:C"), INDIRECT("'bs_q" &amp; K$2 &amp; K$1 &amp; "'!B:B"), $A58) / $B$3</f>
        <v>3767.819</v>
      </c>
      <c r="L58" s="37">
        <f>+bs_q322!C28/B3</f>
        <v>3792.8380000000002</v>
      </c>
      <c r="M58" s="37">
        <f>F58</f>
        <v>3692.6210000000001</v>
      </c>
      <c r="N58" s="37">
        <f t="shared" ca="1" si="61"/>
        <v>3702.5920000000001</v>
      </c>
      <c r="O58" s="37">
        <f t="shared" ca="1" si="61"/>
        <v>3692.297</v>
      </c>
      <c r="P58" s="37">
        <f t="shared" ca="1" si="61"/>
        <v>3733.1930000000002</v>
      </c>
      <c r="Q58" s="37">
        <f ca="1">+G58</f>
        <v>3625.127</v>
      </c>
      <c r="R58" s="37">
        <f t="shared" ca="1" si="62"/>
        <v>3516.9490000000001</v>
      </c>
      <c r="S58" s="37">
        <f t="shared" ca="1" si="62"/>
        <v>3524.24</v>
      </c>
      <c r="T58" s="37">
        <f t="shared" ca="1" si="62"/>
        <v>2589.4119999999998</v>
      </c>
      <c r="U58" s="37">
        <f ca="1">H58</f>
        <v>2524.8870000000002</v>
      </c>
      <c r="V58" s="37">
        <f ca="1">SUMIFS(INDIRECT("'bs_q" &amp; V$2 &amp; V$1 &amp; "'!C:C"), INDIRECT("'bs_q" &amp; V$2 &amp; V$1 &amp; "'!B:B"), $A58) / $B$3</f>
        <v>2508.2919999999999</v>
      </c>
      <c r="W58" s="45">
        <v>2161.4949999999999</v>
      </c>
    </row>
    <row r="59" spans="1:41" x14ac:dyDescent="0.2">
      <c r="A59" s="33" t="s">
        <v>92</v>
      </c>
      <c r="B59" s="33"/>
      <c r="E59" s="9" t="s">
        <v>43</v>
      </c>
      <c r="F59" s="38">
        <f>+bs_fy22!C55/B3</f>
        <v>1627.8150000000001</v>
      </c>
      <c r="G59" s="38">
        <f t="shared" ca="1" si="60"/>
        <v>1635.0150000000001</v>
      </c>
      <c r="H59" s="38">
        <f t="shared" ca="1" si="60"/>
        <v>824.53499999999997</v>
      </c>
      <c r="I59" s="38"/>
      <c r="J59" s="38">
        <f>+bs_q122!C61/B3</f>
        <v>1643.2070000000001</v>
      </c>
      <c r="K59" s="38">
        <f>+bs_q222!C61/B3</f>
        <v>1656.027</v>
      </c>
      <c r="L59" s="38">
        <f>+bs_q322!C62/B3</f>
        <v>1695.481</v>
      </c>
      <c r="M59" s="38">
        <f>F59</f>
        <v>1627.8150000000001</v>
      </c>
      <c r="N59" s="38">
        <f t="shared" ca="1" si="61"/>
        <v>1724.2070000000001</v>
      </c>
      <c r="O59" s="38">
        <f t="shared" ca="1" si="61"/>
        <v>1665.3040000000001</v>
      </c>
      <c r="P59" s="38">
        <f t="shared" ca="1" si="61"/>
        <v>1689.723</v>
      </c>
      <c r="Q59" s="38">
        <f ca="1">+G59</f>
        <v>1635.0150000000001</v>
      </c>
      <c r="R59" s="38">
        <f t="shared" ca="1" si="62"/>
        <v>1604.345</v>
      </c>
      <c r="S59" s="38">
        <f t="shared" ca="1" si="62"/>
        <v>1652.9269999999999</v>
      </c>
      <c r="T59" s="38">
        <f t="shared" ca="1" si="62"/>
        <v>852.56200000000001</v>
      </c>
      <c r="U59" s="38">
        <f ca="1">H59</f>
        <v>824.53499999999997</v>
      </c>
      <c r="V59" s="38">
        <f ca="1">SUMIFS(INDIRECT("'bs_q" &amp; V$2 &amp; V$1 &amp; "'!C:C"), INDIRECT("'bs_q" &amp; V$2 &amp; V$1 &amp; "'!B:B"), $A59) / $B$3</f>
        <v>814.51400000000001</v>
      </c>
      <c r="W59" s="50">
        <v>577.61099999999999</v>
      </c>
    </row>
    <row r="60" spans="1:41" x14ac:dyDescent="0.2">
      <c r="A60" s="33" t="s">
        <v>91</v>
      </c>
      <c r="B60" s="33"/>
      <c r="E60" s="9" t="s">
        <v>62</v>
      </c>
      <c r="F60" s="38">
        <f ca="1">SUMIFS(INDIRECT("'bs_fy" &amp; F$2 &amp; F$1 &amp; "'!C:C"), INDIRECT("'bs_fy" &amp; F$2 &amp; F$1 &amp; "'!B:B"), $A60) / $B$3</f>
        <v>825.76400000000001</v>
      </c>
      <c r="G60" s="38">
        <f t="shared" ca="1" si="60"/>
        <v>702.25800000000004</v>
      </c>
      <c r="H60" s="38">
        <f t="shared" ca="1" si="60"/>
        <v>524.51900000000001</v>
      </c>
      <c r="I60" s="38"/>
      <c r="J60" s="38">
        <f>+bs_q122!C62/B3</f>
        <v>865.93799999999999</v>
      </c>
      <c r="K60" s="38">
        <f ca="1">SUMIFS(INDIRECT("'bs_q" &amp; K$2 &amp; K$1 &amp; "'!C:C"), INDIRECT("'bs_q" &amp; K$2 &amp; K$1 &amp; "'!B:B"), $A60) / $B$3</f>
        <v>860.48699999999997</v>
      </c>
      <c r="L60" s="38">
        <f ca="1">SUMIFS(INDIRECT("'bs_q" &amp; L$2 &amp; L$1 &amp; "'!C:C"), INDIRECT("'bs_q" &amp; L$2 &amp; L$1 &amp; "'!B:B"), $A60) / $B$3</f>
        <v>866.82299999999998</v>
      </c>
      <c r="M60" s="38">
        <f ca="1">F60</f>
        <v>825.76400000000001</v>
      </c>
      <c r="N60" s="38">
        <f t="shared" ca="1" si="61"/>
        <v>712.48900000000003</v>
      </c>
      <c r="O60" s="38">
        <f t="shared" ca="1" si="61"/>
        <v>781.02800000000002</v>
      </c>
      <c r="P60" s="38">
        <f t="shared" ca="1" si="61"/>
        <v>790.43600000000004</v>
      </c>
      <c r="Q60" s="38">
        <f ca="1">+G60</f>
        <v>702.25800000000004</v>
      </c>
      <c r="R60" s="38">
        <f t="shared" ca="1" si="62"/>
        <v>658.85199999999998</v>
      </c>
      <c r="S60" s="38">
        <f t="shared" ca="1" si="62"/>
        <v>645.07100000000003</v>
      </c>
      <c r="T60" s="38">
        <f t="shared" ca="1" si="62"/>
        <v>514.30100000000004</v>
      </c>
      <c r="U60" s="38">
        <f ca="1">H60</f>
        <v>524.51900000000001</v>
      </c>
      <c r="V60" s="38">
        <f ca="1">SUMIFS(INDIRECT("'bs_q" &amp; V$2 &amp; V$1 &amp; "'!C:C"), INDIRECT("'bs_q" &amp; V$2 &amp; V$1 &amp; "'!B:B"), $A60) / $B$3</f>
        <v>539.72699999999998</v>
      </c>
      <c r="W60" s="50">
        <v>426.88200000000001</v>
      </c>
    </row>
    <row r="61" spans="1:41" x14ac:dyDescent="0.2">
      <c r="A61" s="33"/>
      <c r="B61" s="33"/>
      <c r="E61" s="10" t="s">
        <v>61</v>
      </c>
      <c r="F61" s="37">
        <f ca="1">SUM(F59:F60)</f>
        <v>2453.5790000000002</v>
      </c>
      <c r="G61" s="37">
        <f ca="1">SUM(G59:G60)</f>
        <v>2337.2730000000001</v>
      </c>
      <c r="H61" s="37">
        <f ca="1">SUM(H59:H60)</f>
        <v>1349.0540000000001</v>
      </c>
      <c r="I61" s="38"/>
      <c r="J61" s="37">
        <f t="shared" ref="J61:V61" si="63">SUM(J59:J60)</f>
        <v>2509.145</v>
      </c>
      <c r="K61" s="37">
        <f t="shared" ca="1" si="63"/>
        <v>2516.5140000000001</v>
      </c>
      <c r="L61" s="37">
        <f t="shared" ca="1" si="63"/>
        <v>2562.3040000000001</v>
      </c>
      <c r="M61" s="37">
        <f t="shared" ca="1" si="63"/>
        <v>2453.5790000000002</v>
      </c>
      <c r="N61" s="37">
        <f t="shared" ca="1" si="63"/>
        <v>2436.6959999999999</v>
      </c>
      <c r="O61" s="37">
        <f t="shared" ca="1" si="63"/>
        <v>2446.3320000000003</v>
      </c>
      <c r="P61" s="37">
        <f t="shared" ca="1" si="63"/>
        <v>2480.1590000000001</v>
      </c>
      <c r="Q61" s="37">
        <f t="shared" ca="1" si="63"/>
        <v>2337.2730000000001</v>
      </c>
      <c r="R61" s="37">
        <f t="shared" ca="1" si="63"/>
        <v>2263.1970000000001</v>
      </c>
      <c r="S61" s="37">
        <f t="shared" ca="1" si="63"/>
        <v>2297.998</v>
      </c>
      <c r="T61" s="37">
        <f t="shared" ca="1" si="63"/>
        <v>1366.8630000000001</v>
      </c>
      <c r="U61" s="37">
        <f t="shared" ca="1" si="63"/>
        <v>1349.0540000000001</v>
      </c>
      <c r="V61" s="37">
        <f t="shared" ca="1" si="63"/>
        <v>1354.241</v>
      </c>
      <c r="W61" s="37">
        <f t="shared" ref="W61" si="64">SUM(W59:W60)</f>
        <v>1004.4929999999999</v>
      </c>
    </row>
    <row r="62" spans="1:41" x14ac:dyDescent="0.2">
      <c r="A62" s="33"/>
      <c r="B62" s="33"/>
      <c r="E62" s="10" t="s">
        <v>44</v>
      </c>
      <c r="F62" s="37">
        <f ca="1">+F58-F61</f>
        <v>1239.0419999999999</v>
      </c>
      <c r="G62" s="37">
        <f ca="1">+G58-G61</f>
        <v>1287.8539999999998</v>
      </c>
      <c r="H62" s="37">
        <f ca="1">+H58-H61</f>
        <v>1175.8330000000001</v>
      </c>
      <c r="I62" s="38"/>
      <c r="J62" s="37">
        <f t="shared" ref="J62:V62" si="65">+J58-J61</f>
        <v>1286.2570000000001</v>
      </c>
      <c r="K62" s="37">
        <f t="shared" ca="1" si="65"/>
        <v>1251.3049999999998</v>
      </c>
      <c r="L62" s="37">
        <f t="shared" ca="1" si="65"/>
        <v>1230.5340000000001</v>
      </c>
      <c r="M62" s="37">
        <f t="shared" ca="1" si="65"/>
        <v>1239.0419999999999</v>
      </c>
      <c r="N62" s="37">
        <f t="shared" ca="1" si="65"/>
        <v>1265.8960000000002</v>
      </c>
      <c r="O62" s="37">
        <f t="shared" ca="1" si="65"/>
        <v>1245.9649999999997</v>
      </c>
      <c r="P62" s="37">
        <f t="shared" ca="1" si="65"/>
        <v>1253.0340000000001</v>
      </c>
      <c r="Q62" s="37">
        <f t="shared" ca="1" si="65"/>
        <v>1287.8539999999998</v>
      </c>
      <c r="R62" s="37">
        <f t="shared" ca="1" si="65"/>
        <v>1253.752</v>
      </c>
      <c r="S62" s="37">
        <f t="shared" ca="1" si="65"/>
        <v>1226.2419999999997</v>
      </c>
      <c r="T62" s="37">
        <f t="shared" ca="1" si="65"/>
        <v>1222.5489999999998</v>
      </c>
      <c r="U62" s="37">
        <f t="shared" ca="1" si="65"/>
        <v>1175.8330000000001</v>
      </c>
      <c r="V62" s="37">
        <f t="shared" ca="1" si="65"/>
        <v>1154.0509999999999</v>
      </c>
      <c r="W62" s="37">
        <f t="shared" ref="W62" si="66">+W58-W61</f>
        <v>1157.002</v>
      </c>
    </row>
    <row r="63" spans="1:41" x14ac:dyDescent="0.2">
      <c r="A63" s="33"/>
      <c r="B63" s="33"/>
      <c r="E63" s="9"/>
      <c r="F63" s="12"/>
      <c r="G63" s="12"/>
      <c r="H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41" x14ac:dyDescent="0.2">
      <c r="A64" s="33"/>
      <c r="B64" s="33"/>
      <c r="F64" s="12"/>
      <c r="G64" s="12"/>
      <c r="H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6" x14ac:dyDescent="0.2">
      <c r="A65" s="33" t="s">
        <v>114</v>
      </c>
      <c r="B65" s="33"/>
      <c r="E65" s="4" t="s">
        <v>63</v>
      </c>
      <c r="F65" s="13">
        <f ca="1">SUMIFS(INDIRECT("'bs_fy" &amp; F$2 &amp; F$1 &amp; "'!C:C"), INDIRECT("'bs_fy" &amp; F$2 &amp; F$1 &amp; "'!B:B"), $A65) / $B$3</f>
        <v>1239.0419999999999</v>
      </c>
      <c r="G65" s="13">
        <f ca="1">SUMIFS(INDIRECT("'bs_fy" &amp; G$2 &amp; G$1 &amp; "'!C:C"), INDIRECT("'bs_fy" &amp; G$2 &amp; G$1 &amp; "'!B:B"), $A65) / $B$3</f>
        <v>1287.854</v>
      </c>
      <c r="H65" s="13">
        <f ca="1">SUMIFS(INDIRECT("'bs_fy" &amp; H$2 &amp; H$1 &amp; "'!C:C"), INDIRECT("'bs_fy" &amp; H$2 &amp; H$1 &amp; "'!B:B"), $A65) / $B$3</f>
        <v>1175.8330000000001</v>
      </c>
      <c r="J65" s="13">
        <f ca="1">SUMIFS(INDIRECT("'bs_q" &amp; J$2 &amp; J$1 &amp; "'!C:C"), INDIRECT("'bs_q" &amp; J$2 &amp; J$1 &amp; "'!B:B"), $A65) / $B$3</f>
        <v>1286.2570000000001</v>
      </c>
      <c r="K65" s="13">
        <f ca="1">SUMIFS(INDIRECT("'bs_q" &amp; K$2 &amp; K$1 &amp; "'!C:C"), INDIRECT("'bs_q" &amp; K$2 &amp; K$1 &amp; "'!B:B"), $A65) / $B$3</f>
        <v>1251.3050000000001</v>
      </c>
      <c r="L65" s="13">
        <f ca="1">SUMIFS(INDIRECT("'bs_q" &amp; L$2 &amp; L$1 &amp; "'!C:C"), INDIRECT("'bs_q" &amp; L$2 &amp; L$1 &amp; "'!B:B"), $A65) / $B$3</f>
        <v>1230.5340000000001</v>
      </c>
      <c r="M65" s="13"/>
      <c r="N65" s="13">
        <f ca="1">SUMIFS(INDIRECT("'bs_q" &amp; N$2 &amp; N$1 &amp; "'!C:C"), INDIRECT("'bs_q" &amp; N$2 &amp; N$1 &amp; "'!B:B"), $A65) / $B$3</f>
        <v>1265.896</v>
      </c>
      <c r="O65" s="13">
        <f ca="1">SUMIFS(INDIRECT("'bs_q" &amp; O$2 &amp; O$1 &amp; "'!C:C"), INDIRECT("'bs_q" &amp; O$2 &amp; O$1 &amp; "'!B:B"), $A65) / $B$3</f>
        <v>1245.9649999999999</v>
      </c>
      <c r="P65" s="13">
        <f ca="1">SUMIFS(INDIRECT("'bs_q" &amp; P$2 &amp; P$1 &amp; "'!C:C"), INDIRECT("'bs_q" &amp; P$2 &amp; P$1 &amp; "'!B:B"), $A65) / $B$3</f>
        <v>1253.0340000000001</v>
      </c>
      <c r="Q65" s="13"/>
      <c r="R65" s="13">
        <f ca="1">SUMIFS(INDIRECT("'bs_q" &amp; R$2 &amp; R$1 &amp; "'!C:C"), INDIRECT("'bs_q" &amp; R$2 &amp; R$1 &amp; "'!B:B"), $A65) / $B$3</f>
        <v>1253.752</v>
      </c>
      <c r="S65" s="13">
        <f ca="1">SUMIFS(INDIRECT("'bs_q" &amp; S$2 &amp; S$1 &amp; "'!C:C"), INDIRECT("'bs_q" &amp; S$2 &amp; S$1 &amp; "'!B:B"), $A65) / $B$3</f>
        <v>1226.242</v>
      </c>
      <c r="T65" s="13">
        <f ca="1">SUMIFS(INDIRECT("'bs_q" &amp; T$2 &amp; T$1 &amp; "'!C:C"), INDIRECT("'bs_q" &amp; T$2 &amp; T$1 &amp; "'!B:B"), $A65) / $B$3</f>
        <v>1222.549</v>
      </c>
      <c r="U65" s="13"/>
      <c r="V65" s="13">
        <f ca="1">SUMIFS(INDIRECT("'bs_q" &amp; V$2 &amp; V$1 &amp; "'!C:C"), INDIRECT("'bs_q" &amp; V$2 &amp; V$1 &amp; "'!B:B"), $A65) / $B$3</f>
        <v>1154.0509999999999</v>
      </c>
      <c r="W65" s="13">
        <v>1157.002</v>
      </c>
    </row>
    <row r="66" spans="1:26" x14ac:dyDescent="0.2">
      <c r="A66" s="33"/>
      <c r="B66" s="33"/>
      <c r="C66" s="11" t="b" cm="1">
        <f t="array" aca="1" ref="C66" ca="1">AND(F66:X66&lt;$B$1,F66:X66&gt;-$B$1)</f>
        <v>1</v>
      </c>
      <c r="E66" s="4" t="s">
        <v>15</v>
      </c>
      <c r="F66" s="13">
        <f ca="1">+F62-F65</f>
        <v>0</v>
      </c>
      <c r="G66" s="13">
        <f ca="1">+G62-G65</f>
        <v>0</v>
      </c>
      <c r="H66" s="13">
        <f ca="1">+H62-H65</f>
        <v>0</v>
      </c>
      <c r="J66" s="13">
        <f ca="1">+J62-J65</f>
        <v>0</v>
      </c>
      <c r="K66" s="13">
        <f ca="1">+K62-K65</f>
        <v>0</v>
      </c>
      <c r="L66" s="13">
        <f ca="1">+L62-L65</f>
        <v>0</v>
      </c>
      <c r="M66" s="13"/>
      <c r="N66" s="13">
        <f ca="1">+N62-N65</f>
        <v>0</v>
      </c>
      <c r="O66" s="13">
        <f ca="1">+O62-O65</f>
        <v>0</v>
      </c>
      <c r="P66" s="13">
        <f ca="1">+P62-P65</f>
        <v>0</v>
      </c>
      <c r="Q66" s="13"/>
      <c r="R66" s="13">
        <f ca="1">+R62-R65</f>
        <v>0</v>
      </c>
      <c r="S66" s="13">
        <f ca="1">+S62-S65</f>
        <v>0</v>
      </c>
      <c r="T66" s="13">
        <f ca="1">+T62-T65</f>
        <v>0</v>
      </c>
      <c r="U66" s="13"/>
      <c r="V66" s="13">
        <f ca="1">+V62-V65</f>
        <v>0</v>
      </c>
      <c r="W66" s="13">
        <f>+W62-W65</f>
        <v>0</v>
      </c>
    </row>
    <row r="67" spans="1:26" x14ac:dyDescent="0.2">
      <c r="A67" s="33"/>
      <c r="B67" s="33"/>
      <c r="F67" s="12"/>
      <c r="G67" s="12"/>
      <c r="H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 x14ac:dyDescent="0.2">
      <c r="A68" s="33"/>
      <c r="B68" s="33"/>
      <c r="E68" s="2" t="str">
        <f>Input!$E$8&amp;" - CF"</f>
        <v>BMBL - CF</v>
      </c>
      <c r="H68" s="5"/>
      <c r="M68" s="19" t="s">
        <v>548</v>
      </c>
      <c r="N68" s="19"/>
      <c r="O68" s="19"/>
      <c r="P68" s="19"/>
      <c r="Q68" s="19" t="s">
        <v>548</v>
      </c>
      <c r="R68" s="19"/>
      <c r="S68" s="19"/>
      <c r="T68" s="19"/>
      <c r="U68" s="19" t="s">
        <v>548</v>
      </c>
    </row>
    <row r="69" spans="1:26" x14ac:dyDescent="0.2">
      <c r="E69" s="6" t="str">
        <f>+Input!$E$14</f>
        <v>$mn</v>
      </c>
      <c r="F69" s="14" t="s">
        <v>35</v>
      </c>
      <c r="G69" s="14" t="s">
        <v>36</v>
      </c>
      <c r="H69" s="14" t="s">
        <v>37</v>
      </c>
      <c r="J69" s="14" t="str">
        <f t="shared" ref="J69:M69" si="67">J55</f>
        <v>Mar 22</v>
      </c>
      <c r="K69" s="14" t="str">
        <f t="shared" si="67"/>
        <v>Jun 22</v>
      </c>
      <c r="L69" s="14" t="str">
        <f t="shared" si="67"/>
        <v>Sep 22</v>
      </c>
      <c r="M69" s="14" t="str">
        <f t="shared" si="67"/>
        <v>Dec 22</v>
      </c>
      <c r="N69" s="14" t="str">
        <f t="shared" ref="N69" si="68">N55</f>
        <v>Mar 23</v>
      </c>
      <c r="O69" s="14" t="str">
        <f t="shared" ref="O69:Q69" si="69">O55</f>
        <v>Jun 23</v>
      </c>
      <c r="P69" s="14" t="str">
        <f t="shared" si="69"/>
        <v>Sep 23</v>
      </c>
      <c r="Q69" s="14" t="str">
        <f t="shared" si="69"/>
        <v>Dec 23</v>
      </c>
      <c r="R69" s="14" t="str">
        <f>R55</f>
        <v>Mar 24</v>
      </c>
      <c r="S69" s="14" t="str">
        <f t="shared" ref="S69:W69" si="70">S55</f>
        <v>Jun 24</v>
      </c>
      <c r="T69" s="14" t="str">
        <f t="shared" si="70"/>
        <v>Sep 24</v>
      </c>
      <c r="U69" s="14" t="str">
        <f t="shared" si="70"/>
        <v>Dec 24</v>
      </c>
      <c r="V69" s="14" t="str">
        <f t="shared" si="70"/>
        <v>Mar 25</v>
      </c>
      <c r="W69" s="14" t="str">
        <f t="shared" si="70"/>
        <v>Jun 25</v>
      </c>
    </row>
    <row r="70" spans="1:26" ht="3" customHeight="1" x14ac:dyDescent="0.2"/>
    <row r="71" spans="1:26" x14ac:dyDescent="0.2">
      <c r="B71" s="33"/>
      <c r="E71" s="9" t="s">
        <v>46</v>
      </c>
      <c r="F71" s="38">
        <f>+cf_fy24!E44/$B$3</f>
        <v>132.941</v>
      </c>
      <c r="G71" s="38">
        <f>+cf_fy24!D44/$B$3</f>
        <v>182.08600000000001</v>
      </c>
      <c r="H71" s="38">
        <f>+cf_fy24!C44/$B$3</f>
        <v>123.441</v>
      </c>
      <c r="I71" s="38"/>
      <c r="J71" s="38">
        <f>+cf_q123!D42/$B$3</f>
        <v>19.358000000000001</v>
      </c>
      <c r="K71" s="38">
        <f>+cf_q222!C41/$B$3-J71</f>
        <v>25.409000000000002</v>
      </c>
      <c r="L71" s="38">
        <f>+cf_q322!D44/$B$3-SUM(J71:K71)</f>
        <v>37.002000000000002</v>
      </c>
      <c r="M71" s="38">
        <f>F71-SUM(J71:L71)</f>
        <v>51.171999999999997</v>
      </c>
      <c r="N71" s="38">
        <f>+cf_q123!C42/$B$3</f>
        <v>13.388999999999999</v>
      </c>
      <c r="O71" s="38">
        <f>+cf_q224!D43/$B$3-N71</f>
        <v>42.710999999999999</v>
      </c>
      <c r="P71" s="38">
        <f>+cf_q324!E44/$B$3-O71-N71</f>
        <v>62.569000000000003</v>
      </c>
      <c r="Q71" s="38">
        <f>G71-SUM(N71:P71)</f>
        <v>63.417000000000016</v>
      </c>
      <c r="R71" s="38">
        <f>+cf_q125!D43/$B$3</f>
        <v>2.42</v>
      </c>
      <c r="S71" s="38">
        <f>+cf_q224!C43/$B$3-R71</f>
        <v>32.924999999999997</v>
      </c>
      <c r="T71" s="38">
        <f>+cf_q324!C44/$B$3-S71-R71</f>
        <v>93.494</v>
      </c>
      <c r="U71" s="38">
        <f>H71-SUM(R71:T71)</f>
        <v>-5.3979999999999961</v>
      </c>
      <c r="V71" s="38">
        <f>+cf_q125!C43/$B$3</f>
        <v>43.244999999999997</v>
      </c>
      <c r="W71" s="50">
        <v>71.236000000000004</v>
      </c>
    </row>
    <row r="72" spans="1:26" x14ac:dyDescent="0.2">
      <c r="B72" s="33"/>
      <c r="E72" s="9" t="s">
        <v>45</v>
      </c>
      <c r="F72" s="39">
        <f>+cf_fy24!E49/$B$3</f>
        <v>-86.052999999999997</v>
      </c>
      <c r="G72" s="39">
        <f>+cf_fy24!D49/$B$3</f>
        <v>-24.754999999999999</v>
      </c>
      <c r="H72" s="39">
        <f>+cf_fy24!C49/$B$3</f>
        <v>-26.754000000000001</v>
      </c>
      <c r="I72" s="38"/>
      <c r="J72" s="39">
        <f>+cf_q123!D46/$B$3</f>
        <v>-74.715999999999994</v>
      </c>
      <c r="K72" s="39">
        <f>+cf_q222!C46/$B$3-J72</f>
        <v>-3.0530000000000115</v>
      </c>
      <c r="L72" s="39">
        <f>+cf_q322!D49/$B$3-J72-K72</f>
        <v>-3.2620000000000005</v>
      </c>
      <c r="M72" s="39">
        <f>F72-SUM(J72:L72)</f>
        <v>-5.0219999999999914</v>
      </c>
      <c r="N72" s="39">
        <f>+cf_q123!C46/$B$3</f>
        <v>-6.8109999999999999</v>
      </c>
      <c r="O72" s="39">
        <f>+cf_q224!D47/$B$3-N72</f>
        <v>-12.276</v>
      </c>
      <c r="P72" s="39">
        <f>+cf_q324!E49/$B$3-N72-O72</f>
        <v>-3.5019999999999989</v>
      </c>
      <c r="Q72" s="39">
        <f>G72-SUM(N72:P72)</f>
        <v>-2.1660000000000004</v>
      </c>
      <c r="R72" s="39">
        <f>+cf_q125!D46/$B$3</f>
        <v>-2.8010000000000002</v>
      </c>
      <c r="S72" s="39">
        <f>+cf_q224!C47/$B$3-R72</f>
        <v>-1.7299999999999995</v>
      </c>
      <c r="T72" s="39">
        <f>+cf_q324!C49/$B$3-R72-S72</f>
        <v>-19.053999999999998</v>
      </c>
      <c r="U72" s="39">
        <f>H72-SUM(R72:T72)</f>
        <v>-3.169000000000004</v>
      </c>
      <c r="V72" s="39">
        <f>+cf_q125!C46/$B$3</f>
        <v>-2.411</v>
      </c>
      <c r="W72" s="53">
        <v>-3.5089999999999999</v>
      </c>
    </row>
    <row r="73" spans="1:26" x14ac:dyDescent="0.2">
      <c r="B73" s="33"/>
      <c r="E73" s="2" t="s">
        <v>18</v>
      </c>
      <c r="F73" s="37">
        <f>+F71+F72</f>
        <v>46.888000000000005</v>
      </c>
      <c r="G73" s="37">
        <f>+G71+G72</f>
        <v>157.33100000000002</v>
      </c>
      <c r="H73" s="37">
        <f>+H71+H72</f>
        <v>96.686999999999998</v>
      </c>
      <c r="I73" s="38"/>
      <c r="J73" s="37">
        <f t="shared" ref="J73:P73" si="71">+J71+J72</f>
        <v>-55.35799999999999</v>
      </c>
      <c r="K73" s="37">
        <f t="shared" si="71"/>
        <v>22.355999999999991</v>
      </c>
      <c r="L73" s="37">
        <f t="shared" si="71"/>
        <v>33.74</v>
      </c>
      <c r="M73" s="37">
        <f t="shared" si="71"/>
        <v>46.150000000000006</v>
      </c>
      <c r="N73" s="37">
        <f t="shared" si="71"/>
        <v>6.5779999999999994</v>
      </c>
      <c r="O73" s="37">
        <f t="shared" si="71"/>
        <v>30.434999999999999</v>
      </c>
      <c r="P73" s="37">
        <f t="shared" si="71"/>
        <v>59.067000000000007</v>
      </c>
      <c r="Q73" s="37">
        <f>G73-SUM(N73:P73)</f>
        <v>61.251000000000005</v>
      </c>
      <c r="R73" s="37">
        <f>+R71+R72</f>
        <v>-0.38100000000000023</v>
      </c>
      <c r="S73" s="37">
        <f>+S71+S72</f>
        <v>31.194999999999997</v>
      </c>
      <c r="T73" s="37">
        <f>+T71+T72</f>
        <v>74.44</v>
      </c>
      <c r="U73" s="37">
        <f>H73-SUM(R73:T73)</f>
        <v>-8.5669999999999931</v>
      </c>
      <c r="V73" s="37">
        <f>+V71+V72</f>
        <v>40.833999999999996</v>
      </c>
      <c r="W73" s="37">
        <f>+W71+W72</f>
        <v>67.727000000000004</v>
      </c>
      <c r="X73" s="38"/>
      <c r="Y73" s="38"/>
      <c r="Z73" s="38"/>
    </row>
    <row r="74" spans="1:26" x14ac:dyDescent="0.2">
      <c r="A74" s="33"/>
      <c r="B74" s="33"/>
      <c r="E74" s="9" t="s">
        <v>47</v>
      </c>
      <c r="F74" s="38">
        <f>+cf_fy24!E60/$B$3</f>
        <v>-14.954000000000001</v>
      </c>
      <c r="G74" s="38">
        <f>+cf_fy24!D60/$B$3</f>
        <v>-198.89099999999999</v>
      </c>
      <c r="H74" s="38">
        <f>+cf_fy24!C60/$B$3</f>
        <v>-250.828</v>
      </c>
      <c r="I74" s="38"/>
      <c r="J74" s="38">
        <f>+cf_q123!D53/$B$3</f>
        <v>-7.1459999999999999</v>
      </c>
      <c r="K74" s="38">
        <f>+cf_q222!C56/$B$3-J74</f>
        <v>-1.9230000000000009</v>
      </c>
      <c r="L74" s="38">
        <f>+cf_q322!D60/$B$3-K74-J74</f>
        <v>-2.5959999999999974</v>
      </c>
      <c r="M74" s="38">
        <f>F74-SUM(J74:L74)</f>
        <v>-3.2890000000000015</v>
      </c>
      <c r="N74" s="38">
        <f>+cf_q123!C53/$B$3</f>
        <v>-16.167999999999999</v>
      </c>
      <c r="O74" s="38">
        <f>+cf_q224!D55/$B$3-N74</f>
        <v>-38.532000000000004</v>
      </c>
      <c r="P74" s="38">
        <f>+cf_q324!E58/$B$3-N74-O74</f>
        <v>-3.654999999999994</v>
      </c>
      <c r="Q74" s="38">
        <f>G74-SUM(N74:P74)</f>
        <v>-140.536</v>
      </c>
      <c r="R74" s="38">
        <f>+cf_q125!D55/$B$3</f>
        <v>-94.366</v>
      </c>
      <c r="S74" s="38">
        <f>+cf_q224!C55/$B$3-R74</f>
        <v>-6.6370000000000005</v>
      </c>
      <c r="T74" s="38">
        <f>+cf_q324!C58/$B$3-R74-S74</f>
        <v>-106.746</v>
      </c>
      <c r="U74" s="38">
        <f>H74-SUM(R74:T74)</f>
        <v>-43.079000000000008</v>
      </c>
      <c r="V74" s="38">
        <f>+cf_q125!C55/$B$3</f>
        <v>-42.466000000000001</v>
      </c>
      <c r="W74" s="50">
        <v>-8.9380000000000006</v>
      </c>
    </row>
    <row r="75" spans="1:26" x14ac:dyDescent="0.2">
      <c r="A75" s="33"/>
      <c r="B75" s="33"/>
      <c r="E75" s="22" t="s">
        <v>64</v>
      </c>
      <c r="F75" s="40">
        <f>+cf_fy24!E55/$B$3</f>
        <v>0</v>
      </c>
      <c r="G75" s="40">
        <f>+cf_fy24!D55/$B$3</f>
        <v>-112.83</v>
      </c>
      <c r="H75" s="40">
        <f>+cf_fy24!C55/$B$3</f>
        <v>-192.113</v>
      </c>
      <c r="I75" s="38"/>
      <c r="J75" s="38">
        <v>0</v>
      </c>
      <c r="K75" s="38">
        <v>0</v>
      </c>
      <c r="L75" s="38">
        <v>0</v>
      </c>
      <c r="M75" s="38">
        <f>F75-SUM(J75:L75)</f>
        <v>0</v>
      </c>
      <c r="N75" s="38">
        <v>0</v>
      </c>
      <c r="O75" s="38">
        <f>+cf_q224!D51/$B$3-N75</f>
        <v>-20.89</v>
      </c>
      <c r="P75" s="38">
        <f>+cf_q324!E53/$B$3-O75-N75</f>
        <v>0</v>
      </c>
      <c r="Q75" s="38">
        <f>G75-SUM(N75:P75)</f>
        <v>-91.94</v>
      </c>
      <c r="R75" s="38">
        <f>+cf_q125!D50/$B$3</f>
        <v>-62.107999999999997</v>
      </c>
      <c r="S75" s="38">
        <f>+cf_q224!C51/$B$3-R75</f>
        <v>0</v>
      </c>
      <c r="T75" s="38">
        <f>+cf_q324!C53/$B$3-R75-S75</f>
        <v>-89.734999999999985</v>
      </c>
      <c r="U75" s="38">
        <f>H75-SUM(R75:T75)</f>
        <v>-40.27000000000001</v>
      </c>
      <c r="V75" s="38">
        <f>+cf_q125!C50/$B$3</f>
        <v>-28.681999999999999</v>
      </c>
      <c r="W75" s="50">
        <v>0</v>
      </c>
    </row>
    <row r="77" spans="1:26" x14ac:dyDescent="0.2">
      <c r="F77" s="12"/>
      <c r="G77" s="12"/>
      <c r="H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 x14ac:dyDescent="0.2">
      <c r="E78" t="s">
        <v>72</v>
      </c>
      <c r="F78" s="12"/>
      <c r="G78" s="12"/>
      <c r="H78" s="12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46">
        <v>107.107632</v>
      </c>
      <c r="V78" s="46"/>
      <c r="W78" s="46">
        <v>103.95184500000001</v>
      </c>
    </row>
    <row r="79" spans="1:26" x14ac:dyDescent="0.2">
      <c r="E79" t="s">
        <v>550</v>
      </c>
      <c r="F79" s="12"/>
      <c r="G79" s="12"/>
      <c r="H79" s="1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24" t="s">
        <v>571</v>
      </c>
      <c r="V79" s="24"/>
      <c r="W79" s="24" t="s">
        <v>572</v>
      </c>
    </row>
    <row r="80" spans="1:26" x14ac:dyDescent="0.2">
      <c r="F80" s="12"/>
      <c r="G80" s="12"/>
      <c r="H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6:26" x14ac:dyDescent="0.2">
      <c r="F81" s="12"/>
      <c r="G81" s="12"/>
      <c r="H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6:26" x14ac:dyDescent="0.2">
      <c r="F82" s="12"/>
      <c r="G82" s="12"/>
      <c r="H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6:26" x14ac:dyDescent="0.2">
      <c r="F83" s="12"/>
      <c r="G83" s="12"/>
      <c r="H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6:26" x14ac:dyDescent="0.2">
      <c r="F84" s="12"/>
      <c r="G84" s="12"/>
      <c r="H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6:26" x14ac:dyDescent="0.2">
      <c r="F85" s="12"/>
      <c r="G85" s="12"/>
      <c r="H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X85" s="12"/>
      <c r="Y85" s="12"/>
      <c r="Z85" s="12"/>
    </row>
    <row r="86" spans="6:26" x14ac:dyDescent="0.2">
      <c r="F86" s="12"/>
      <c r="G86" s="12"/>
      <c r="H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X86" s="12"/>
      <c r="Y86" s="12"/>
      <c r="Z86" s="12"/>
    </row>
    <row r="87" spans="6:26" x14ac:dyDescent="0.2">
      <c r="F87" s="12"/>
      <c r="G87" s="12"/>
      <c r="H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X87" s="12"/>
      <c r="Y87" s="12"/>
      <c r="Z87" s="12"/>
    </row>
    <row r="88" spans="6:26" x14ac:dyDescent="0.2">
      <c r="F88" s="12"/>
      <c r="G88" s="12"/>
      <c r="H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X88" s="12"/>
      <c r="Y88" s="12"/>
      <c r="Z88" s="12"/>
    </row>
    <row r="89" spans="6:26" x14ac:dyDescent="0.2">
      <c r="F89" s="12"/>
      <c r="G89" s="12"/>
      <c r="H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X89" s="12"/>
      <c r="Y89" s="12"/>
      <c r="Z89" s="12"/>
    </row>
    <row r="90" spans="6:26" x14ac:dyDescent="0.2">
      <c r="F90" s="12"/>
      <c r="G90" s="12"/>
      <c r="H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6:26" x14ac:dyDescent="0.2">
      <c r="F91" s="12"/>
      <c r="G91" s="12"/>
      <c r="H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6:26" x14ac:dyDescent="0.2">
      <c r="F92" s="12"/>
      <c r="G92" s="12"/>
      <c r="H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6:26" x14ac:dyDescent="0.2">
      <c r="F93" s="12"/>
      <c r="G93" s="12"/>
      <c r="H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6:26" x14ac:dyDescent="0.2">
      <c r="F94" s="12"/>
      <c r="G94" s="12"/>
      <c r="H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6:26" x14ac:dyDescent="0.2">
      <c r="F95" s="12"/>
      <c r="G95" s="12"/>
      <c r="H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6:26" x14ac:dyDescent="0.2">
      <c r="F96" s="12"/>
      <c r="G96" s="12"/>
      <c r="H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6:23" x14ac:dyDescent="0.2">
      <c r="F97" s="12"/>
      <c r="G97" s="12"/>
      <c r="H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6:23" x14ac:dyDescent="0.2">
      <c r="F98" s="12"/>
      <c r="G98" s="12"/>
      <c r="H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6:23" x14ac:dyDescent="0.2">
      <c r="F99" s="12"/>
      <c r="G99" s="12"/>
      <c r="H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6:23" x14ac:dyDescent="0.2">
      <c r="F100" s="12"/>
      <c r="G100" s="12"/>
      <c r="H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6:23" x14ac:dyDescent="0.2">
      <c r="F101" s="12"/>
      <c r="G101" s="12"/>
      <c r="H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6:23" x14ac:dyDescent="0.2"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6:23" x14ac:dyDescent="0.2">
      <c r="F103" s="12"/>
      <c r="G103" s="12"/>
      <c r="H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6:23" x14ac:dyDescent="0.2">
      <c r="F104" s="12"/>
      <c r="G104" s="12"/>
      <c r="H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6:23" x14ac:dyDescent="0.2">
      <c r="F105" s="12"/>
      <c r="G105" s="12"/>
      <c r="H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6:23" x14ac:dyDescent="0.2">
      <c r="F106" s="12"/>
      <c r="G106" s="12"/>
      <c r="H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6:23" x14ac:dyDescent="0.2">
      <c r="F107" s="12"/>
      <c r="G107" s="12"/>
      <c r="H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6:23" x14ac:dyDescent="0.2">
      <c r="F108" s="12"/>
      <c r="G108" s="12"/>
      <c r="H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6:23" x14ac:dyDescent="0.2">
      <c r="F109" s="12"/>
      <c r="G109" s="12"/>
      <c r="H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6:23" x14ac:dyDescent="0.2">
      <c r="F110" s="12"/>
      <c r="G110" s="12"/>
      <c r="H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6:23" x14ac:dyDescent="0.2">
      <c r="F111" s="12"/>
      <c r="G111" s="12"/>
      <c r="H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6:23" x14ac:dyDescent="0.2">
      <c r="F112" s="12"/>
      <c r="G112" s="12"/>
      <c r="H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6:23" x14ac:dyDescent="0.2">
      <c r="F113" s="12"/>
      <c r="G113" s="12"/>
      <c r="H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6:23" x14ac:dyDescent="0.2">
      <c r="F114" s="12"/>
      <c r="G114" s="12"/>
      <c r="H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6:23" x14ac:dyDescent="0.2">
      <c r="F115" s="12"/>
      <c r="G115" s="12"/>
      <c r="H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6:23" x14ac:dyDescent="0.2">
      <c r="F116" s="12"/>
      <c r="G116" s="12"/>
      <c r="H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6:23" x14ac:dyDescent="0.2">
      <c r="F117" s="12"/>
      <c r="G117" s="12"/>
      <c r="H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6:23" x14ac:dyDescent="0.2">
      <c r="F118" s="12"/>
      <c r="G118" s="12"/>
      <c r="H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6:23" x14ac:dyDescent="0.2">
      <c r="F119" s="12"/>
      <c r="G119" s="12"/>
      <c r="H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6:23" x14ac:dyDescent="0.2">
      <c r="F120" s="12"/>
      <c r="G120" s="12"/>
      <c r="H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6:23" x14ac:dyDescent="0.2">
      <c r="F121" s="12"/>
      <c r="G121" s="12"/>
      <c r="H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6:23" x14ac:dyDescent="0.2">
      <c r="F122" s="12"/>
      <c r="G122" s="12"/>
      <c r="H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6:23" x14ac:dyDescent="0.2">
      <c r="F123" s="12"/>
      <c r="G123" s="12"/>
      <c r="H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6:23" x14ac:dyDescent="0.2">
      <c r="F124" s="12"/>
      <c r="G124" s="12"/>
      <c r="H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6:23" x14ac:dyDescent="0.2">
      <c r="F125" s="12"/>
      <c r="G125" s="12"/>
      <c r="H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6:23" x14ac:dyDescent="0.2">
      <c r="F126" s="12"/>
      <c r="G126" s="12"/>
      <c r="H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6:23" x14ac:dyDescent="0.2">
      <c r="F127" s="12"/>
      <c r="G127" s="12"/>
      <c r="H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6:23" x14ac:dyDescent="0.2">
      <c r="F128" s="12"/>
      <c r="G128" s="12"/>
      <c r="H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6:23" x14ac:dyDescent="0.2">
      <c r="F129" s="12"/>
      <c r="G129" s="12"/>
      <c r="H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6:23" x14ac:dyDescent="0.2">
      <c r="F130" s="12"/>
      <c r="G130" s="12"/>
      <c r="H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6:23" x14ac:dyDescent="0.2">
      <c r="F131" s="12"/>
      <c r="G131" s="12"/>
      <c r="H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6:23" x14ac:dyDescent="0.2">
      <c r="F132" s="12"/>
      <c r="G132" s="12"/>
      <c r="H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6:23" x14ac:dyDescent="0.2">
      <c r="F133" s="12"/>
      <c r="G133" s="12"/>
      <c r="H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6:23" x14ac:dyDescent="0.2">
      <c r="F134" s="12"/>
      <c r="G134" s="12"/>
      <c r="H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6:23" x14ac:dyDescent="0.2">
      <c r="F135" s="12"/>
      <c r="G135" s="12"/>
      <c r="H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6:23" x14ac:dyDescent="0.2">
      <c r="F136" s="12"/>
      <c r="G136" s="12"/>
      <c r="H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6:23" x14ac:dyDescent="0.2">
      <c r="F137" s="12"/>
      <c r="G137" s="12"/>
      <c r="H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6:23" x14ac:dyDescent="0.2">
      <c r="F138" s="12"/>
      <c r="G138" s="12"/>
      <c r="H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6:23" x14ac:dyDescent="0.2">
      <c r="F139" s="12"/>
      <c r="G139" s="12"/>
      <c r="H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6:23" x14ac:dyDescent="0.2">
      <c r="F140" s="12"/>
      <c r="G140" s="12"/>
      <c r="H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6:23" x14ac:dyDescent="0.2">
      <c r="F141" s="12"/>
      <c r="G141" s="12"/>
      <c r="H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6:23" x14ac:dyDescent="0.2"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6:23" x14ac:dyDescent="0.2"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6:23" x14ac:dyDescent="0.2"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6:23" x14ac:dyDescent="0.2"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6:23" x14ac:dyDescent="0.2"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6:23" x14ac:dyDescent="0.2"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6:23" x14ac:dyDescent="0.2"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6:23" x14ac:dyDescent="0.2"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6:23" x14ac:dyDescent="0.2"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6:23" x14ac:dyDescent="0.2"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6:23" x14ac:dyDescent="0.2">
      <c r="F152" s="12"/>
      <c r="G152" s="12"/>
      <c r="H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6:23" x14ac:dyDescent="0.2">
      <c r="F153" s="12"/>
      <c r="G153" s="12"/>
      <c r="H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6:23" x14ac:dyDescent="0.2">
      <c r="F154" s="12"/>
      <c r="G154" s="12"/>
      <c r="H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6:23" x14ac:dyDescent="0.2">
      <c r="F155" s="12"/>
      <c r="G155" s="12"/>
      <c r="H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6:23" x14ac:dyDescent="0.2">
      <c r="F156" s="12"/>
      <c r="G156" s="12"/>
      <c r="H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6:23" x14ac:dyDescent="0.2">
      <c r="F157" s="12"/>
      <c r="G157" s="12"/>
      <c r="H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6:23" x14ac:dyDescent="0.2">
      <c r="F158" s="12"/>
      <c r="G158" s="12"/>
      <c r="H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6:23" x14ac:dyDescent="0.2">
      <c r="F159" s="12"/>
      <c r="G159" s="12"/>
      <c r="H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6:23" x14ac:dyDescent="0.2">
      <c r="F160" s="12"/>
      <c r="G160" s="12"/>
      <c r="H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6:23" x14ac:dyDescent="0.2">
      <c r="F161" s="12"/>
      <c r="G161" s="12"/>
      <c r="H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6:23" x14ac:dyDescent="0.2">
      <c r="F162" s="12"/>
      <c r="G162" s="12"/>
      <c r="H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6:23" x14ac:dyDescent="0.2">
      <c r="F163" s="12"/>
      <c r="G163" s="12"/>
      <c r="H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6:23" x14ac:dyDescent="0.2">
      <c r="F164" s="12"/>
      <c r="G164" s="12"/>
      <c r="H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6:23" x14ac:dyDescent="0.2">
      <c r="F165" s="12"/>
      <c r="G165" s="12"/>
      <c r="H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6:23" x14ac:dyDescent="0.2">
      <c r="F166" s="12"/>
      <c r="G166" s="12"/>
      <c r="H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6:23" x14ac:dyDescent="0.2">
      <c r="F167" s="12"/>
      <c r="G167" s="12"/>
      <c r="H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6:23" x14ac:dyDescent="0.2">
      <c r="F168" s="12"/>
      <c r="G168" s="12"/>
      <c r="H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6:23" x14ac:dyDescent="0.2">
      <c r="F169" s="12"/>
      <c r="G169" s="12"/>
      <c r="H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6:23" x14ac:dyDescent="0.2">
      <c r="F170" s="12"/>
      <c r="G170" s="12"/>
      <c r="H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6:23" x14ac:dyDescent="0.2">
      <c r="F171" s="12"/>
      <c r="G171" s="12"/>
      <c r="H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6:23" x14ac:dyDescent="0.2">
      <c r="F172" s="12"/>
      <c r="G172" s="12"/>
      <c r="H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6:23" x14ac:dyDescent="0.2">
      <c r="F173" s="12"/>
      <c r="G173" s="12"/>
      <c r="H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6:23" x14ac:dyDescent="0.2">
      <c r="F174" s="12"/>
      <c r="G174" s="12"/>
      <c r="H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6:23" x14ac:dyDescent="0.2">
      <c r="F175" s="12"/>
      <c r="G175" s="12"/>
      <c r="H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6:23" x14ac:dyDescent="0.2">
      <c r="F176" s="12"/>
      <c r="G176" s="12"/>
      <c r="H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6:23" x14ac:dyDescent="0.2">
      <c r="F177" s="12"/>
      <c r="G177" s="12"/>
      <c r="H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6:23" x14ac:dyDescent="0.2">
      <c r="F178" s="12"/>
      <c r="G178" s="12"/>
      <c r="H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6:23" x14ac:dyDescent="0.2">
      <c r="F179" s="12"/>
      <c r="G179" s="12"/>
      <c r="H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6:23" x14ac:dyDescent="0.2">
      <c r="F180" s="12"/>
      <c r="G180" s="12"/>
      <c r="H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6:23" x14ac:dyDescent="0.2">
      <c r="F181" s="12"/>
      <c r="G181" s="12"/>
      <c r="H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6:23" x14ac:dyDescent="0.2">
      <c r="F182" s="12"/>
      <c r="G182" s="12"/>
      <c r="H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6:23" x14ac:dyDescent="0.2">
      <c r="F183" s="12"/>
      <c r="G183" s="12"/>
      <c r="H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6:23" x14ac:dyDescent="0.2">
      <c r="F184" s="12"/>
      <c r="G184" s="12"/>
      <c r="H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6:23" x14ac:dyDescent="0.2">
      <c r="F185" s="12"/>
      <c r="G185" s="12"/>
      <c r="H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6:23" x14ac:dyDescent="0.2">
      <c r="F186" s="12"/>
      <c r="G186" s="12"/>
      <c r="H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6:23" x14ac:dyDescent="0.2">
      <c r="F187" s="12"/>
      <c r="G187" s="12"/>
      <c r="H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6:23" x14ac:dyDescent="0.2">
      <c r="F188" s="12"/>
      <c r="G188" s="12"/>
      <c r="H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6:23" x14ac:dyDescent="0.2">
      <c r="F189" s="12"/>
      <c r="G189" s="12"/>
      <c r="H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6:23" x14ac:dyDescent="0.2">
      <c r="F190" s="12"/>
      <c r="G190" s="12"/>
      <c r="H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6:23" x14ac:dyDescent="0.2">
      <c r="F191" s="12"/>
      <c r="G191" s="12"/>
      <c r="H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6:23" x14ac:dyDescent="0.2">
      <c r="F192" s="12"/>
      <c r="G192" s="12"/>
      <c r="H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6:23" x14ac:dyDescent="0.2">
      <c r="F193" s="12"/>
      <c r="G193" s="12"/>
      <c r="H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6:23" x14ac:dyDescent="0.2">
      <c r="F194" s="12"/>
      <c r="G194" s="12"/>
      <c r="H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6:23" x14ac:dyDescent="0.2">
      <c r="F195" s="12"/>
      <c r="G195" s="12"/>
      <c r="H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6:23" x14ac:dyDescent="0.2">
      <c r="F196" s="12"/>
      <c r="G196" s="12"/>
      <c r="H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6:23" x14ac:dyDescent="0.2">
      <c r="F197" s="12"/>
      <c r="G197" s="12"/>
      <c r="H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6:23" x14ac:dyDescent="0.2">
      <c r="F198" s="12"/>
      <c r="G198" s="12"/>
      <c r="H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6:23" x14ac:dyDescent="0.2">
      <c r="F199" s="12"/>
      <c r="G199" s="12"/>
      <c r="H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6:23" x14ac:dyDescent="0.2">
      <c r="F200" s="12"/>
      <c r="G200" s="12"/>
      <c r="H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6:23" x14ac:dyDescent="0.2">
      <c r="F201" s="12"/>
      <c r="G201" s="12"/>
      <c r="H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6:23" x14ac:dyDescent="0.2">
      <c r="F202" s="12"/>
      <c r="G202" s="12"/>
      <c r="H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6:23" x14ac:dyDescent="0.2">
      <c r="F203" s="12"/>
      <c r="G203" s="12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6:23" x14ac:dyDescent="0.2">
      <c r="F204" s="12"/>
      <c r="G204" s="12"/>
      <c r="H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6:23" x14ac:dyDescent="0.2">
      <c r="F205" s="12"/>
      <c r="G205" s="12"/>
      <c r="H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6:23" x14ac:dyDescent="0.2"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6:23" x14ac:dyDescent="0.2"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6:23" x14ac:dyDescent="0.2">
      <c r="F208" s="12"/>
      <c r="G208" s="12"/>
      <c r="H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6:23" x14ac:dyDescent="0.2">
      <c r="F209" s="12"/>
      <c r="G209" s="12"/>
      <c r="H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6:23" x14ac:dyDescent="0.2">
      <c r="F210" s="12"/>
      <c r="G210" s="12"/>
      <c r="H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6:23" x14ac:dyDescent="0.2">
      <c r="F211" s="12"/>
      <c r="G211" s="12"/>
      <c r="H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6:23" x14ac:dyDescent="0.2">
      <c r="F212" s="12"/>
      <c r="G212" s="12"/>
      <c r="H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6:23" x14ac:dyDescent="0.2">
      <c r="F213" s="12"/>
      <c r="G213" s="12"/>
      <c r="H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6:23" x14ac:dyDescent="0.2">
      <c r="F214" s="12"/>
      <c r="G214" s="12"/>
      <c r="H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6:23" x14ac:dyDescent="0.2">
      <c r="F215" s="12"/>
      <c r="G215" s="12"/>
      <c r="H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6:23" x14ac:dyDescent="0.2">
      <c r="F216" s="12"/>
      <c r="G216" s="12"/>
      <c r="H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6:23" x14ac:dyDescent="0.2">
      <c r="F217" s="12"/>
      <c r="G217" s="12"/>
      <c r="H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6:23" x14ac:dyDescent="0.2">
      <c r="F218" s="12"/>
      <c r="G218" s="12"/>
      <c r="H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6:23" x14ac:dyDescent="0.2">
      <c r="F219" s="12"/>
      <c r="G219" s="12"/>
      <c r="H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6:23" x14ac:dyDescent="0.2">
      <c r="F220" s="12"/>
      <c r="G220" s="12"/>
      <c r="H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6:23" x14ac:dyDescent="0.2">
      <c r="F221" s="12"/>
      <c r="G221" s="12"/>
      <c r="H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6:23" x14ac:dyDescent="0.2">
      <c r="F222" s="12"/>
      <c r="G222" s="12"/>
      <c r="H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6:23" x14ac:dyDescent="0.2">
      <c r="F223" s="12"/>
      <c r="G223" s="12"/>
      <c r="H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6:23" x14ac:dyDescent="0.2">
      <c r="F224" s="12"/>
      <c r="G224" s="12"/>
      <c r="H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6:23" x14ac:dyDescent="0.2">
      <c r="F225" s="12"/>
      <c r="G225" s="12"/>
      <c r="H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6:23" x14ac:dyDescent="0.2">
      <c r="F226" s="12"/>
      <c r="G226" s="12"/>
      <c r="H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6:23" x14ac:dyDescent="0.2">
      <c r="F227" s="12"/>
      <c r="G227" s="12"/>
      <c r="H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6:23" x14ac:dyDescent="0.2">
      <c r="F228" s="12"/>
      <c r="G228" s="12"/>
      <c r="H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6:23" x14ac:dyDescent="0.2">
      <c r="F229" s="12"/>
      <c r="G229" s="12"/>
      <c r="H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6:23" x14ac:dyDescent="0.2">
      <c r="F230" s="12"/>
      <c r="G230" s="12"/>
      <c r="H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6:23" x14ac:dyDescent="0.2">
      <c r="F231" s="12"/>
      <c r="G231" s="12"/>
      <c r="H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6:23" x14ac:dyDescent="0.2">
      <c r="F232" s="12"/>
      <c r="G232" s="12"/>
      <c r="H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6:23" x14ac:dyDescent="0.2">
      <c r="F233" s="12"/>
      <c r="G233" s="12"/>
      <c r="H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6:23" x14ac:dyDescent="0.2">
      <c r="F234" s="12"/>
      <c r="G234" s="12"/>
      <c r="H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6:23" x14ac:dyDescent="0.2">
      <c r="F235" s="12"/>
      <c r="G235" s="12"/>
      <c r="H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6:23" x14ac:dyDescent="0.2">
      <c r="F236" s="12"/>
      <c r="G236" s="12"/>
      <c r="H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6:23" x14ac:dyDescent="0.2">
      <c r="F237" s="12"/>
      <c r="G237" s="12"/>
      <c r="H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6:23" x14ac:dyDescent="0.2">
      <c r="F238" s="12"/>
      <c r="G238" s="12"/>
      <c r="H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6:23" x14ac:dyDescent="0.2">
      <c r="F239" s="12"/>
      <c r="G239" s="12"/>
      <c r="H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6:23" x14ac:dyDescent="0.2">
      <c r="F240" s="12"/>
      <c r="G240" s="12"/>
      <c r="H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6:23" x14ac:dyDescent="0.2">
      <c r="F241" s="12"/>
      <c r="G241" s="12"/>
      <c r="H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6:23" x14ac:dyDescent="0.2">
      <c r="F242" s="12"/>
      <c r="G242" s="12"/>
      <c r="H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6:23" x14ac:dyDescent="0.2">
      <c r="F243" s="12"/>
      <c r="G243" s="12"/>
      <c r="H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6:23" x14ac:dyDescent="0.2">
      <c r="F244" s="12"/>
      <c r="G244" s="12"/>
      <c r="H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6:23" x14ac:dyDescent="0.2">
      <c r="F245" s="12"/>
      <c r="G245" s="12"/>
      <c r="H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6:23" x14ac:dyDescent="0.2">
      <c r="F246" s="12"/>
      <c r="G246" s="12"/>
      <c r="H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6:23" x14ac:dyDescent="0.2">
      <c r="F247" s="12"/>
      <c r="G247" s="12"/>
      <c r="H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6:23" x14ac:dyDescent="0.2">
      <c r="F248" s="12"/>
      <c r="G248" s="12"/>
      <c r="H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6:23" x14ac:dyDescent="0.2">
      <c r="F249" s="12"/>
      <c r="G249" s="12"/>
      <c r="H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6:23" x14ac:dyDescent="0.2">
      <c r="F250" s="12"/>
      <c r="G250" s="12"/>
      <c r="H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6:23" x14ac:dyDescent="0.2">
      <c r="F251" s="12"/>
      <c r="G251" s="12"/>
      <c r="H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6:23" x14ac:dyDescent="0.2">
      <c r="F252" s="12"/>
      <c r="G252" s="12"/>
      <c r="H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6:23" x14ac:dyDescent="0.2">
      <c r="F253" s="12"/>
      <c r="G253" s="12"/>
      <c r="H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6:23" x14ac:dyDescent="0.2">
      <c r="F254" s="12"/>
      <c r="G254" s="12"/>
      <c r="H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6:23" x14ac:dyDescent="0.2">
      <c r="F255" s="12"/>
      <c r="G255" s="12"/>
      <c r="H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6:23" x14ac:dyDescent="0.2">
      <c r="F256" s="12"/>
      <c r="G256" s="12"/>
      <c r="H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6:23" x14ac:dyDescent="0.2">
      <c r="F257" s="12"/>
      <c r="G257" s="12"/>
      <c r="H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6:23" x14ac:dyDescent="0.2">
      <c r="F258" s="12"/>
      <c r="G258" s="12"/>
      <c r="H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6:23" x14ac:dyDescent="0.2">
      <c r="F259" s="12"/>
      <c r="G259" s="12"/>
      <c r="H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6:23" x14ac:dyDescent="0.2">
      <c r="F260" s="12"/>
      <c r="G260" s="12"/>
      <c r="H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6:23" x14ac:dyDescent="0.2">
      <c r="F261" s="12"/>
      <c r="G261" s="12"/>
      <c r="H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6:23" x14ac:dyDescent="0.2">
      <c r="F262" s="12"/>
      <c r="G262" s="12"/>
      <c r="H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6:23" x14ac:dyDescent="0.2">
      <c r="F263" s="12"/>
      <c r="G263" s="12"/>
      <c r="H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6:23" x14ac:dyDescent="0.2">
      <c r="F264" s="12"/>
      <c r="G264" s="12"/>
      <c r="H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6:23" x14ac:dyDescent="0.2">
      <c r="F265" s="12"/>
      <c r="G265" s="12"/>
      <c r="H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6:23" x14ac:dyDescent="0.2">
      <c r="F266" s="12"/>
      <c r="G266" s="12"/>
      <c r="H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6:23" x14ac:dyDescent="0.2">
      <c r="F267" s="12"/>
      <c r="G267" s="12"/>
      <c r="H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6:23" x14ac:dyDescent="0.2">
      <c r="F268" s="12"/>
      <c r="G268" s="12"/>
      <c r="H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6:23" x14ac:dyDescent="0.2">
      <c r="F269" s="12"/>
      <c r="G269" s="12"/>
      <c r="H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6:23" x14ac:dyDescent="0.2">
      <c r="F270" s="12"/>
      <c r="G270" s="12"/>
      <c r="H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6:23" x14ac:dyDescent="0.2">
      <c r="F271" s="12"/>
      <c r="G271" s="12"/>
      <c r="H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6:23" x14ac:dyDescent="0.2">
      <c r="F272" s="12"/>
      <c r="G272" s="12"/>
      <c r="H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6:23" x14ac:dyDescent="0.2">
      <c r="F273" s="12"/>
      <c r="G273" s="12"/>
      <c r="H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6:23" x14ac:dyDescent="0.2">
      <c r="F274" s="12"/>
      <c r="G274" s="12"/>
      <c r="H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6:23" x14ac:dyDescent="0.2">
      <c r="F275" s="12"/>
      <c r="G275" s="12"/>
      <c r="H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6:23" x14ac:dyDescent="0.2">
      <c r="F276" s="12"/>
      <c r="G276" s="12"/>
      <c r="H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6:23" x14ac:dyDescent="0.2">
      <c r="F277" s="12"/>
      <c r="G277" s="12"/>
      <c r="H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6:23" x14ac:dyDescent="0.2">
      <c r="F278" s="12"/>
      <c r="G278" s="12"/>
      <c r="H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6:23" x14ac:dyDescent="0.2">
      <c r="F279" s="12"/>
      <c r="G279" s="12"/>
      <c r="H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6:23" x14ac:dyDescent="0.2">
      <c r="F280" s="12"/>
      <c r="G280" s="12"/>
      <c r="H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6:23" x14ac:dyDescent="0.2">
      <c r="F281" s="12"/>
      <c r="G281" s="12"/>
      <c r="H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6:23" x14ac:dyDescent="0.2">
      <c r="F282" s="12"/>
      <c r="G282" s="12"/>
      <c r="H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6:23" x14ac:dyDescent="0.2">
      <c r="F283" s="12"/>
      <c r="G283" s="12"/>
      <c r="H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6:23" x14ac:dyDescent="0.2">
      <c r="F284" s="12"/>
      <c r="G284" s="12"/>
      <c r="H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6:23" x14ac:dyDescent="0.2">
      <c r="F285" s="12"/>
      <c r="G285" s="12"/>
      <c r="H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6:23" x14ac:dyDescent="0.2">
      <c r="F286" s="12"/>
      <c r="G286" s="12"/>
      <c r="H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6:23" x14ac:dyDescent="0.2">
      <c r="F287" s="12"/>
      <c r="G287" s="12"/>
      <c r="H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6:23" x14ac:dyDescent="0.2">
      <c r="F288" s="12"/>
      <c r="G288" s="12"/>
      <c r="H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6:23" x14ac:dyDescent="0.2">
      <c r="F289" s="12"/>
      <c r="G289" s="12"/>
      <c r="H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6:23" x14ac:dyDescent="0.2">
      <c r="F290" s="12"/>
      <c r="G290" s="12"/>
      <c r="H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6:23" x14ac:dyDescent="0.2">
      <c r="F291" s="12"/>
      <c r="G291" s="12"/>
      <c r="H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6:23" x14ac:dyDescent="0.2">
      <c r="F292" s="12"/>
      <c r="G292" s="12"/>
      <c r="H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6:23" x14ac:dyDescent="0.2">
      <c r="F293" s="12"/>
      <c r="G293" s="12"/>
      <c r="H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6:23" x14ac:dyDescent="0.2">
      <c r="F294" s="12"/>
      <c r="G294" s="12"/>
      <c r="H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6:23" x14ac:dyDescent="0.2">
      <c r="F295" s="12"/>
      <c r="G295" s="12"/>
      <c r="H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6:23" x14ac:dyDescent="0.2">
      <c r="F296" s="12"/>
      <c r="G296" s="12"/>
      <c r="H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6:23" x14ac:dyDescent="0.2">
      <c r="F297" s="12"/>
      <c r="G297" s="12"/>
      <c r="H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6:23" x14ac:dyDescent="0.2">
      <c r="F298" s="12"/>
      <c r="G298" s="12"/>
      <c r="H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6:23" x14ac:dyDescent="0.2">
      <c r="F299" s="12"/>
      <c r="G299" s="12"/>
      <c r="H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6:23" x14ac:dyDescent="0.2">
      <c r="F300" s="12"/>
      <c r="G300" s="12"/>
      <c r="H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6:23" x14ac:dyDescent="0.2">
      <c r="F301" s="12"/>
      <c r="G301" s="12"/>
      <c r="H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6:23" x14ac:dyDescent="0.2">
      <c r="F302" s="12"/>
      <c r="G302" s="12"/>
      <c r="H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6:23" x14ac:dyDescent="0.2">
      <c r="F303" s="12"/>
      <c r="G303" s="12"/>
      <c r="H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6:23" x14ac:dyDescent="0.2">
      <c r="F304" s="12"/>
      <c r="G304" s="12"/>
      <c r="H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6:23" x14ac:dyDescent="0.2">
      <c r="F305" s="12"/>
      <c r="G305" s="12"/>
      <c r="H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6:23" x14ac:dyDescent="0.2">
      <c r="F306" s="12"/>
      <c r="G306" s="12"/>
      <c r="H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6:23" x14ac:dyDescent="0.2">
      <c r="F307" s="12"/>
      <c r="G307" s="12"/>
      <c r="H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6:23" x14ac:dyDescent="0.2">
      <c r="F308" s="12"/>
      <c r="G308" s="12"/>
      <c r="H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6:23" x14ac:dyDescent="0.2">
      <c r="F309" s="12"/>
      <c r="G309" s="12"/>
      <c r="H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6:23" x14ac:dyDescent="0.2">
      <c r="F310" s="12"/>
      <c r="G310" s="12"/>
      <c r="H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6:23" x14ac:dyDescent="0.2">
      <c r="F311" s="12"/>
      <c r="G311" s="12"/>
      <c r="H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6:23" x14ac:dyDescent="0.2">
      <c r="F312" s="12"/>
      <c r="G312" s="12"/>
      <c r="H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6:23" x14ac:dyDescent="0.2">
      <c r="F313" s="12"/>
      <c r="G313" s="12"/>
      <c r="H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6:23" x14ac:dyDescent="0.2">
      <c r="F314" s="12"/>
      <c r="G314" s="12"/>
      <c r="H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6:23" x14ac:dyDescent="0.2">
      <c r="F315" s="12"/>
      <c r="G315" s="12"/>
      <c r="H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6:23" x14ac:dyDescent="0.2">
      <c r="F316" s="12"/>
      <c r="G316" s="12"/>
      <c r="H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6:23" x14ac:dyDescent="0.2">
      <c r="F317" s="12"/>
      <c r="G317" s="12"/>
      <c r="H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6:23" x14ac:dyDescent="0.2">
      <c r="F318" s="12"/>
      <c r="G318" s="12"/>
      <c r="H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6:23" x14ac:dyDescent="0.2">
      <c r="F319" s="12"/>
      <c r="G319" s="12"/>
      <c r="H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6:23" x14ac:dyDescent="0.2">
      <c r="F320" s="12"/>
      <c r="G320" s="12"/>
      <c r="H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6:23" x14ac:dyDescent="0.2">
      <c r="F321" s="12"/>
      <c r="G321" s="12"/>
      <c r="H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6:23" x14ac:dyDescent="0.2">
      <c r="F322" s="12"/>
      <c r="G322" s="12"/>
      <c r="H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6:23" x14ac:dyDescent="0.2">
      <c r="F323" s="12"/>
      <c r="G323" s="12"/>
      <c r="H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6:23" x14ac:dyDescent="0.2">
      <c r="F324" s="12"/>
      <c r="G324" s="12"/>
      <c r="H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6:23" x14ac:dyDescent="0.2">
      <c r="F325" s="12"/>
      <c r="G325" s="12"/>
      <c r="H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6:23" x14ac:dyDescent="0.2">
      <c r="F326" s="12"/>
      <c r="G326" s="12"/>
      <c r="H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6:23" x14ac:dyDescent="0.2">
      <c r="F327" s="12"/>
      <c r="G327" s="12"/>
      <c r="H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6:23" x14ac:dyDescent="0.2">
      <c r="F328" s="12"/>
      <c r="G328" s="12"/>
      <c r="H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6:23" x14ac:dyDescent="0.2">
      <c r="F329" s="12"/>
      <c r="G329" s="12"/>
      <c r="H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6:23" x14ac:dyDescent="0.2">
      <c r="F330" s="12"/>
      <c r="G330" s="12"/>
      <c r="H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6:23" x14ac:dyDescent="0.2">
      <c r="F331" s="12"/>
      <c r="G331" s="12"/>
      <c r="H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6:23" x14ac:dyDescent="0.2">
      <c r="F332" s="12"/>
      <c r="G332" s="12"/>
      <c r="H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6:23" x14ac:dyDescent="0.2">
      <c r="F333" s="12"/>
      <c r="G333" s="12"/>
      <c r="H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6:23" x14ac:dyDescent="0.2">
      <c r="F334" s="12"/>
      <c r="G334" s="12"/>
      <c r="H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6:23" x14ac:dyDescent="0.2">
      <c r="F335" s="12"/>
      <c r="G335" s="12"/>
      <c r="H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6:23" x14ac:dyDescent="0.2">
      <c r="F336" s="12"/>
      <c r="G336" s="12"/>
      <c r="H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6:23" x14ac:dyDescent="0.2">
      <c r="F337" s="12"/>
      <c r="G337" s="12"/>
      <c r="H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6:23" x14ac:dyDescent="0.2">
      <c r="F338" s="12"/>
      <c r="G338" s="12"/>
      <c r="H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6:23" x14ac:dyDescent="0.2">
      <c r="F339" s="12"/>
      <c r="G339" s="12"/>
      <c r="H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6:23" x14ac:dyDescent="0.2">
      <c r="F340" s="12"/>
      <c r="G340" s="12"/>
      <c r="H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6:23" x14ac:dyDescent="0.2">
      <c r="F341" s="12"/>
      <c r="G341" s="12"/>
      <c r="H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6:23" x14ac:dyDescent="0.2">
      <c r="F342" s="12"/>
      <c r="G342" s="12"/>
      <c r="H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6:23" x14ac:dyDescent="0.2">
      <c r="F343" s="12"/>
      <c r="G343" s="12"/>
      <c r="H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6:23" x14ac:dyDescent="0.2">
      <c r="F344" s="12"/>
      <c r="G344" s="12"/>
      <c r="H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6:23" x14ac:dyDescent="0.2">
      <c r="F345" s="12"/>
      <c r="G345" s="12"/>
      <c r="H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6:23" x14ac:dyDescent="0.2">
      <c r="F346" s="12"/>
      <c r="G346" s="12"/>
      <c r="H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6:23" x14ac:dyDescent="0.2">
      <c r="F347" s="12"/>
      <c r="G347" s="12"/>
      <c r="H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6:23" x14ac:dyDescent="0.2">
      <c r="F348" s="12"/>
      <c r="G348" s="12"/>
      <c r="H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6:23" x14ac:dyDescent="0.2">
      <c r="F349" s="12"/>
      <c r="G349" s="12"/>
      <c r="H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6:23" x14ac:dyDescent="0.2">
      <c r="F350" s="12"/>
      <c r="G350" s="12"/>
      <c r="H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6:23" x14ac:dyDescent="0.2">
      <c r="F351" s="12"/>
      <c r="G351" s="12"/>
      <c r="H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6:23" x14ac:dyDescent="0.2">
      <c r="F352" s="12"/>
      <c r="G352" s="12"/>
      <c r="H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6:23" x14ac:dyDescent="0.2">
      <c r="F353" s="12"/>
      <c r="G353" s="12"/>
      <c r="H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6:23" x14ac:dyDescent="0.2">
      <c r="F354" s="12"/>
      <c r="G354" s="12"/>
      <c r="H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6:23" x14ac:dyDescent="0.2">
      <c r="F355" s="12"/>
      <c r="G355" s="12"/>
      <c r="H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6:23" x14ac:dyDescent="0.2">
      <c r="F356" s="12"/>
      <c r="G356" s="12"/>
      <c r="H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6:23" x14ac:dyDescent="0.2">
      <c r="F357" s="12"/>
      <c r="G357" s="12"/>
      <c r="H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6:23" x14ac:dyDescent="0.2">
      <c r="F358" s="12"/>
      <c r="G358" s="12"/>
      <c r="H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6:23" x14ac:dyDescent="0.2">
      <c r="F359" s="12"/>
      <c r="G359" s="12"/>
      <c r="H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6:23" x14ac:dyDescent="0.2">
      <c r="F360" s="12"/>
      <c r="G360" s="12"/>
      <c r="H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6:23" x14ac:dyDescent="0.2">
      <c r="F361" s="12"/>
      <c r="G361" s="12"/>
      <c r="H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6:23" x14ac:dyDescent="0.2">
      <c r="F362" s="12"/>
      <c r="G362" s="12"/>
      <c r="H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6:23" x14ac:dyDescent="0.2">
      <c r="F363" s="12"/>
      <c r="G363" s="12"/>
      <c r="H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6:23" x14ac:dyDescent="0.2">
      <c r="F364" s="12"/>
      <c r="G364" s="12"/>
      <c r="H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6:23" x14ac:dyDescent="0.2">
      <c r="F365" s="12"/>
      <c r="G365" s="12"/>
      <c r="H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6:23" x14ac:dyDescent="0.2">
      <c r="F366" s="12"/>
      <c r="G366" s="12"/>
      <c r="H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6:23" x14ac:dyDescent="0.2">
      <c r="F367" s="12"/>
      <c r="G367" s="12"/>
      <c r="H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6:23" x14ac:dyDescent="0.2">
      <c r="F368" s="12"/>
      <c r="G368" s="12"/>
      <c r="H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6:23" x14ac:dyDescent="0.2">
      <c r="F369" s="12"/>
      <c r="G369" s="12"/>
      <c r="H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6:23" x14ac:dyDescent="0.2">
      <c r="F370" s="12"/>
      <c r="G370" s="12"/>
      <c r="H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6:23" x14ac:dyDescent="0.2">
      <c r="F371" s="12"/>
      <c r="G371" s="12"/>
      <c r="H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6:23" x14ac:dyDescent="0.2">
      <c r="F372" s="12"/>
      <c r="G372" s="12"/>
      <c r="H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6:23" x14ac:dyDescent="0.2">
      <c r="F373" s="12"/>
      <c r="G373" s="12"/>
      <c r="H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6:23" x14ac:dyDescent="0.2">
      <c r="F374" s="12"/>
      <c r="G374" s="12"/>
      <c r="H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6:23" x14ac:dyDescent="0.2">
      <c r="F375" s="12"/>
      <c r="G375" s="12"/>
      <c r="H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6:23" x14ac:dyDescent="0.2">
      <c r="F376" s="12"/>
      <c r="G376" s="12"/>
      <c r="H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6:23" x14ac:dyDescent="0.2">
      <c r="F377" s="12"/>
      <c r="G377" s="12"/>
      <c r="H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6:23" x14ac:dyDescent="0.2">
      <c r="F378" s="12"/>
      <c r="G378" s="12"/>
      <c r="H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6:23" x14ac:dyDescent="0.2">
      <c r="F379" s="12"/>
      <c r="G379" s="12"/>
      <c r="H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6:23" x14ac:dyDescent="0.2">
      <c r="F380" s="12"/>
      <c r="G380" s="12"/>
      <c r="H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6:23" x14ac:dyDescent="0.2">
      <c r="F381" s="12"/>
      <c r="G381" s="12"/>
      <c r="H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6:23" x14ac:dyDescent="0.2">
      <c r="F382" s="12"/>
      <c r="G382" s="12"/>
      <c r="H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6:23" x14ac:dyDescent="0.2">
      <c r="F383" s="12"/>
      <c r="G383" s="12"/>
      <c r="H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6:23" x14ac:dyDescent="0.2">
      <c r="F384" s="12"/>
      <c r="G384" s="12"/>
      <c r="H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6:23" x14ac:dyDescent="0.2">
      <c r="F385" s="12"/>
      <c r="G385" s="12"/>
      <c r="H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6:23" x14ac:dyDescent="0.2">
      <c r="F386" s="12"/>
      <c r="G386" s="12"/>
      <c r="H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6:23" x14ac:dyDescent="0.2">
      <c r="F387" s="12"/>
      <c r="G387" s="12"/>
      <c r="H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6:23" x14ac:dyDescent="0.2">
      <c r="F388" s="12"/>
      <c r="G388" s="12"/>
      <c r="H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6:23" x14ac:dyDescent="0.2">
      <c r="F389" s="12"/>
      <c r="G389" s="12"/>
      <c r="H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6:23" x14ac:dyDescent="0.2">
      <c r="F390" s="12"/>
      <c r="G390" s="12"/>
      <c r="H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6:23" x14ac:dyDescent="0.2">
      <c r="F391" s="12"/>
      <c r="G391" s="12"/>
      <c r="H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6:23" x14ac:dyDescent="0.2">
      <c r="F392" s="12"/>
      <c r="G392" s="12"/>
      <c r="H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6:23" x14ac:dyDescent="0.2">
      <c r="F393" s="12"/>
      <c r="G393" s="12"/>
      <c r="H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6:23" x14ac:dyDescent="0.2">
      <c r="F394" s="12"/>
      <c r="G394" s="12"/>
      <c r="H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6:23" x14ac:dyDescent="0.2">
      <c r="F395" s="12"/>
      <c r="G395" s="12"/>
      <c r="H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6:23" x14ac:dyDescent="0.2">
      <c r="F396" s="12"/>
      <c r="G396" s="12"/>
      <c r="H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6:23" x14ac:dyDescent="0.2">
      <c r="F397" s="12"/>
      <c r="G397" s="12"/>
      <c r="H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6:23" x14ac:dyDescent="0.2">
      <c r="F398" s="12"/>
      <c r="G398" s="12"/>
      <c r="H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6:23" x14ac:dyDescent="0.2">
      <c r="F399" s="12"/>
      <c r="G399" s="12"/>
      <c r="H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6:23" x14ac:dyDescent="0.2">
      <c r="F400" s="12"/>
      <c r="G400" s="12"/>
      <c r="H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6:23" x14ac:dyDescent="0.2">
      <c r="F401" s="12"/>
      <c r="G401" s="12"/>
      <c r="H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6:23" x14ac:dyDescent="0.2">
      <c r="F402" s="12"/>
      <c r="G402" s="12"/>
      <c r="H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6:23" x14ac:dyDescent="0.2">
      <c r="F403" s="12"/>
      <c r="G403" s="12"/>
      <c r="H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6:23" x14ac:dyDescent="0.2">
      <c r="F404" s="12"/>
      <c r="G404" s="12"/>
      <c r="H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6:23" x14ac:dyDescent="0.2">
      <c r="F405" s="12"/>
      <c r="G405" s="12"/>
      <c r="H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6:23" x14ac:dyDescent="0.2">
      <c r="F406" s="12"/>
      <c r="G406" s="12"/>
      <c r="H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6:23" x14ac:dyDescent="0.2">
      <c r="F407" s="12"/>
      <c r="G407" s="12"/>
      <c r="H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6:23" x14ac:dyDescent="0.2">
      <c r="F408" s="12"/>
      <c r="G408" s="12"/>
      <c r="H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6:23" x14ac:dyDescent="0.2">
      <c r="F409" s="12"/>
      <c r="G409" s="12"/>
      <c r="H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6:23" x14ac:dyDescent="0.2">
      <c r="F410" s="12"/>
      <c r="G410" s="12"/>
      <c r="H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6:23" x14ac:dyDescent="0.2">
      <c r="F411" s="12"/>
      <c r="G411" s="12"/>
      <c r="H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6:23" x14ac:dyDescent="0.2">
      <c r="F412" s="12"/>
      <c r="G412" s="12"/>
      <c r="H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6:23" x14ac:dyDescent="0.2">
      <c r="F413" s="12"/>
      <c r="G413" s="12"/>
      <c r="H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6:23" x14ac:dyDescent="0.2">
      <c r="F414" s="12"/>
      <c r="G414" s="12"/>
      <c r="H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6:23" x14ac:dyDescent="0.2">
      <c r="F415" s="12"/>
      <c r="G415" s="12"/>
      <c r="H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6:23" x14ac:dyDescent="0.2">
      <c r="F416" s="12"/>
      <c r="G416" s="12"/>
      <c r="H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6:23" x14ac:dyDescent="0.2">
      <c r="F417" s="12"/>
      <c r="G417" s="12"/>
      <c r="H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6:23" x14ac:dyDescent="0.2">
      <c r="F418" s="12"/>
      <c r="G418" s="12"/>
      <c r="H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6:23" x14ac:dyDescent="0.2">
      <c r="F419" s="12"/>
      <c r="G419" s="12"/>
      <c r="H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6:23" x14ac:dyDescent="0.2">
      <c r="F420" s="12"/>
      <c r="G420" s="12"/>
      <c r="H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6:23" x14ac:dyDescent="0.2">
      <c r="F421" s="12"/>
      <c r="G421" s="12"/>
      <c r="H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6:23" x14ac:dyDescent="0.2">
      <c r="F422" s="12"/>
      <c r="G422" s="12"/>
      <c r="H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6:23" x14ac:dyDescent="0.2">
      <c r="F423" s="12"/>
      <c r="G423" s="12"/>
      <c r="H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6:23" x14ac:dyDescent="0.2">
      <c r="F424" s="12"/>
      <c r="G424" s="12"/>
      <c r="H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6:23" x14ac:dyDescent="0.2">
      <c r="F425" s="12"/>
      <c r="G425" s="12"/>
      <c r="H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6:23" x14ac:dyDescent="0.2">
      <c r="F426" s="12"/>
      <c r="G426" s="12"/>
      <c r="H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6:23" x14ac:dyDescent="0.2">
      <c r="F427" s="12"/>
      <c r="G427" s="12"/>
      <c r="H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6:23" x14ac:dyDescent="0.2">
      <c r="F428" s="12"/>
      <c r="G428" s="12"/>
      <c r="H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6:23" x14ac:dyDescent="0.2">
      <c r="F429" s="12"/>
      <c r="G429" s="12"/>
      <c r="H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6:23" x14ac:dyDescent="0.2">
      <c r="F430" s="12"/>
      <c r="G430" s="12"/>
      <c r="H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6:23" x14ac:dyDescent="0.2">
      <c r="F431" s="12"/>
      <c r="G431" s="12"/>
      <c r="H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6:23" x14ac:dyDescent="0.2">
      <c r="F432" s="12"/>
      <c r="G432" s="12"/>
      <c r="H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6:23" x14ac:dyDescent="0.2">
      <c r="F433" s="12"/>
      <c r="G433" s="12"/>
      <c r="H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6:23" x14ac:dyDescent="0.2">
      <c r="F434" s="12"/>
      <c r="G434" s="12"/>
      <c r="H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6:23" x14ac:dyDescent="0.2">
      <c r="F435" s="12"/>
      <c r="G435" s="12"/>
      <c r="H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6:23" x14ac:dyDescent="0.2">
      <c r="F436" s="12"/>
      <c r="G436" s="12"/>
      <c r="H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6:23" x14ac:dyDescent="0.2">
      <c r="F437" s="12"/>
      <c r="G437" s="12"/>
      <c r="H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6:23" x14ac:dyDescent="0.2">
      <c r="F438" s="12"/>
      <c r="G438" s="12"/>
      <c r="H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6:23" x14ac:dyDescent="0.2">
      <c r="F439" s="12"/>
      <c r="G439" s="12"/>
      <c r="H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6:23" x14ac:dyDescent="0.2">
      <c r="F440" s="12"/>
      <c r="G440" s="12"/>
      <c r="H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6:23" x14ac:dyDescent="0.2">
      <c r="F441" s="12"/>
      <c r="G441" s="12"/>
      <c r="H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6:23" x14ac:dyDescent="0.2">
      <c r="F442" s="12"/>
      <c r="G442" s="12"/>
      <c r="H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6:23" x14ac:dyDescent="0.2">
      <c r="F443" s="12"/>
      <c r="G443" s="12"/>
      <c r="H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6:23" x14ac:dyDescent="0.2">
      <c r="F444" s="12"/>
      <c r="G444" s="12"/>
      <c r="H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6:23" x14ac:dyDescent="0.2">
      <c r="F445" s="12"/>
      <c r="G445" s="12"/>
      <c r="H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6:23" x14ac:dyDescent="0.2">
      <c r="F446" s="12"/>
      <c r="G446" s="12"/>
      <c r="H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6:23" x14ac:dyDescent="0.2">
      <c r="F447" s="12"/>
      <c r="G447" s="12"/>
      <c r="H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6:23" x14ac:dyDescent="0.2">
      <c r="F448" s="12"/>
      <c r="G448" s="12"/>
      <c r="H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6:23" x14ac:dyDescent="0.2">
      <c r="F449" s="12"/>
      <c r="G449" s="12"/>
      <c r="H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6:23" x14ac:dyDescent="0.2">
      <c r="F450" s="12"/>
      <c r="G450" s="12"/>
      <c r="H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6:23" x14ac:dyDescent="0.2">
      <c r="F451" s="12"/>
      <c r="G451" s="12"/>
      <c r="H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6:23" x14ac:dyDescent="0.2">
      <c r="F452" s="12"/>
      <c r="G452" s="12"/>
      <c r="H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6:23" x14ac:dyDescent="0.2">
      <c r="F453" s="12"/>
      <c r="G453" s="12"/>
      <c r="H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6:23" x14ac:dyDescent="0.2">
      <c r="F454" s="12"/>
      <c r="G454" s="12"/>
      <c r="H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6:23" x14ac:dyDescent="0.2">
      <c r="F455" s="12"/>
      <c r="G455" s="12"/>
      <c r="H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6:23" x14ac:dyDescent="0.2">
      <c r="F456" s="12"/>
      <c r="G456" s="12"/>
      <c r="H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6:23" x14ac:dyDescent="0.2">
      <c r="F457" s="12"/>
      <c r="G457" s="12"/>
      <c r="H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6:23" x14ac:dyDescent="0.2">
      <c r="F458" s="12"/>
      <c r="G458" s="12"/>
      <c r="H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6:23" x14ac:dyDescent="0.2">
      <c r="F459" s="12"/>
      <c r="G459" s="12"/>
      <c r="H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6:23" x14ac:dyDescent="0.2">
      <c r="F460" s="12"/>
      <c r="G460" s="12"/>
      <c r="H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6:23" x14ac:dyDescent="0.2">
      <c r="F461" s="12"/>
      <c r="G461" s="12"/>
      <c r="H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6:23" x14ac:dyDescent="0.2">
      <c r="F462" s="12"/>
      <c r="G462" s="12"/>
      <c r="H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6:23" x14ac:dyDescent="0.2">
      <c r="F463" s="12"/>
      <c r="G463" s="12"/>
      <c r="H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6:23" x14ac:dyDescent="0.2">
      <c r="F464" s="12"/>
      <c r="G464" s="12"/>
      <c r="H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6:23" x14ac:dyDescent="0.2">
      <c r="F465" s="12"/>
      <c r="G465" s="12"/>
      <c r="H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6:23" x14ac:dyDescent="0.2">
      <c r="F466" s="12"/>
      <c r="G466" s="12"/>
      <c r="H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6:23" x14ac:dyDescent="0.2">
      <c r="F467" s="12"/>
      <c r="G467" s="12"/>
      <c r="H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6:23" x14ac:dyDescent="0.2">
      <c r="F468" s="12"/>
      <c r="G468" s="12"/>
      <c r="H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6:23" x14ac:dyDescent="0.2">
      <c r="F469" s="12"/>
      <c r="G469" s="12"/>
      <c r="H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6:23" x14ac:dyDescent="0.2">
      <c r="F470" s="12"/>
      <c r="G470" s="12"/>
      <c r="H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6:23" x14ac:dyDescent="0.2">
      <c r="F471" s="12"/>
      <c r="G471" s="12"/>
      <c r="H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6:23" x14ac:dyDescent="0.2">
      <c r="F472" s="12"/>
      <c r="G472" s="12"/>
      <c r="H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6:23" x14ac:dyDescent="0.2">
      <c r="F473" s="12"/>
      <c r="G473" s="12"/>
      <c r="H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6:23" x14ac:dyDescent="0.2">
      <c r="F474" s="12"/>
      <c r="G474" s="12"/>
      <c r="H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6:23" x14ac:dyDescent="0.2">
      <c r="F475" s="12"/>
      <c r="G475" s="12"/>
      <c r="H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6:23" x14ac:dyDescent="0.2">
      <c r="F476" s="12"/>
      <c r="G476" s="12"/>
      <c r="H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6:23" x14ac:dyDescent="0.2">
      <c r="F477" s="12"/>
      <c r="G477" s="12"/>
      <c r="H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6:23" x14ac:dyDescent="0.2">
      <c r="F478" s="12"/>
      <c r="G478" s="12"/>
      <c r="H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6:23" x14ac:dyDescent="0.2">
      <c r="F479" s="12"/>
      <c r="G479" s="12"/>
      <c r="H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6:23" x14ac:dyDescent="0.2">
      <c r="F480" s="12"/>
      <c r="G480" s="12"/>
      <c r="H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6:23" x14ac:dyDescent="0.2">
      <c r="F481" s="12"/>
      <c r="G481" s="12"/>
      <c r="H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6:23" x14ac:dyDescent="0.2">
      <c r="F482" s="12"/>
      <c r="G482" s="12"/>
      <c r="H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6:23" x14ac:dyDescent="0.2">
      <c r="F483" s="12"/>
      <c r="G483" s="12"/>
      <c r="H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6:23" x14ac:dyDescent="0.2">
      <c r="F484" s="12"/>
      <c r="G484" s="12"/>
      <c r="H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6:23" x14ac:dyDescent="0.2">
      <c r="F485" s="12"/>
      <c r="G485" s="12"/>
      <c r="H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6:23" x14ac:dyDescent="0.2">
      <c r="F486" s="12"/>
      <c r="G486" s="12"/>
      <c r="H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6:23" x14ac:dyDescent="0.2">
      <c r="F487" s="12"/>
      <c r="G487" s="12"/>
      <c r="H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6:23" x14ac:dyDescent="0.2">
      <c r="F488" s="12"/>
      <c r="G488" s="12"/>
      <c r="H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6:23" x14ac:dyDescent="0.2">
      <c r="F489" s="12"/>
      <c r="G489" s="12"/>
      <c r="H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6:23" x14ac:dyDescent="0.2">
      <c r="F490" s="12"/>
      <c r="G490" s="12"/>
      <c r="H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6:23" x14ac:dyDescent="0.2">
      <c r="F491" s="12"/>
      <c r="G491" s="12"/>
      <c r="H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6:23" x14ac:dyDescent="0.2">
      <c r="F492" s="12"/>
      <c r="G492" s="12"/>
      <c r="H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6:23" x14ac:dyDescent="0.2">
      <c r="F493" s="12"/>
      <c r="G493" s="12"/>
      <c r="H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6:23" x14ac:dyDescent="0.2">
      <c r="F494" s="12"/>
      <c r="G494" s="12"/>
      <c r="H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6:23" x14ac:dyDescent="0.2">
      <c r="F495" s="12"/>
      <c r="G495" s="12"/>
      <c r="H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6:23" x14ac:dyDescent="0.2">
      <c r="F496" s="12"/>
      <c r="G496" s="12"/>
      <c r="H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6:23" x14ac:dyDescent="0.2">
      <c r="F497" s="12"/>
      <c r="G497" s="12"/>
      <c r="H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6:23" x14ac:dyDescent="0.2">
      <c r="F498" s="12"/>
      <c r="G498" s="12"/>
      <c r="H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6:23" x14ac:dyDescent="0.2">
      <c r="F499" s="12"/>
      <c r="G499" s="12"/>
      <c r="H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6:23" x14ac:dyDescent="0.2">
      <c r="F500" s="12"/>
      <c r="G500" s="12"/>
      <c r="H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6:23" x14ac:dyDescent="0.2">
      <c r="F501" s="12"/>
      <c r="G501" s="12"/>
      <c r="H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6:23" x14ac:dyDescent="0.2">
      <c r="F502" s="12"/>
      <c r="G502" s="12"/>
      <c r="H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6:23" x14ac:dyDescent="0.2">
      <c r="F503" s="12"/>
      <c r="G503" s="12"/>
      <c r="H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6:23" x14ac:dyDescent="0.2">
      <c r="F504" s="12"/>
      <c r="G504" s="12"/>
      <c r="H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6:23" x14ac:dyDescent="0.2">
      <c r="F505" s="12"/>
      <c r="G505" s="12"/>
      <c r="H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6:23" x14ac:dyDescent="0.2">
      <c r="F506" s="12"/>
      <c r="G506" s="12"/>
      <c r="H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6:23" x14ac:dyDescent="0.2">
      <c r="F507" s="12"/>
      <c r="G507" s="12"/>
      <c r="H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6:23" x14ac:dyDescent="0.2">
      <c r="F508" s="12"/>
      <c r="G508" s="12"/>
      <c r="H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6:23" x14ac:dyDescent="0.2">
      <c r="F509" s="12"/>
      <c r="G509" s="12"/>
      <c r="H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6:23" x14ac:dyDescent="0.2">
      <c r="F510" s="12"/>
      <c r="G510" s="12"/>
      <c r="H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6:23" x14ac:dyDescent="0.2">
      <c r="F511" s="12"/>
      <c r="G511" s="12"/>
      <c r="H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6:23" x14ac:dyDescent="0.2">
      <c r="F512" s="12"/>
      <c r="G512" s="12"/>
      <c r="H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6:23" x14ac:dyDescent="0.2">
      <c r="F513" s="12"/>
      <c r="G513" s="12"/>
      <c r="H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6:23" x14ac:dyDescent="0.2">
      <c r="F514" s="12"/>
      <c r="G514" s="12"/>
      <c r="H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6:23" x14ac:dyDescent="0.2">
      <c r="F515" s="12"/>
      <c r="G515" s="12"/>
      <c r="H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6:23" x14ac:dyDescent="0.2">
      <c r="F516" s="12"/>
      <c r="G516" s="12"/>
      <c r="H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6:23" x14ac:dyDescent="0.2">
      <c r="F517" s="12"/>
      <c r="G517" s="12"/>
      <c r="H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6:23" x14ac:dyDescent="0.2">
      <c r="F518" s="12"/>
      <c r="G518" s="12"/>
      <c r="H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6:23" x14ac:dyDescent="0.2">
      <c r="F519" s="12"/>
      <c r="G519" s="12"/>
      <c r="H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6:23" x14ac:dyDescent="0.2">
      <c r="F520" s="12"/>
      <c r="G520" s="12"/>
      <c r="H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6:23" x14ac:dyDescent="0.2">
      <c r="F521" s="12"/>
      <c r="G521" s="12"/>
      <c r="H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6:23" x14ac:dyDescent="0.2">
      <c r="F522" s="12"/>
      <c r="G522" s="12"/>
      <c r="H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6:23" x14ac:dyDescent="0.2">
      <c r="F523" s="12"/>
      <c r="G523" s="12"/>
      <c r="H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6:23" x14ac:dyDescent="0.2">
      <c r="F524" s="12"/>
      <c r="G524" s="12"/>
      <c r="H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6:23" x14ac:dyDescent="0.2">
      <c r="F525" s="12"/>
      <c r="G525" s="12"/>
      <c r="H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6:23" x14ac:dyDescent="0.2">
      <c r="F526" s="12"/>
      <c r="G526" s="12"/>
      <c r="H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6:23" x14ac:dyDescent="0.2">
      <c r="F527" s="12"/>
      <c r="G527" s="12"/>
      <c r="H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6:23" x14ac:dyDescent="0.2">
      <c r="F528" s="12"/>
      <c r="G528" s="12"/>
      <c r="H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6:23" x14ac:dyDescent="0.2">
      <c r="F529" s="12"/>
      <c r="G529" s="12"/>
      <c r="H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6:23" x14ac:dyDescent="0.2">
      <c r="F530" s="12"/>
      <c r="G530" s="12"/>
      <c r="H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6:23" x14ac:dyDescent="0.2">
      <c r="F531" s="12"/>
      <c r="G531" s="12"/>
      <c r="H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6:23" x14ac:dyDescent="0.2">
      <c r="F532" s="12"/>
      <c r="G532" s="12"/>
      <c r="H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6:23" x14ac:dyDescent="0.2">
      <c r="F533" s="12"/>
      <c r="G533" s="12"/>
      <c r="H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6:23" x14ac:dyDescent="0.2">
      <c r="F534" s="12"/>
      <c r="G534" s="12"/>
      <c r="H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6:23" x14ac:dyDescent="0.2">
      <c r="F535" s="12"/>
      <c r="G535" s="12"/>
      <c r="H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6:23" x14ac:dyDescent="0.2">
      <c r="F536" s="12"/>
      <c r="G536" s="12"/>
      <c r="H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6:23" x14ac:dyDescent="0.2">
      <c r="F537" s="12"/>
      <c r="G537" s="12"/>
      <c r="H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6:23" x14ac:dyDescent="0.2">
      <c r="F538" s="12"/>
      <c r="G538" s="12"/>
      <c r="H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6:23" x14ac:dyDescent="0.2">
      <c r="F539" s="12"/>
      <c r="G539" s="12"/>
      <c r="H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6:23" x14ac:dyDescent="0.2">
      <c r="F540" s="12"/>
      <c r="G540" s="12"/>
      <c r="H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6:23" x14ac:dyDescent="0.2">
      <c r="F541" s="12"/>
      <c r="G541" s="12"/>
      <c r="H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6:23" x14ac:dyDescent="0.2">
      <c r="F542" s="12"/>
      <c r="G542" s="12"/>
      <c r="H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6:23" x14ac:dyDescent="0.2">
      <c r="F543" s="12"/>
      <c r="G543" s="12"/>
      <c r="H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6:23" x14ac:dyDescent="0.2">
      <c r="F544" s="12"/>
      <c r="G544" s="12"/>
      <c r="H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6:23" x14ac:dyDescent="0.2">
      <c r="F545" s="12"/>
      <c r="G545" s="12"/>
      <c r="H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6:23" x14ac:dyDescent="0.2">
      <c r="F546" s="12"/>
      <c r="G546" s="12"/>
      <c r="H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6:23" x14ac:dyDescent="0.2">
      <c r="F547" s="12"/>
      <c r="G547" s="12"/>
      <c r="H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6:23" x14ac:dyDescent="0.2">
      <c r="F548" s="12"/>
      <c r="G548" s="12"/>
      <c r="H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6:23" x14ac:dyDescent="0.2">
      <c r="F549" s="12"/>
      <c r="G549" s="12"/>
      <c r="H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6:23" x14ac:dyDescent="0.2">
      <c r="F550" s="12"/>
      <c r="G550" s="12"/>
      <c r="H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6:23" x14ac:dyDescent="0.2">
      <c r="F551" s="12"/>
      <c r="G551" s="12"/>
      <c r="H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6:23" x14ac:dyDescent="0.2">
      <c r="F552" s="12"/>
      <c r="G552" s="12"/>
      <c r="H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6:23" x14ac:dyDescent="0.2">
      <c r="F553" s="12"/>
      <c r="G553" s="12"/>
      <c r="H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6:23" x14ac:dyDescent="0.2">
      <c r="F554" s="12"/>
      <c r="G554" s="12"/>
      <c r="H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6:23" x14ac:dyDescent="0.2">
      <c r="F555" s="12"/>
      <c r="G555" s="12"/>
      <c r="H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6:23" x14ac:dyDescent="0.2">
      <c r="F556" s="12"/>
      <c r="G556" s="12"/>
      <c r="H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6:23" x14ac:dyDescent="0.2">
      <c r="F557" s="12"/>
      <c r="G557" s="12"/>
      <c r="H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6:23" x14ac:dyDescent="0.2">
      <c r="F558" s="12"/>
      <c r="G558" s="12"/>
      <c r="H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6:23" x14ac:dyDescent="0.2">
      <c r="F559" s="12"/>
      <c r="G559" s="12"/>
      <c r="H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6:23" x14ac:dyDescent="0.2">
      <c r="F560" s="12"/>
      <c r="G560" s="12"/>
      <c r="H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6:23" x14ac:dyDescent="0.2">
      <c r="F561" s="12"/>
      <c r="G561" s="12"/>
      <c r="H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6:23" x14ac:dyDescent="0.2">
      <c r="F562" s="12"/>
      <c r="G562" s="12"/>
      <c r="H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6:23" x14ac:dyDescent="0.2">
      <c r="F563" s="12"/>
      <c r="G563" s="12"/>
      <c r="H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6:23" x14ac:dyDescent="0.2">
      <c r="F564" s="12"/>
      <c r="G564" s="12"/>
      <c r="H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6:23" x14ac:dyDescent="0.2">
      <c r="F565" s="12"/>
      <c r="G565" s="12"/>
      <c r="H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6:23" x14ac:dyDescent="0.2">
      <c r="F566" s="12"/>
      <c r="G566" s="12"/>
      <c r="H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6:23" x14ac:dyDescent="0.2">
      <c r="F567" s="12"/>
      <c r="G567" s="12"/>
      <c r="H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6:23" x14ac:dyDescent="0.2">
      <c r="F568" s="12"/>
      <c r="G568" s="12"/>
      <c r="H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6:23" x14ac:dyDescent="0.2">
      <c r="F569" s="12"/>
      <c r="G569" s="12"/>
      <c r="H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6:23" x14ac:dyDescent="0.2">
      <c r="F570" s="12"/>
      <c r="G570" s="12"/>
      <c r="H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6:23" x14ac:dyDescent="0.2">
      <c r="F571" s="12"/>
      <c r="G571" s="12"/>
      <c r="H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6:23" x14ac:dyDescent="0.2">
      <c r="F572" s="12"/>
      <c r="G572" s="12"/>
      <c r="H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6:23" x14ac:dyDescent="0.2">
      <c r="F573" s="12"/>
      <c r="G573" s="12"/>
      <c r="H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6:23" x14ac:dyDescent="0.2">
      <c r="F574" s="12"/>
      <c r="G574" s="12"/>
      <c r="H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6:23" x14ac:dyDescent="0.2">
      <c r="F575" s="12"/>
      <c r="G575" s="12"/>
      <c r="H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6:23" x14ac:dyDescent="0.2">
      <c r="F576" s="12"/>
      <c r="G576" s="12"/>
      <c r="H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6:23" x14ac:dyDescent="0.2">
      <c r="F577" s="12"/>
      <c r="G577" s="12"/>
      <c r="H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6:23" x14ac:dyDescent="0.2">
      <c r="F578" s="12"/>
      <c r="G578" s="12"/>
      <c r="H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6:23" x14ac:dyDescent="0.2">
      <c r="F579" s="12"/>
      <c r="G579" s="12"/>
      <c r="H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6:23" x14ac:dyDescent="0.2">
      <c r="F580" s="12"/>
      <c r="G580" s="12"/>
      <c r="H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6:23" x14ac:dyDescent="0.2">
      <c r="F581" s="12"/>
      <c r="G581" s="12"/>
      <c r="H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6:23" x14ac:dyDescent="0.2">
      <c r="F582" s="12"/>
      <c r="G582" s="12"/>
      <c r="H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6:23" x14ac:dyDescent="0.2">
      <c r="F583" s="12"/>
      <c r="G583" s="12"/>
      <c r="H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6:23" x14ac:dyDescent="0.2">
      <c r="F584" s="12"/>
      <c r="G584" s="12"/>
      <c r="H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6:23" x14ac:dyDescent="0.2">
      <c r="F585" s="12"/>
      <c r="G585" s="12"/>
      <c r="H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6:23" x14ac:dyDescent="0.2">
      <c r="F586" s="12"/>
      <c r="G586" s="12"/>
      <c r="H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6:23" x14ac:dyDescent="0.2">
      <c r="F587" s="12"/>
      <c r="G587" s="12"/>
      <c r="H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6:23" x14ac:dyDescent="0.2">
      <c r="F588" s="12"/>
      <c r="G588" s="12"/>
      <c r="H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6:23" x14ac:dyDescent="0.2">
      <c r="F589" s="12"/>
      <c r="G589" s="12"/>
      <c r="H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6:23" x14ac:dyDescent="0.2">
      <c r="F590" s="12"/>
      <c r="G590" s="12"/>
      <c r="H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6:23" x14ac:dyDescent="0.2">
      <c r="F591" s="12"/>
      <c r="G591" s="12"/>
      <c r="H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6:23" x14ac:dyDescent="0.2">
      <c r="F592" s="12"/>
      <c r="G592" s="12"/>
      <c r="H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6:23" x14ac:dyDescent="0.2">
      <c r="F593" s="12"/>
      <c r="G593" s="12"/>
      <c r="H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6:23" x14ac:dyDescent="0.2">
      <c r="F594" s="12"/>
      <c r="G594" s="12"/>
      <c r="H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6:23" x14ac:dyDescent="0.2">
      <c r="F595" s="12"/>
      <c r="G595" s="12"/>
      <c r="H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6:23" x14ac:dyDescent="0.2">
      <c r="F596" s="12"/>
      <c r="G596" s="12"/>
      <c r="H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6:23" x14ac:dyDescent="0.2">
      <c r="F597" s="12"/>
      <c r="G597" s="12"/>
      <c r="H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6:23" x14ac:dyDescent="0.2">
      <c r="F598" s="12"/>
      <c r="G598" s="12"/>
      <c r="H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6:23" x14ac:dyDescent="0.2">
      <c r="F599" s="12"/>
      <c r="G599" s="12"/>
      <c r="H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6:23" x14ac:dyDescent="0.2">
      <c r="F600" s="12"/>
      <c r="G600" s="12"/>
      <c r="H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6:23" x14ac:dyDescent="0.2">
      <c r="F601" s="12"/>
      <c r="G601" s="12"/>
      <c r="H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6:23" x14ac:dyDescent="0.2">
      <c r="F602" s="12"/>
      <c r="G602" s="12"/>
      <c r="H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6:23" x14ac:dyDescent="0.2">
      <c r="F603" s="12"/>
      <c r="G603" s="12"/>
      <c r="H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6:23" x14ac:dyDescent="0.2">
      <c r="F604" s="12"/>
      <c r="G604" s="12"/>
      <c r="H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6:23" x14ac:dyDescent="0.2">
      <c r="F605" s="12"/>
      <c r="G605" s="12"/>
      <c r="H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6:23" x14ac:dyDescent="0.2">
      <c r="F606" s="12"/>
      <c r="G606" s="12"/>
      <c r="H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6:23" x14ac:dyDescent="0.2">
      <c r="F607" s="12"/>
      <c r="G607" s="12"/>
      <c r="H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6:23" x14ac:dyDescent="0.2">
      <c r="F608" s="12"/>
      <c r="G608" s="12"/>
      <c r="H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6:23" x14ac:dyDescent="0.2">
      <c r="F609" s="12"/>
      <c r="G609" s="12"/>
      <c r="H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6:23" x14ac:dyDescent="0.2">
      <c r="F610" s="12"/>
      <c r="G610" s="12"/>
      <c r="H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6:23" x14ac:dyDescent="0.2">
      <c r="F611" s="12"/>
      <c r="G611" s="12"/>
      <c r="H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6:23" x14ac:dyDescent="0.2">
      <c r="F612" s="12"/>
      <c r="G612" s="12"/>
      <c r="H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6:23" x14ac:dyDescent="0.2">
      <c r="F613" s="12"/>
      <c r="G613" s="12"/>
      <c r="H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6:23" x14ac:dyDescent="0.2">
      <c r="F614" s="12"/>
      <c r="G614" s="12"/>
      <c r="H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6:23" x14ac:dyDescent="0.2">
      <c r="F615" s="12"/>
      <c r="G615" s="12"/>
      <c r="H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6:23" x14ac:dyDescent="0.2">
      <c r="F616" s="12"/>
      <c r="G616" s="12"/>
      <c r="H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6:23" x14ac:dyDescent="0.2">
      <c r="F617" s="12"/>
      <c r="G617" s="12"/>
      <c r="H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6:23" x14ac:dyDescent="0.2">
      <c r="F618" s="12"/>
      <c r="G618" s="12"/>
      <c r="H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6:23" x14ac:dyDescent="0.2">
      <c r="F619" s="12"/>
      <c r="G619" s="12"/>
      <c r="H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6:23" x14ac:dyDescent="0.2">
      <c r="F620" s="12"/>
      <c r="G620" s="12"/>
      <c r="H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6:23" x14ac:dyDescent="0.2">
      <c r="F621" s="12"/>
      <c r="G621" s="12"/>
      <c r="H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6:23" x14ac:dyDescent="0.2">
      <c r="F622" s="12"/>
      <c r="G622" s="12"/>
      <c r="H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6:23" x14ac:dyDescent="0.2">
      <c r="F623" s="12"/>
      <c r="G623" s="12"/>
      <c r="H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6:23" x14ac:dyDescent="0.2">
      <c r="F624" s="12"/>
      <c r="G624" s="12"/>
      <c r="H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6:23" x14ac:dyDescent="0.2">
      <c r="F625" s="12"/>
      <c r="G625" s="12"/>
      <c r="H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6:23" x14ac:dyDescent="0.2">
      <c r="F626" s="12"/>
      <c r="G626" s="12"/>
      <c r="H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6:23" x14ac:dyDescent="0.2">
      <c r="F627" s="12"/>
      <c r="G627" s="12"/>
      <c r="H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6:23" x14ac:dyDescent="0.2">
      <c r="F628" s="12"/>
      <c r="G628" s="12"/>
      <c r="H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6:23" x14ac:dyDescent="0.2">
      <c r="F629" s="12"/>
      <c r="G629" s="12"/>
      <c r="H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6:23" x14ac:dyDescent="0.2">
      <c r="F630" s="12"/>
      <c r="G630" s="12"/>
      <c r="H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6:23" x14ac:dyDescent="0.2">
      <c r="F631" s="12"/>
      <c r="G631" s="12"/>
      <c r="H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6:23" x14ac:dyDescent="0.2">
      <c r="F632" s="12"/>
      <c r="G632" s="12"/>
      <c r="H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6:23" x14ac:dyDescent="0.2">
      <c r="F633" s="12"/>
      <c r="G633" s="12"/>
      <c r="H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6:23" x14ac:dyDescent="0.2">
      <c r="F634" s="12"/>
      <c r="G634" s="12"/>
      <c r="H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6:23" x14ac:dyDescent="0.2">
      <c r="F635" s="12"/>
      <c r="G635" s="12"/>
      <c r="H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6:23" x14ac:dyDescent="0.2">
      <c r="F636" s="12"/>
      <c r="G636" s="12"/>
      <c r="H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6:23" x14ac:dyDescent="0.2">
      <c r="F637" s="12"/>
      <c r="G637" s="12"/>
      <c r="H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6:23" x14ac:dyDescent="0.2">
      <c r="F638" s="12"/>
      <c r="G638" s="12"/>
      <c r="H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6:23" x14ac:dyDescent="0.2">
      <c r="F639" s="12"/>
      <c r="G639" s="12"/>
      <c r="H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6:23" x14ac:dyDescent="0.2">
      <c r="F640" s="12"/>
      <c r="G640" s="12"/>
      <c r="H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6:23" x14ac:dyDescent="0.2">
      <c r="F641" s="12"/>
      <c r="G641" s="12"/>
      <c r="H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6:23" x14ac:dyDescent="0.2">
      <c r="F642" s="12"/>
      <c r="G642" s="12"/>
      <c r="H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6:23" x14ac:dyDescent="0.2">
      <c r="F643" s="12"/>
      <c r="G643" s="12"/>
      <c r="H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6:23" x14ac:dyDescent="0.2">
      <c r="F644" s="12"/>
      <c r="G644" s="12"/>
      <c r="H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6:23" x14ac:dyDescent="0.2">
      <c r="F645" s="12"/>
      <c r="G645" s="12"/>
      <c r="H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6:23" x14ac:dyDescent="0.2">
      <c r="F646" s="12"/>
      <c r="G646" s="12"/>
      <c r="H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6:23" x14ac:dyDescent="0.2">
      <c r="F647" s="12"/>
      <c r="G647" s="12"/>
      <c r="H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6:23" x14ac:dyDescent="0.2">
      <c r="F648" s="12"/>
      <c r="G648" s="12"/>
      <c r="H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6:23" x14ac:dyDescent="0.2">
      <c r="F649" s="12"/>
      <c r="G649" s="12"/>
      <c r="H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6:23" x14ac:dyDescent="0.2">
      <c r="F650" s="12"/>
      <c r="G650" s="12"/>
      <c r="H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6:23" x14ac:dyDescent="0.2">
      <c r="F651" s="12"/>
      <c r="G651" s="12"/>
      <c r="H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6:23" x14ac:dyDescent="0.2">
      <c r="F652" s="12"/>
      <c r="G652" s="12"/>
      <c r="H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6:23" x14ac:dyDescent="0.2">
      <c r="F653" s="12"/>
      <c r="G653" s="12"/>
      <c r="H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6:23" x14ac:dyDescent="0.2">
      <c r="F654" s="12"/>
      <c r="G654" s="12"/>
      <c r="H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6:23" x14ac:dyDescent="0.2">
      <c r="F655" s="12"/>
      <c r="G655" s="12"/>
      <c r="H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6:23" x14ac:dyDescent="0.2">
      <c r="F656" s="12"/>
      <c r="G656" s="12"/>
      <c r="H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6:23" x14ac:dyDescent="0.2">
      <c r="F657" s="12"/>
      <c r="G657" s="12"/>
      <c r="H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6:23" x14ac:dyDescent="0.2">
      <c r="F658" s="12"/>
      <c r="G658" s="12"/>
      <c r="H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6:23" x14ac:dyDescent="0.2">
      <c r="F659" s="12"/>
      <c r="G659" s="12"/>
      <c r="H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6:23" x14ac:dyDescent="0.2">
      <c r="F660" s="12"/>
      <c r="G660" s="12"/>
      <c r="H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6:23" x14ac:dyDescent="0.2">
      <c r="F661" s="12"/>
      <c r="G661" s="12"/>
      <c r="H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6:23" x14ac:dyDescent="0.2">
      <c r="F662" s="12"/>
      <c r="G662" s="12"/>
      <c r="H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6:23" x14ac:dyDescent="0.2">
      <c r="F663" s="12"/>
      <c r="G663" s="12"/>
      <c r="H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6:23" x14ac:dyDescent="0.2">
      <c r="F664" s="12"/>
      <c r="G664" s="12"/>
      <c r="H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6:23" x14ac:dyDescent="0.2">
      <c r="F665" s="12"/>
      <c r="G665" s="12"/>
      <c r="H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6:23" x14ac:dyDescent="0.2">
      <c r="F666" s="12"/>
      <c r="G666" s="12"/>
      <c r="H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6:23" x14ac:dyDescent="0.2">
      <c r="F667" s="12"/>
      <c r="G667" s="12"/>
      <c r="H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6:23" x14ac:dyDescent="0.2">
      <c r="F668" s="12"/>
      <c r="G668" s="12"/>
      <c r="H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6:23" x14ac:dyDescent="0.2">
      <c r="F669" s="12"/>
      <c r="G669" s="12"/>
      <c r="H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6:23" x14ac:dyDescent="0.2">
      <c r="F670" s="12"/>
      <c r="G670" s="12"/>
      <c r="H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6:23" x14ac:dyDescent="0.2">
      <c r="F671" s="12"/>
      <c r="G671" s="12"/>
      <c r="H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6:23" x14ac:dyDescent="0.2">
      <c r="F672" s="12"/>
      <c r="G672" s="12"/>
      <c r="H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6:23" x14ac:dyDescent="0.2">
      <c r="F673" s="12"/>
      <c r="G673" s="12"/>
      <c r="H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6:23" x14ac:dyDescent="0.2">
      <c r="F674" s="12"/>
      <c r="G674" s="12"/>
      <c r="H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6:23" x14ac:dyDescent="0.2">
      <c r="F675" s="12"/>
      <c r="G675" s="12"/>
      <c r="H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6:23" x14ac:dyDescent="0.2">
      <c r="F676" s="12"/>
      <c r="G676" s="12"/>
      <c r="H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6:23" x14ac:dyDescent="0.2">
      <c r="F677" s="12"/>
      <c r="G677" s="12"/>
      <c r="H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6:23" x14ac:dyDescent="0.2">
      <c r="F678" s="12"/>
      <c r="G678" s="12"/>
      <c r="H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6:23" x14ac:dyDescent="0.2">
      <c r="F679" s="12"/>
      <c r="G679" s="12"/>
      <c r="H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6:23" x14ac:dyDescent="0.2">
      <c r="F680" s="12"/>
      <c r="G680" s="12"/>
      <c r="H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6:23" x14ac:dyDescent="0.2">
      <c r="F681" s="12"/>
      <c r="G681" s="12"/>
      <c r="H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6:23" x14ac:dyDescent="0.2">
      <c r="F682" s="12"/>
      <c r="G682" s="12"/>
      <c r="H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6:23" x14ac:dyDescent="0.2">
      <c r="F683" s="12"/>
      <c r="G683" s="12"/>
      <c r="H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6:23" x14ac:dyDescent="0.2">
      <c r="F684" s="12"/>
      <c r="G684" s="12"/>
      <c r="H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6:23" x14ac:dyDescent="0.2">
      <c r="F685" s="12"/>
      <c r="G685" s="12"/>
      <c r="H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6:23" x14ac:dyDescent="0.2">
      <c r="F686" s="12"/>
      <c r="G686" s="12"/>
      <c r="H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6:23" x14ac:dyDescent="0.2">
      <c r="F687" s="12"/>
      <c r="G687" s="12"/>
      <c r="H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6:23" x14ac:dyDescent="0.2">
      <c r="F688" s="12"/>
      <c r="G688" s="12"/>
      <c r="H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6:23" x14ac:dyDescent="0.2">
      <c r="F689" s="12"/>
      <c r="G689" s="12"/>
      <c r="H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6:23" x14ac:dyDescent="0.2">
      <c r="F690" s="12"/>
      <c r="G690" s="12"/>
      <c r="H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6:23" x14ac:dyDescent="0.2">
      <c r="F691" s="12"/>
      <c r="G691" s="12"/>
      <c r="H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6:23" x14ac:dyDescent="0.2">
      <c r="F692" s="12"/>
      <c r="G692" s="12"/>
      <c r="H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6:23" x14ac:dyDescent="0.2">
      <c r="F693" s="12"/>
      <c r="G693" s="12"/>
      <c r="H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6:23" x14ac:dyDescent="0.2">
      <c r="F694" s="12"/>
      <c r="G694" s="12"/>
      <c r="H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6:23" x14ac:dyDescent="0.2">
      <c r="F695" s="12"/>
      <c r="G695" s="12"/>
      <c r="H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6:23" x14ac:dyDescent="0.2">
      <c r="F696" s="12"/>
      <c r="G696" s="12"/>
      <c r="H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6:23" x14ac:dyDescent="0.2">
      <c r="F697" s="12"/>
      <c r="G697" s="12"/>
      <c r="H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6:23" x14ac:dyDescent="0.2">
      <c r="F698" s="12"/>
      <c r="G698" s="12"/>
      <c r="H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6:23" x14ac:dyDescent="0.2">
      <c r="F699" s="12"/>
      <c r="G699" s="12"/>
      <c r="H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6:23" x14ac:dyDescent="0.2">
      <c r="F700" s="12"/>
      <c r="G700" s="12"/>
      <c r="H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6:23" x14ac:dyDescent="0.2">
      <c r="F701" s="12"/>
      <c r="G701" s="12"/>
      <c r="H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6:23" x14ac:dyDescent="0.2">
      <c r="F702" s="12"/>
      <c r="G702" s="12"/>
      <c r="H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6:23" x14ac:dyDescent="0.2">
      <c r="F703" s="12"/>
      <c r="G703" s="12"/>
      <c r="H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6:23" x14ac:dyDescent="0.2">
      <c r="F704" s="12"/>
      <c r="G704" s="12"/>
      <c r="H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6:23" x14ac:dyDescent="0.2">
      <c r="F705" s="12"/>
      <c r="G705" s="12"/>
      <c r="H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6:23" x14ac:dyDescent="0.2">
      <c r="F706" s="12"/>
      <c r="G706" s="12"/>
      <c r="H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6:23" x14ac:dyDescent="0.2">
      <c r="F707" s="12"/>
      <c r="G707" s="12"/>
      <c r="H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6:23" x14ac:dyDescent="0.2">
      <c r="F708" s="12"/>
      <c r="G708" s="12"/>
      <c r="H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6:23" x14ac:dyDescent="0.2">
      <c r="F709" s="12"/>
      <c r="G709" s="12"/>
      <c r="H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6:23" x14ac:dyDescent="0.2">
      <c r="F710" s="12"/>
      <c r="G710" s="12"/>
      <c r="H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6:23" x14ac:dyDescent="0.2">
      <c r="F711" s="12"/>
      <c r="G711" s="12"/>
      <c r="H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6:23" x14ac:dyDescent="0.2">
      <c r="F712" s="12"/>
      <c r="G712" s="12"/>
      <c r="H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6:23" x14ac:dyDescent="0.2">
      <c r="F713" s="12"/>
      <c r="G713" s="12"/>
      <c r="H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6:23" x14ac:dyDescent="0.2">
      <c r="F714" s="12"/>
      <c r="G714" s="12"/>
      <c r="H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6:23" x14ac:dyDescent="0.2">
      <c r="F715" s="12"/>
      <c r="G715" s="12"/>
      <c r="H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6:23" x14ac:dyDescent="0.2">
      <c r="F716" s="12"/>
      <c r="G716" s="12"/>
      <c r="H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6:23" x14ac:dyDescent="0.2">
      <c r="F717" s="12"/>
      <c r="G717" s="12"/>
      <c r="H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6:23" x14ac:dyDescent="0.2">
      <c r="F718" s="12"/>
      <c r="G718" s="12"/>
      <c r="H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6:23" x14ac:dyDescent="0.2">
      <c r="F719" s="12"/>
      <c r="G719" s="12"/>
      <c r="H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6:23" x14ac:dyDescent="0.2">
      <c r="F720" s="12"/>
      <c r="G720" s="12"/>
      <c r="H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6:23" x14ac:dyDescent="0.2">
      <c r="F721" s="12"/>
      <c r="G721" s="12"/>
      <c r="H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6:23" x14ac:dyDescent="0.2">
      <c r="F722" s="12"/>
      <c r="G722" s="12"/>
      <c r="H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6:23" x14ac:dyDescent="0.2">
      <c r="F723" s="12"/>
      <c r="G723" s="12"/>
      <c r="H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6:23" x14ac:dyDescent="0.2">
      <c r="F724" s="12"/>
      <c r="G724" s="12"/>
      <c r="H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6:23" x14ac:dyDescent="0.2">
      <c r="F725" s="12"/>
      <c r="G725" s="12"/>
      <c r="H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6:23" x14ac:dyDescent="0.2">
      <c r="F726" s="12"/>
      <c r="G726" s="12"/>
      <c r="H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6:23" x14ac:dyDescent="0.2">
      <c r="F727" s="12"/>
      <c r="G727" s="12"/>
      <c r="H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6:23" x14ac:dyDescent="0.2">
      <c r="F728" s="12"/>
      <c r="G728" s="12"/>
      <c r="H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6:23" x14ac:dyDescent="0.2">
      <c r="F729" s="12"/>
      <c r="G729" s="12"/>
      <c r="H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6:23" x14ac:dyDescent="0.2">
      <c r="F730" s="12"/>
      <c r="G730" s="12"/>
      <c r="H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6:23" x14ac:dyDescent="0.2">
      <c r="F731" s="12"/>
      <c r="G731" s="12"/>
      <c r="H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6:23" x14ac:dyDescent="0.2">
      <c r="F732" s="12"/>
      <c r="G732" s="12"/>
      <c r="H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6:23" x14ac:dyDescent="0.2">
      <c r="F733" s="12"/>
      <c r="G733" s="12"/>
      <c r="H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6:23" x14ac:dyDescent="0.2">
      <c r="F734" s="12"/>
      <c r="G734" s="12"/>
      <c r="H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6:23" x14ac:dyDescent="0.2">
      <c r="F735" s="12"/>
      <c r="G735" s="12"/>
      <c r="H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6:23" x14ac:dyDescent="0.2">
      <c r="F736" s="12"/>
      <c r="G736" s="12"/>
      <c r="H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6:23" x14ac:dyDescent="0.2">
      <c r="F737" s="12"/>
      <c r="G737" s="12"/>
      <c r="H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6:23" x14ac:dyDescent="0.2">
      <c r="F738" s="12"/>
      <c r="G738" s="12"/>
      <c r="H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6:23" x14ac:dyDescent="0.2">
      <c r="F739" s="12"/>
      <c r="G739" s="12"/>
      <c r="H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6:23" x14ac:dyDescent="0.2">
      <c r="F740" s="12"/>
      <c r="G740" s="12"/>
      <c r="H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6:23" x14ac:dyDescent="0.2">
      <c r="F741" s="12"/>
      <c r="G741" s="12"/>
      <c r="H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6:23" x14ac:dyDescent="0.2">
      <c r="F742" s="12"/>
      <c r="G742" s="12"/>
      <c r="H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6:23" x14ac:dyDescent="0.2">
      <c r="F743" s="12"/>
      <c r="G743" s="12"/>
      <c r="H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6:23" x14ac:dyDescent="0.2">
      <c r="F744" s="12"/>
      <c r="G744" s="12"/>
      <c r="H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6:23" x14ac:dyDescent="0.2">
      <c r="F745" s="12"/>
      <c r="G745" s="12"/>
      <c r="H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6:23" x14ac:dyDescent="0.2">
      <c r="F746" s="12"/>
      <c r="G746" s="12"/>
      <c r="H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6:23" x14ac:dyDescent="0.2">
      <c r="F747" s="12"/>
      <c r="G747" s="12"/>
      <c r="H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6:23" x14ac:dyDescent="0.2">
      <c r="F748" s="12"/>
      <c r="G748" s="12"/>
      <c r="H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6:23" x14ac:dyDescent="0.2">
      <c r="F749" s="12"/>
      <c r="G749" s="12"/>
      <c r="H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6:23" x14ac:dyDescent="0.2">
      <c r="F750" s="12"/>
      <c r="G750" s="12"/>
      <c r="H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</sheetData>
  <mergeCells count="2">
    <mergeCell ref="AI49:AI53"/>
    <mergeCell ref="AK47:AO47"/>
  </mergeCells>
  <conditionalFormatting sqref="B2">
    <cfRule type="cellIs" dxfId="2" priority="7" operator="equal">
      <formula>TRUE</formula>
    </cfRule>
  </conditionalFormatting>
  <conditionalFormatting sqref="C52">
    <cfRule type="cellIs" dxfId="1" priority="1" operator="equal">
      <formula>TRUE</formula>
    </cfRule>
  </conditionalFormatting>
  <conditionalFormatting sqref="C66">
    <cfRule type="cellIs" dxfId="0" priority="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6CE-1C78-42F6-AF15-674E409800A5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138-466D-42E3-A9A2-748FDAFA4240}">
  <dimension ref="A1:F37"/>
  <sheetViews>
    <sheetView zoomScale="130" zoomScaleNormal="130" workbookViewId="0">
      <selection activeCell="D15" sqref="D15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9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282</v>
      </c>
    </row>
    <row r="7" spans="3:6" x14ac:dyDescent="0.2">
      <c r="C7" s="30" t="s">
        <v>281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4" spans="3:6" x14ac:dyDescent="0.2">
      <c r="D14" s="25" t="s">
        <v>141</v>
      </c>
      <c r="E14" s="25" t="s">
        <v>177</v>
      </c>
      <c r="F14" s="25" t="s">
        <v>177</v>
      </c>
    </row>
    <row r="15" spans="3:6" x14ac:dyDescent="0.2">
      <c r="D15" s="25" t="s">
        <v>141</v>
      </c>
      <c r="E15" s="25" t="s">
        <v>267</v>
      </c>
      <c r="F15" s="25" t="s">
        <v>267</v>
      </c>
    </row>
    <row r="16" spans="3:6" x14ac:dyDescent="0.2">
      <c r="D16" s="25" t="s">
        <v>141</v>
      </c>
      <c r="E16" s="25" t="s">
        <v>291</v>
      </c>
      <c r="F16" s="25" t="s">
        <v>266</v>
      </c>
    </row>
    <row r="17" spans="1:6" x14ac:dyDescent="0.2">
      <c r="A17" s="2" t="s">
        <v>12</v>
      </c>
      <c r="D17" s="25" t="s">
        <v>12</v>
      </c>
      <c r="E17" s="26">
        <v>247101</v>
      </c>
      <c r="F17" s="26">
        <v>267775</v>
      </c>
    </row>
    <row r="18" spans="1:6" x14ac:dyDescent="0.2">
      <c r="D18" s="25" t="s">
        <v>173</v>
      </c>
    </row>
    <row r="19" spans="1:6" x14ac:dyDescent="0.2">
      <c r="A19" s="9" t="s">
        <v>53</v>
      </c>
      <c r="D19" s="25" t="s">
        <v>53</v>
      </c>
      <c r="E19" s="27">
        <v>73353</v>
      </c>
      <c r="F19" s="27">
        <v>81289</v>
      </c>
    </row>
    <row r="20" spans="1:6" x14ac:dyDescent="0.2">
      <c r="A20" s="9" t="s">
        <v>54</v>
      </c>
      <c r="D20" s="25" t="s">
        <v>172</v>
      </c>
      <c r="E20" s="27">
        <v>59734</v>
      </c>
      <c r="F20" s="27">
        <v>63617</v>
      </c>
    </row>
    <row r="21" spans="1:6" x14ac:dyDescent="0.2">
      <c r="A21" s="9" t="s">
        <v>55</v>
      </c>
      <c r="D21" s="25" t="s">
        <v>171</v>
      </c>
      <c r="E21" s="27">
        <v>21644</v>
      </c>
      <c r="F21" s="27">
        <v>20856</v>
      </c>
    </row>
    <row r="22" spans="1:6" x14ac:dyDescent="0.2">
      <c r="A22" s="9" t="s">
        <v>56</v>
      </c>
      <c r="D22" s="25" t="s">
        <v>170</v>
      </c>
      <c r="E22" s="27">
        <v>34504</v>
      </c>
      <c r="F22" s="27">
        <v>36017</v>
      </c>
    </row>
    <row r="23" spans="1:6" x14ac:dyDescent="0.2">
      <c r="A23" s="9" t="s">
        <v>40</v>
      </c>
      <c r="D23" s="25" t="s">
        <v>169</v>
      </c>
      <c r="E23" s="27">
        <v>9585</v>
      </c>
      <c r="F23" s="27">
        <v>17206</v>
      </c>
    </row>
    <row r="24" spans="1:6" x14ac:dyDescent="0.2">
      <c r="A24" s="9" t="s">
        <v>57</v>
      </c>
      <c r="D24" s="25" t="s">
        <v>168</v>
      </c>
      <c r="E24" s="27">
        <v>3631</v>
      </c>
      <c r="F24" s="28">
        <v>0</v>
      </c>
    </row>
    <row r="25" spans="1:6" x14ac:dyDescent="0.2">
      <c r="D25" s="25" t="s">
        <v>167</v>
      </c>
      <c r="E25" s="27">
        <v>202451</v>
      </c>
      <c r="F25" s="27">
        <v>218985</v>
      </c>
    </row>
    <row r="26" spans="1:6" x14ac:dyDescent="0.2">
      <c r="D26" s="25" t="s">
        <v>290</v>
      </c>
      <c r="E26" s="27">
        <v>44650</v>
      </c>
      <c r="F26" s="27">
        <v>48790</v>
      </c>
    </row>
    <row r="27" spans="1:6" x14ac:dyDescent="0.2">
      <c r="A27" s="9" t="s">
        <v>38</v>
      </c>
      <c r="D27" s="25" t="s">
        <v>165</v>
      </c>
      <c r="E27" s="27">
        <v>-12049</v>
      </c>
      <c r="F27" s="27">
        <v>-8918</v>
      </c>
    </row>
    <row r="28" spans="1:6" x14ac:dyDescent="0.2">
      <c r="A28" s="9" t="s">
        <v>58</v>
      </c>
      <c r="D28" s="25" t="s">
        <v>164</v>
      </c>
      <c r="E28" s="27">
        <v>-6762</v>
      </c>
      <c r="F28" s="27">
        <v>1475</v>
      </c>
    </row>
    <row r="29" spans="1:6" x14ac:dyDescent="0.2">
      <c r="D29" s="25" t="s">
        <v>289</v>
      </c>
      <c r="E29" s="27">
        <v>25839</v>
      </c>
      <c r="F29" s="27">
        <v>41347</v>
      </c>
    </row>
    <row r="30" spans="1:6" x14ac:dyDescent="0.2">
      <c r="A30" s="9" t="s">
        <v>14</v>
      </c>
      <c r="D30" s="25" t="s">
        <v>162</v>
      </c>
      <c r="E30" s="27">
        <v>-6008</v>
      </c>
      <c r="F30" s="27">
        <v>-7474</v>
      </c>
    </row>
    <row r="31" spans="1:6" x14ac:dyDescent="0.2">
      <c r="D31" s="25" t="s">
        <v>288</v>
      </c>
      <c r="E31" s="27">
        <v>19831</v>
      </c>
      <c r="F31" s="27">
        <v>33873</v>
      </c>
    </row>
    <row r="32" spans="1:6" x14ac:dyDescent="0.2">
      <c r="A32" s="9" t="s">
        <v>59</v>
      </c>
      <c r="D32" s="25" t="s">
        <v>287</v>
      </c>
      <c r="E32" s="27">
        <v>6387</v>
      </c>
      <c r="F32" s="27">
        <v>9256</v>
      </c>
    </row>
    <row r="33" spans="1:6" x14ac:dyDescent="0.2">
      <c r="A33" s="25" t="s">
        <v>546</v>
      </c>
      <c r="D33" s="25" t="s">
        <v>286</v>
      </c>
      <c r="E33" s="26">
        <v>13444</v>
      </c>
      <c r="F33" s="26">
        <v>24617</v>
      </c>
    </row>
    <row r="34" spans="1:6" x14ac:dyDescent="0.2">
      <c r="D34" s="25" t="s">
        <v>285</v>
      </c>
    </row>
    <row r="35" spans="1:6" x14ac:dyDescent="0.2">
      <c r="D35" s="25" t="s">
        <v>261</v>
      </c>
    </row>
    <row r="36" spans="1:6" x14ac:dyDescent="0.2">
      <c r="D36" s="25" t="s">
        <v>284</v>
      </c>
      <c r="E36" s="29">
        <v>0.13</v>
      </c>
      <c r="F36" s="29">
        <v>0.19</v>
      </c>
    </row>
    <row r="37" spans="1:6" x14ac:dyDescent="0.2">
      <c r="D37" s="25" t="s">
        <v>283</v>
      </c>
      <c r="E37" s="29">
        <v>0.13</v>
      </c>
      <c r="F37" s="29">
        <v>0.19</v>
      </c>
    </row>
  </sheetData>
  <hyperlinks>
    <hyperlink ref="C8" location="Table_Of_Contents!A1" display="Table Of Contents" xr:uid="{6C6F2E5C-E772-49B8-8A71-B4404FCDC9D8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C89-ED6F-4F43-8A2B-711E79AD42C0}">
  <dimension ref="A1:H41"/>
  <sheetViews>
    <sheetView workbookViewId="0">
      <selection activeCell="D8" sqref="D8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5" width="18" style="25" customWidth="1" outlineLevel="7"/>
    <col min="6" max="6" width="17" style="25" customWidth="1" outlineLevel="7"/>
    <col min="7" max="7" width="18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148</v>
      </c>
    </row>
    <row r="7" spans="3:8" x14ac:dyDescent="0.2">
      <c r="C7" s="30" t="s">
        <v>147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176</v>
      </c>
      <c r="H15" s="25" t="s">
        <v>176</v>
      </c>
    </row>
    <row r="16" spans="3:8" x14ac:dyDescent="0.2">
      <c r="D16" s="25" t="s">
        <v>141</v>
      </c>
      <c r="E16" s="25" t="s">
        <v>175</v>
      </c>
      <c r="F16" s="25" t="s">
        <v>175</v>
      </c>
      <c r="G16" s="25" t="s">
        <v>175</v>
      </c>
      <c r="H16" s="25" t="s">
        <v>175</v>
      </c>
    </row>
    <row r="17" spans="1:8" x14ac:dyDescent="0.2">
      <c r="D17" s="25" t="s">
        <v>141</v>
      </c>
      <c r="E17" s="25" t="s">
        <v>174</v>
      </c>
      <c r="F17" s="25" t="s">
        <v>174</v>
      </c>
      <c r="G17" s="25" t="s">
        <v>174</v>
      </c>
      <c r="H17" s="25" t="s">
        <v>174</v>
      </c>
    </row>
    <row r="18" spans="1:8" x14ac:dyDescent="0.2">
      <c r="D18" s="25" t="s">
        <v>141</v>
      </c>
      <c r="E18" s="25">
        <v>2024</v>
      </c>
      <c r="F18" s="25">
        <v>2023</v>
      </c>
      <c r="G18" s="25">
        <v>2024</v>
      </c>
      <c r="H18" s="25">
        <v>2023</v>
      </c>
    </row>
    <row r="19" spans="1:8" x14ac:dyDescent="0.2">
      <c r="A19" s="2" t="s">
        <v>12</v>
      </c>
      <c r="D19" s="25" t="s">
        <v>12</v>
      </c>
      <c r="E19" s="26">
        <v>273605</v>
      </c>
      <c r="F19" s="26">
        <v>275510</v>
      </c>
      <c r="G19" s="26">
        <v>809995</v>
      </c>
      <c r="H19" s="26">
        <v>778193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79552</v>
      </c>
      <c r="F21" s="27">
        <v>80049</v>
      </c>
      <c r="G21" s="27">
        <v>240882</v>
      </c>
      <c r="H21" s="27">
        <v>227366</v>
      </c>
    </row>
    <row r="22" spans="1:8" x14ac:dyDescent="0.2">
      <c r="A22" s="9" t="s">
        <v>54</v>
      </c>
      <c r="D22" s="25" t="s">
        <v>172</v>
      </c>
      <c r="E22" s="27">
        <v>63549</v>
      </c>
      <c r="F22" s="27">
        <v>68848</v>
      </c>
      <c r="G22" s="27">
        <v>194728</v>
      </c>
      <c r="H22" s="27">
        <v>197767</v>
      </c>
    </row>
    <row r="23" spans="1:8" x14ac:dyDescent="0.2">
      <c r="A23" s="9" t="s">
        <v>55</v>
      </c>
      <c r="D23" s="25" t="s">
        <v>171</v>
      </c>
      <c r="E23" s="27">
        <v>33251</v>
      </c>
      <c r="F23" s="27">
        <v>48577</v>
      </c>
      <c r="G23" s="27">
        <v>90436</v>
      </c>
      <c r="H23" s="27">
        <v>141706</v>
      </c>
    </row>
    <row r="24" spans="1:8" x14ac:dyDescent="0.2">
      <c r="A24" s="9" t="s">
        <v>56</v>
      </c>
      <c r="D24" s="25" t="s">
        <v>170</v>
      </c>
      <c r="E24" s="27">
        <v>24880</v>
      </c>
      <c r="F24" s="27">
        <v>30909</v>
      </c>
      <c r="G24" s="27">
        <v>76602</v>
      </c>
      <c r="H24" s="27">
        <v>100294</v>
      </c>
    </row>
    <row r="25" spans="1:8" x14ac:dyDescent="0.2">
      <c r="A25" s="9" t="s">
        <v>40</v>
      </c>
      <c r="D25" s="25" t="s">
        <v>169</v>
      </c>
      <c r="E25" s="27">
        <v>18312</v>
      </c>
      <c r="F25" s="27">
        <v>17127</v>
      </c>
      <c r="G25" s="27">
        <v>52542</v>
      </c>
      <c r="H25" s="27">
        <v>50825</v>
      </c>
    </row>
    <row r="26" spans="1:8" x14ac:dyDescent="0.2">
      <c r="A26" s="9" t="s">
        <v>57</v>
      </c>
      <c r="D26" s="25" t="s">
        <v>168</v>
      </c>
      <c r="E26" s="27">
        <v>892248</v>
      </c>
      <c r="F26" s="28">
        <v>0</v>
      </c>
      <c r="G26" s="27">
        <v>892248</v>
      </c>
      <c r="H26" s="28">
        <v>0</v>
      </c>
    </row>
    <row r="27" spans="1:8" x14ac:dyDescent="0.2">
      <c r="D27" s="25" t="s">
        <v>167</v>
      </c>
      <c r="E27" s="27">
        <v>1111792</v>
      </c>
      <c r="F27" s="27">
        <v>245510</v>
      </c>
      <c r="G27" s="27">
        <v>1547438</v>
      </c>
      <c r="H27" s="27">
        <v>717958</v>
      </c>
    </row>
    <row r="28" spans="1:8" x14ac:dyDescent="0.2">
      <c r="D28" s="25" t="s">
        <v>166</v>
      </c>
      <c r="E28" s="27">
        <v>-838187</v>
      </c>
      <c r="F28" s="27">
        <v>30000</v>
      </c>
      <c r="G28" s="27">
        <v>-737443</v>
      </c>
      <c r="H28" s="27">
        <v>60235</v>
      </c>
    </row>
    <row r="29" spans="1:8" x14ac:dyDescent="0.2">
      <c r="A29" s="9" t="s">
        <v>38</v>
      </c>
      <c r="D29" s="25" t="s">
        <v>165</v>
      </c>
      <c r="E29" s="27">
        <v>-9809</v>
      </c>
      <c r="F29" s="27">
        <v>-5256</v>
      </c>
      <c r="G29" s="27">
        <v>-27809</v>
      </c>
      <c r="H29" s="27">
        <v>-16585</v>
      </c>
    </row>
    <row r="30" spans="1:8" x14ac:dyDescent="0.2">
      <c r="A30" s="9" t="s">
        <v>58</v>
      </c>
      <c r="D30" s="25" t="s">
        <v>164</v>
      </c>
      <c r="E30" s="27">
        <v>2898</v>
      </c>
      <c r="F30" s="27">
        <v>252</v>
      </c>
      <c r="G30" s="27">
        <v>3815</v>
      </c>
      <c r="H30" s="27">
        <v>-6278</v>
      </c>
    </row>
    <row r="31" spans="1:8" x14ac:dyDescent="0.2">
      <c r="D31" s="25" t="s">
        <v>163</v>
      </c>
      <c r="E31" s="27">
        <v>-845098</v>
      </c>
      <c r="F31" s="27">
        <v>24996</v>
      </c>
      <c r="G31" s="27">
        <v>-761437</v>
      </c>
      <c r="H31" s="27">
        <v>37372</v>
      </c>
    </row>
    <row r="32" spans="1:8" x14ac:dyDescent="0.2">
      <c r="A32" s="9" t="s">
        <v>14</v>
      </c>
      <c r="D32" s="25" t="s">
        <v>162</v>
      </c>
      <c r="E32" s="27">
        <v>-4161</v>
      </c>
      <c r="F32" s="27">
        <v>-1872</v>
      </c>
      <c r="G32" s="27">
        <v>-16263</v>
      </c>
      <c r="H32" s="27">
        <v>-7228</v>
      </c>
    </row>
    <row r="33" spans="1:8" x14ac:dyDescent="0.2">
      <c r="D33" s="25" t="s">
        <v>161</v>
      </c>
      <c r="E33" s="27">
        <v>-849259</v>
      </c>
      <c r="F33" s="27">
        <v>23124</v>
      </c>
      <c r="G33" s="27">
        <v>-777700</v>
      </c>
      <c r="H33" s="27">
        <v>30144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-236060</v>
      </c>
      <c r="F35" s="27">
        <v>6453</v>
      </c>
      <c r="G35" s="27">
        <v>-216513</v>
      </c>
      <c r="H35" s="27">
        <v>8331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-613199</v>
      </c>
      <c r="F37" s="26">
        <v>16671</v>
      </c>
      <c r="G37" s="26">
        <v>-561187</v>
      </c>
      <c r="H37" s="26">
        <v>21813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-5.1100000000000003</v>
      </c>
      <c r="F40" s="29">
        <v>0.12</v>
      </c>
      <c r="G40" s="29">
        <v>-4.53</v>
      </c>
      <c r="H40" s="29">
        <v>0.16</v>
      </c>
    </row>
    <row r="41" spans="1:8" x14ac:dyDescent="0.2">
      <c r="D41" s="25" t="s">
        <v>153</v>
      </c>
      <c r="E41" s="29">
        <v>-5.1100000000000003</v>
      </c>
      <c r="F41" s="29">
        <v>0.12</v>
      </c>
      <c r="G41" s="29">
        <v>-4.53</v>
      </c>
      <c r="H41" s="29">
        <v>0.16</v>
      </c>
    </row>
  </sheetData>
  <hyperlinks>
    <hyperlink ref="C8" location="Table_Of_Contents!A1" display="Table Of Contents" xr:uid="{58BF330C-61DB-443B-B8B1-D5B759A79D9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6E56-60D8-44E6-BE27-E95C612D22A8}">
  <dimension ref="A1:H39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238</v>
      </c>
    </row>
    <row r="7" spans="3:8" x14ac:dyDescent="0.2">
      <c r="C7" s="30" t="s">
        <v>237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5" spans="3:8" x14ac:dyDescent="0.2">
      <c r="D15" s="25" t="s">
        <v>141</v>
      </c>
      <c r="E15" s="25" t="s">
        <v>177</v>
      </c>
      <c r="F15" s="25" t="s">
        <v>177</v>
      </c>
      <c r="G15" s="25" t="s">
        <v>243</v>
      </c>
      <c r="H15" s="25" t="s">
        <v>243</v>
      </c>
    </row>
    <row r="16" spans="3:8" x14ac:dyDescent="0.2">
      <c r="D16" s="25" t="s">
        <v>141</v>
      </c>
      <c r="E16" s="25" t="s">
        <v>242</v>
      </c>
      <c r="F16" s="25" t="s">
        <v>242</v>
      </c>
      <c r="G16" s="25" t="s">
        <v>242</v>
      </c>
      <c r="H16" s="25" t="s">
        <v>242</v>
      </c>
    </row>
    <row r="17" spans="1:8" x14ac:dyDescent="0.2">
      <c r="D17" s="25" t="s">
        <v>141</v>
      </c>
      <c r="E17" s="25" t="s">
        <v>140</v>
      </c>
      <c r="F17" s="25" t="s">
        <v>241</v>
      </c>
      <c r="G17" s="25" t="s">
        <v>140</v>
      </c>
      <c r="H17" s="25" t="s">
        <v>241</v>
      </c>
    </row>
    <row r="18" spans="1:8" x14ac:dyDescent="0.2">
      <c r="A18" s="2" t="s">
        <v>12</v>
      </c>
      <c r="D18" s="25" t="s">
        <v>12</v>
      </c>
      <c r="E18" s="26">
        <v>268615</v>
      </c>
      <c r="F18" s="26">
        <v>259735</v>
      </c>
      <c r="G18" s="26">
        <v>536390</v>
      </c>
      <c r="H18" s="26">
        <v>502683</v>
      </c>
    </row>
    <row r="19" spans="1:8" x14ac:dyDescent="0.2">
      <c r="D19" s="25" t="s">
        <v>173</v>
      </c>
    </row>
    <row r="20" spans="1:8" x14ac:dyDescent="0.2">
      <c r="A20" s="9" t="s">
        <v>53</v>
      </c>
      <c r="D20" s="25" t="s">
        <v>53</v>
      </c>
      <c r="E20" s="27">
        <v>80041</v>
      </c>
      <c r="F20" s="27">
        <v>76737</v>
      </c>
      <c r="G20" s="27">
        <v>161330</v>
      </c>
      <c r="H20" s="27">
        <v>147317</v>
      </c>
    </row>
    <row r="21" spans="1:8" x14ac:dyDescent="0.2">
      <c r="A21" s="9" t="s">
        <v>54</v>
      </c>
      <c r="D21" s="25" t="s">
        <v>172</v>
      </c>
      <c r="E21" s="27">
        <v>67562</v>
      </c>
      <c r="F21" s="27">
        <v>65329</v>
      </c>
      <c r="G21" s="27">
        <v>131179</v>
      </c>
      <c r="H21" s="27">
        <v>128919</v>
      </c>
    </row>
    <row r="22" spans="1:8" x14ac:dyDescent="0.2">
      <c r="A22" s="9" t="s">
        <v>55</v>
      </c>
      <c r="D22" s="25" t="s">
        <v>171</v>
      </c>
      <c r="E22" s="27">
        <v>36329</v>
      </c>
      <c r="F22" s="27">
        <v>43298</v>
      </c>
      <c r="G22" s="27">
        <v>57185</v>
      </c>
      <c r="H22" s="27">
        <v>93129</v>
      </c>
    </row>
    <row r="23" spans="1:8" x14ac:dyDescent="0.2">
      <c r="A23" s="9" t="s">
        <v>56</v>
      </c>
      <c r="D23" s="25" t="s">
        <v>170</v>
      </c>
      <c r="E23" s="27">
        <v>15705</v>
      </c>
      <c r="F23" s="27">
        <v>36233</v>
      </c>
      <c r="G23" s="27">
        <v>51722</v>
      </c>
      <c r="H23" s="27">
        <v>69385</v>
      </c>
    </row>
    <row r="24" spans="1:8" x14ac:dyDescent="0.2">
      <c r="A24" s="9" t="s">
        <v>40</v>
      </c>
      <c r="D24" s="25" t="s">
        <v>169</v>
      </c>
      <c r="E24" s="27">
        <v>17024</v>
      </c>
      <c r="F24" s="27">
        <v>16967</v>
      </c>
      <c r="G24" s="27">
        <v>34230</v>
      </c>
      <c r="H24" s="27">
        <v>33698</v>
      </c>
    </row>
    <row r="25" spans="1:8" x14ac:dyDescent="0.2">
      <c r="A25" s="9"/>
      <c r="D25" s="25" t="s">
        <v>167</v>
      </c>
      <c r="E25" s="27">
        <v>216661</v>
      </c>
      <c r="F25" s="27">
        <v>238564</v>
      </c>
      <c r="G25" s="27">
        <v>435646</v>
      </c>
      <c r="H25" s="27">
        <v>472448</v>
      </c>
    </row>
    <row r="26" spans="1:8" x14ac:dyDescent="0.2">
      <c r="D26" s="25" t="s">
        <v>166</v>
      </c>
      <c r="E26" s="27">
        <v>51954</v>
      </c>
      <c r="F26" s="27">
        <v>21171</v>
      </c>
      <c r="G26" s="27">
        <v>100744</v>
      </c>
      <c r="H26" s="27">
        <v>30235</v>
      </c>
    </row>
    <row r="27" spans="1:8" x14ac:dyDescent="0.2">
      <c r="A27" s="9" t="s">
        <v>38</v>
      </c>
      <c r="D27" s="25" t="s">
        <v>240</v>
      </c>
      <c r="E27" s="27">
        <v>-9082</v>
      </c>
      <c r="F27" s="27">
        <v>-6110</v>
      </c>
      <c r="G27" s="27">
        <v>-18000</v>
      </c>
      <c r="H27" s="27">
        <v>-11329</v>
      </c>
    </row>
    <row r="28" spans="1:8" x14ac:dyDescent="0.2">
      <c r="A28" s="9" t="s">
        <v>58</v>
      </c>
      <c r="D28" s="25" t="s">
        <v>164</v>
      </c>
      <c r="E28" s="27">
        <v>-558</v>
      </c>
      <c r="F28" s="27">
        <v>-2969</v>
      </c>
      <c r="G28" s="27">
        <v>917</v>
      </c>
      <c r="H28" s="27">
        <v>-6530</v>
      </c>
    </row>
    <row r="29" spans="1:8" x14ac:dyDescent="0.2">
      <c r="D29" s="25" t="s">
        <v>163</v>
      </c>
      <c r="E29" s="27">
        <v>42314</v>
      </c>
      <c r="F29" s="27">
        <v>12092</v>
      </c>
      <c r="G29" s="27">
        <v>83661</v>
      </c>
      <c r="H29" s="27">
        <v>12376</v>
      </c>
    </row>
    <row r="30" spans="1:8" x14ac:dyDescent="0.2">
      <c r="A30" s="9" t="s">
        <v>14</v>
      </c>
      <c r="D30" s="25" t="s">
        <v>239</v>
      </c>
      <c r="E30" s="27">
        <v>-4628</v>
      </c>
      <c r="F30" s="27">
        <v>-2743</v>
      </c>
      <c r="G30" s="27">
        <v>-12102</v>
      </c>
      <c r="H30" s="27">
        <v>-5356</v>
      </c>
    </row>
    <row r="31" spans="1:8" x14ac:dyDescent="0.2">
      <c r="D31" s="25" t="s">
        <v>161</v>
      </c>
      <c r="E31" s="27">
        <v>37686</v>
      </c>
      <c r="F31" s="27">
        <v>9349</v>
      </c>
      <c r="G31" s="27">
        <v>71559</v>
      </c>
      <c r="H31" s="27">
        <v>7020</v>
      </c>
    </row>
    <row r="32" spans="1:8" x14ac:dyDescent="0.2">
      <c r="D32" s="25" t="s">
        <v>160</v>
      </c>
    </row>
    <row r="33" spans="1:8" x14ac:dyDescent="0.2">
      <c r="A33" s="9" t="s">
        <v>59</v>
      </c>
      <c r="D33" s="25" t="s">
        <v>159</v>
      </c>
      <c r="E33" s="27">
        <v>10291</v>
      </c>
      <c r="F33" s="27">
        <v>2596</v>
      </c>
      <c r="G33" s="27">
        <v>19547</v>
      </c>
      <c r="H33" s="27">
        <v>1878</v>
      </c>
    </row>
    <row r="34" spans="1:8" x14ac:dyDescent="0.2">
      <c r="D34" s="25" t="s">
        <v>158</v>
      </c>
    </row>
    <row r="35" spans="1:8" x14ac:dyDescent="0.2">
      <c r="A35" s="25" t="s">
        <v>546</v>
      </c>
      <c r="D35" s="25" t="s">
        <v>157</v>
      </c>
      <c r="E35" s="26">
        <v>27395</v>
      </c>
      <c r="F35" s="26">
        <v>6753</v>
      </c>
      <c r="G35" s="26">
        <v>52012</v>
      </c>
      <c r="H35" s="26">
        <v>5142</v>
      </c>
    </row>
    <row r="36" spans="1:8" x14ac:dyDescent="0.2">
      <c r="D36" s="25" t="s">
        <v>156</v>
      </c>
    </row>
    <row r="37" spans="1:8" x14ac:dyDescent="0.2">
      <c r="D37" s="25" t="s">
        <v>155</v>
      </c>
    </row>
    <row r="38" spans="1:8" x14ac:dyDescent="0.2">
      <c r="D38" s="25" t="s">
        <v>154</v>
      </c>
      <c r="E38" s="29">
        <v>0.22</v>
      </c>
      <c r="F38" s="29">
        <v>0.05</v>
      </c>
      <c r="G38" s="29">
        <v>0.41</v>
      </c>
      <c r="H38" s="29">
        <v>0.04</v>
      </c>
    </row>
    <row r="39" spans="1:8" x14ac:dyDescent="0.2">
      <c r="D39" s="25" t="s">
        <v>153</v>
      </c>
      <c r="E39" s="29">
        <v>0.22</v>
      </c>
      <c r="F39" s="29">
        <v>0.05</v>
      </c>
      <c r="G39" s="29">
        <v>0.41</v>
      </c>
      <c r="H39" s="29">
        <v>0.04</v>
      </c>
    </row>
  </sheetData>
  <hyperlinks>
    <hyperlink ref="C8" location="Table_Of_Contents!A1" display="Table Of Contents" xr:uid="{39AB1CD1-0B5D-40DC-89B8-B9A024554D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2FD9-4307-4922-9472-40D334750159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259</v>
      </c>
    </row>
    <row r="7" spans="3:6" x14ac:dyDescent="0.2">
      <c r="C7" s="30" t="s">
        <v>258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266</v>
      </c>
      <c r="F18" s="25" t="s">
        <v>265</v>
      </c>
    </row>
    <row r="19" spans="1:6" x14ac:dyDescent="0.2">
      <c r="A19" s="2" t="s">
        <v>12</v>
      </c>
      <c r="D19" s="25" t="s">
        <v>12</v>
      </c>
      <c r="E19" s="26">
        <v>267775</v>
      </c>
      <c r="F19" s="26">
        <v>242948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81289</v>
      </c>
      <c r="F21" s="27">
        <v>70580</v>
      </c>
    </row>
    <row r="22" spans="1:6" x14ac:dyDescent="0.2">
      <c r="A22" s="9" t="s">
        <v>54</v>
      </c>
      <c r="D22" s="25" t="s">
        <v>172</v>
      </c>
      <c r="E22" s="27">
        <v>63617</v>
      </c>
      <c r="F22" s="27">
        <v>63590</v>
      </c>
    </row>
    <row r="23" spans="1:6" x14ac:dyDescent="0.2">
      <c r="A23" s="9" t="s">
        <v>55</v>
      </c>
      <c r="D23" s="25" t="s">
        <v>171</v>
      </c>
      <c r="E23" s="27">
        <v>20856</v>
      </c>
      <c r="F23" s="27">
        <v>49831</v>
      </c>
    </row>
    <row r="24" spans="1:6" x14ac:dyDescent="0.2">
      <c r="A24" s="9" t="s">
        <v>56</v>
      </c>
      <c r="D24" s="25" t="s">
        <v>170</v>
      </c>
      <c r="E24" s="27">
        <v>36017</v>
      </c>
      <c r="F24" s="27">
        <v>33152</v>
      </c>
    </row>
    <row r="25" spans="1:6" x14ac:dyDescent="0.2">
      <c r="A25" s="9" t="s">
        <v>40</v>
      </c>
      <c r="D25" s="25" t="s">
        <v>169</v>
      </c>
      <c r="E25" s="27">
        <v>17206</v>
      </c>
      <c r="F25" s="27">
        <v>16731</v>
      </c>
    </row>
    <row r="26" spans="1:6" x14ac:dyDescent="0.2">
      <c r="A26" s="9"/>
      <c r="D26" s="25" t="s">
        <v>167</v>
      </c>
      <c r="E26" s="27">
        <v>218985</v>
      </c>
      <c r="F26" s="27">
        <v>233884</v>
      </c>
    </row>
    <row r="27" spans="1:6" x14ac:dyDescent="0.2">
      <c r="D27" s="25" t="s">
        <v>166</v>
      </c>
      <c r="E27" s="27">
        <v>48790</v>
      </c>
      <c r="F27" s="27">
        <v>9064</v>
      </c>
    </row>
    <row r="28" spans="1:6" x14ac:dyDescent="0.2">
      <c r="A28" s="9" t="s">
        <v>38</v>
      </c>
      <c r="D28" s="25" t="s">
        <v>240</v>
      </c>
      <c r="E28" s="27">
        <v>-8918</v>
      </c>
      <c r="F28" s="27">
        <v>-5219</v>
      </c>
    </row>
    <row r="29" spans="1:6" x14ac:dyDescent="0.2">
      <c r="A29" s="9" t="s">
        <v>58</v>
      </c>
      <c r="D29" s="25" t="s">
        <v>164</v>
      </c>
      <c r="E29" s="27">
        <v>1475</v>
      </c>
      <c r="F29" s="27">
        <v>-3561</v>
      </c>
    </row>
    <row r="30" spans="1:6" x14ac:dyDescent="0.2">
      <c r="D30" s="25" t="s">
        <v>163</v>
      </c>
      <c r="E30" s="27">
        <v>41347</v>
      </c>
      <c r="F30" s="27">
        <v>284</v>
      </c>
    </row>
    <row r="31" spans="1:6" x14ac:dyDescent="0.2">
      <c r="A31" s="9" t="s">
        <v>14</v>
      </c>
      <c r="D31" s="25" t="s">
        <v>239</v>
      </c>
      <c r="E31" s="27">
        <v>-7474</v>
      </c>
      <c r="F31" s="27">
        <v>-2613</v>
      </c>
    </row>
    <row r="32" spans="1:6" x14ac:dyDescent="0.2">
      <c r="D32" s="25" t="s">
        <v>161</v>
      </c>
      <c r="E32" s="27">
        <v>33873</v>
      </c>
      <c r="F32" s="27">
        <v>-2329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9256</v>
      </c>
      <c r="F34" s="27">
        <v>-718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24617</v>
      </c>
      <c r="F36" s="26">
        <v>-1611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0.19</v>
      </c>
      <c r="F39" s="29">
        <v>-0.01</v>
      </c>
    </row>
    <row r="40" spans="1:6" x14ac:dyDescent="0.2">
      <c r="D40" s="25" t="s">
        <v>153</v>
      </c>
      <c r="E40" s="29">
        <v>0.19</v>
      </c>
      <c r="F40" s="29">
        <v>-0.01</v>
      </c>
    </row>
  </sheetData>
  <hyperlinks>
    <hyperlink ref="C8" location="Table_Of_Contents!A1" display="Table Of Contents" xr:uid="{D45551CA-6B1F-419C-97B9-FCC450B1CA2F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63B5-C357-4B8B-AD48-96809A39038D}">
  <dimension ref="A1:H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310</v>
      </c>
    </row>
    <row r="7" spans="3:8" x14ac:dyDescent="0.2">
      <c r="C7" s="30" t="s">
        <v>309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2023</v>
      </c>
      <c r="F19" s="25">
        <v>2022</v>
      </c>
      <c r="G19" s="25">
        <v>2023</v>
      </c>
      <c r="H19" s="25">
        <v>2022</v>
      </c>
    </row>
    <row r="20" spans="1:8" x14ac:dyDescent="0.2">
      <c r="A20" s="2" t="s">
        <v>12</v>
      </c>
      <c r="D20" s="25" t="s">
        <v>12</v>
      </c>
      <c r="E20" s="26">
        <v>275510</v>
      </c>
      <c r="F20" s="26">
        <v>232639</v>
      </c>
      <c r="G20" s="26">
        <v>778193</v>
      </c>
      <c r="H20" s="26">
        <v>661875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80049</v>
      </c>
      <c r="F22" s="27">
        <v>64581</v>
      </c>
      <c r="G22" s="27">
        <v>227366</v>
      </c>
      <c r="H22" s="27">
        <v>181702</v>
      </c>
    </row>
    <row r="23" spans="1:8" x14ac:dyDescent="0.2">
      <c r="A23" s="9" t="s">
        <v>54</v>
      </c>
      <c r="D23" s="25" t="s">
        <v>172</v>
      </c>
      <c r="E23" s="27">
        <v>68848</v>
      </c>
      <c r="F23" s="27">
        <v>64316</v>
      </c>
      <c r="G23" s="27">
        <v>197767</v>
      </c>
      <c r="H23" s="27">
        <v>180628</v>
      </c>
    </row>
    <row r="24" spans="1:8" x14ac:dyDescent="0.2">
      <c r="A24" s="9" t="s">
        <v>55</v>
      </c>
      <c r="D24" s="25" t="s">
        <v>171</v>
      </c>
      <c r="E24" s="27">
        <v>48577</v>
      </c>
      <c r="F24" s="27">
        <v>27265</v>
      </c>
      <c r="G24" s="27">
        <v>141706</v>
      </c>
      <c r="H24" s="27">
        <v>100061</v>
      </c>
    </row>
    <row r="25" spans="1:8" x14ac:dyDescent="0.2">
      <c r="A25" s="9" t="s">
        <v>56</v>
      </c>
      <c r="D25" s="25" t="s">
        <v>170</v>
      </c>
      <c r="E25" s="27">
        <v>30909</v>
      </c>
      <c r="F25" s="27">
        <v>28378</v>
      </c>
      <c r="G25" s="27">
        <v>100294</v>
      </c>
      <c r="H25" s="27">
        <v>81054</v>
      </c>
    </row>
    <row r="26" spans="1:8" x14ac:dyDescent="0.2">
      <c r="A26" s="9" t="s">
        <v>40</v>
      </c>
      <c r="D26" s="25" t="s">
        <v>169</v>
      </c>
      <c r="E26" s="27">
        <v>17127</v>
      </c>
      <c r="F26" s="27">
        <v>19755</v>
      </c>
      <c r="G26" s="27">
        <v>50825</v>
      </c>
      <c r="H26" s="27">
        <v>73835</v>
      </c>
    </row>
    <row r="27" spans="1:8" x14ac:dyDescent="0.2">
      <c r="A27" s="9"/>
      <c r="D27" s="25" t="s">
        <v>167</v>
      </c>
      <c r="E27" s="27">
        <v>245510</v>
      </c>
      <c r="F27" s="27">
        <v>204295</v>
      </c>
      <c r="G27" s="27">
        <v>717958</v>
      </c>
      <c r="H27" s="27">
        <v>617280</v>
      </c>
    </row>
    <row r="28" spans="1:8" x14ac:dyDescent="0.2">
      <c r="D28" s="25" t="s">
        <v>166</v>
      </c>
      <c r="E28" s="27">
        <v>30000</v>
      </c>
      <c r="F28" s="27">
        <v>28344</v>
      </c>
      <c r="G28" s="27">
        <v>60235</v>
      </c>
      <c r="H28" s="27">
        <v>44595</v>
      </c>
    </row>
    <row r="29" spans="1:8" x14ac:dyDescent="0.2">
      <c r="A29" s="9" t="s">
        <v>38</v>
      </c>
      <c r="D29" s="25" t="s">
        <v>240</v>
      </c>
      <c r="E29" s="27">
        <v>-5256</v>
      </c>
      <c r="F29" s="27">
        <v>-6866</v>
      </c>
      <c r="G29" s="27">
        <v>-16585</v>
      </c>
      <c r="H29" s="27">
        <v>-18446</v>
      </c>
    </row>
    <row r="30" spans="1:8" x14ac:dyDescent="0.2">
      <c r="A30" s="9" t="s">
        <v>58</v>
      </c>
      <c r="D30" s="25" t="s">
        <v>164</v>
      </c>
      <c r="E30" s="27">
        <v>252</v>
      </c>
      <c r="F30" s="27">
        <v>6545</v>
      </c>
      <c r="G30" s="27">
        <v>-6278</v>
      </c>
      <c r="H30" s="27">
        <v>24729</v>
      </c>
    </row>
    <row r="31" spans="1:8" x14ac:dyDescent="0.2">
      <c r="D31" s="25" t="s">
        <v>163</v>
      </c>
      <c r="E31" s="27">
        <v>24996</v>
      </c>
      <c r="F31" s="27">
        <v>28023</v>
      </c>
      <c r="G31" s="27">
        <v>37372</v>
      </c>
      <c r="H31" s="27">
        <v>50878</v>
      </c>
    </row>
    <row r="32" spans="1:8" x14ac:dyDescent="0.2">
      <c r="A32" s="9" t="s">
        <v>14</v>
      </c>
      <c r="D32" s="25" t="s">
        <v>239</v>
      </c>
      <c r="E32" s="27">
        <v>-1872</v>
      </c>
      <c r="F32" s="27">
        <v>-1618</v>
      </c>
      <c r="G32" s="27">
        <v>-7228</v>
      </c>
      <c r="H32" s="27">
        <v>-5756</v>
      </c>
    </row>
    <row r="33" spans="1:8" x14ac:dyDescent="0.2">
      <c r="D33" s="25" t="s">
        <v>161</v>
      </c>
      <c r="E33" s="27">
        <v>23124</v>
      </c>
      <c r="F33" s="27">
        <v>26405</v>
      </c>
      <c r="G33" s="27">
        <v>30144</v>
      </c>
      <c r="H33" s="27">
        <v>45122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6453</v>
      </c>
      <c r="F35" s="27">
        <v>8342</v>
      </c>
      <c r="G35" s="27">
        <v>8331</v>
      </c>
      <c r="H35" s="27">
        <v>14298</v>
      </c>
    </row>
    <row r="36" spans="1:8" x14ac:dyDescent="0.2">
      <c r="D36" s="25" t="s">
        <v>158</v>
      </c>
    </row>
    <row r="37" spans="1:8" x14ac:dyDescent="0.2">
      <c r="A37" s="25" t="s">
        <v>546</v>
      </c>
      <c r="D37" s="25" t="s">
        <v>157</v>
      </c>
      <c r="E37" s="26">
        <v>16671</v>
      </c>
      <c r="F37" s="26">
        <v>18063</v>
      </c>
      <c r="G37" s="26">
        <v>21813</v>
      </c>
      <c r="H37" s="26">
        <v>30824</v>
      </c>
    </row>
    <row r="38" spans="1:8" x14ac:dyDescent="0.2">
      <c r="D38" s="25" t="s">
        <v>156</v>
      </c>
    </row>
    <row r="39" spans="1:8" x14ac:dyDescent="0.2">
      <c r="D39" s="25" t="s">
        <v>155</v>
      </c>
    </row>
    <row r="40" spans="1:8" x14ac:dyDescent="0.2">
      <c r="D40" s="25" t="s">
        <v>154</v>
      </c>
      <c r="E40" s="29">
        <v>0.12</v>
      </c>
      <c r="F40" s="29">
        <v>0.14000000000000001</v>
      </c>
      <c r="G40" s="29">
        <v>0.16</v>
      </c>
      <c r="H40" s="29">
        <v>0.24</v>
      </c>
    </row>
    <row r="41" spans="1:8" x14ac:dyDescent="0.2">
      <c r="D41" s="25" t="s">
        <v>153</v>
      </c>
      <c r="E41" s="29">
        <v>0.12</v>
      </c>
      <c r="F41" s="29">
        <v>0.14000000000000001</v>
      </c>
      <c r="G41" s="29">
        <v>0.16</v>
      </c>
      <c r="H41" s="29">
        <v>0.23</v>
      </c>
    </row>
  </sheetData>
  <hyperlinks>
    <hyperlink ref="C8" location="Table_Of_Contents!A1" display="Table Of Contents" xr:uid="{4427C2B9-085B-40A5-A7EB-C2BBC11E122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829-0EB3-47AF-A32A-B96A3DA86696}">
  <dimension ref="A1:H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323</v>
      </c>
    </row>
    <row r="7" spans="3:8" x14ac:dyDescent="0.2">
      <c r="C7" s="30" t="s">
        <v>322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178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241</v>
      </c>
      <c r="F18" s="25" t="s">
        <v>325</v>
      </c>
      <c r="G18" s="25" t="s">
        <v>241</v>
      </c>
      <c r="H18" s="25" t="s">
        <v>325</v>
      </c>
    </row>
    <row r="19" spans="1:8" x14ac:dyDescent="0.2">
      <c r="A19" s="2" t="s">
        <v>12</v>
      </c>
      <c r="D19" s="25" t="s">
        <v>12</v>
      </c>
      <c r="E19" s="26">
        <v>259735</v>
      </c>
      <c r="F19" s="26">
        <v>219206</v>
      </c>
      <c r="G19" s="26">
        <v>502683</v>
      </c>
      <c r="H19" s="26">
        <v>429236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76737</v>
      </c>
      <c r="F21" s="27">
        <v>61509</v>
      </c>
      <c r="G21" s="27">
        <v>147317</v>
      </c>
      <c r="H21" s="27">
        <v>117121</v>
      </c>
    </row>
    <row r="22" spans="1:8" x14ac:dyDescent="0.2">
      <c r="A22" s="9" t="s">
        <v>54</v>
      </c>
      <c r="D22" s="25" t="s">
        <v>172</v>
      </c>
      <c r="E22" s="27">
        <v>65329</v>
      </c>
      <c r="F22" s="27">
        <v>59483</v>
      </c>
      <c r="G22" s="27">
        <v>128919</v>
      </c>
      <c r="H22" s="27">
        <v>116312</v>
      </c>
    </row>
    <row r="23" spans="1:8" x14ac:dyDescent="0.2">
      <c r="A23" s="9" t="s">
        <v>55</v>
      </c>
      <c r="D23" s="25" t="s">
        <v>171</v>
      </c>
      <c r="E23" s="27">
        <v>43298</v>
      </c>
      <c r="F23" s="27">
        <v>48943</v>
      </c>
      <c r="G23" s="27">
        <v>93129</v>
      </c>
      <c r="H23" s="27">
        <v>72796</v>
      </c>
    </row>
    <row r="24" spans="1:8" x14ac:dyDescent="0.2">
      <c r="A24" s="9" t="s">
        <v>56</v>
      </c>
      <c r="D24" s="25" t="s">
        <v>170</v>
      </c>
      <c r="E24" s="27">
        <v>36233</v>
      </c>
      <c r="F24" s="27">
        <v>24888</v>
      </c>
      <c r="G24" s="27">
        <v>69385</v>
      </c>
      <c r="H24" s="27">
        <v>52676</v>
      </c>
    </row>
    <row r="25" spans="1:8" x14ac:dyDescent="0.2">
      <c r="A25" s="9" t="s">
        <v>40</v>
      </c>
      <c r="D25" s="25" t="s">
        <v>169</v>
      </c>
      <c r="E25" s="27">
        <v>16967</v>
      </c>
      <c r="F25" s="27">
        <v>27151</v>
      </c>
      <c r="G25" s="27">
        <v>33698</v>
      </c>
      <c r="H25" s="27">
        <v>54080</v>
      </c>
    </row>
    <row r="26" spans="1:8" x14ac:dyDescent="0.2">
      <c r="A26" s="9"/>
      <c r="D26" s="25" t="s">
        <v>167</v>
      </c>
      <c r="E26" s="27">
        <v>238564</v>
      </c>
      <c r="F26" s="27">
        <v>221974</v>
      </c>
      <c r="G26" s="27">
        <v>472448</v>
      </c>
      <c r="H26" s="27">
        <v>412985</v>
      </c>
    </row>
    <row r="27" spans="1:8" x14ac:dyDescent="0.2">
      <c r="D27" s="25" t="s">
        <v>166</v>
      </c>
      <c r="E27" s="27">
        <v>21171</v>
      </c>
      <c r="F27" s="27">
        <v>-2768</v>
      </c>
      <c r="G27" s="27">
        <v>30235</v>
      </c>
      <c r="H27" s="27">
        <v>16251</v>
      </c>
    </row>
    <row r="28" spans="1:8" x14ac:dyDescent="0.2">
      <c r="A28" s="9" t="s">
        <v>38</v>
      </c>
      <c r="D28" s="25" t="s">
        <v>324</v>
      </c>
      <c r="E28" s="27">
        <v>-6110</v>
      </c>
      <c r="F28" s="27">
        <v>-5989</v>
      </c>
      <c r="G28" s="27">
        <v>-11329</v>
      </c>
      <c r="H28" s="27">
        <v>-11580</v>
      </c>
    </row>
    <row r="29" spans="1:8" x14ac:dyDescent="0.2">
      <c r="A29" s="9" t="s">
        <v>58</v>
      </c>
      <c r="D29" s="25" t="s">
        <v>164</v>
      </c>
      <c r="E29" s="27">
        <v>-2969</v>
      </c>
      <c r="F29" s="27">
        <v>4954</v>
      </c>
      <c r="G29" s="27">
        <v>-6530</v>
      </c>
      <c r="H29" s="27">
        <v>18184</v>
      </c>
    </row>
    <row r="30" spans="1:8" x14ac:dyDescent="0.2">
      <c r="D30" s="25" t="s">
        <v>163</v>
      </c>
      <c r="E30" s="27">
        <v>12092</v>
      </c>
      <c r="F30" s="27">
        <v>-3803</v>
      </c>
      <c r="G30" s="27">
        <v>12376</v>
      </c>
      <c r="H30" s="27">
        <v>22855</v>
      </c>
    </row>
    <row r="31" spans="1:8" x14ac:dyDescent="0.2">
      <c r="A31" s="9" t="s">
        <v>14</v>
      </c>
      <c r="D31" s="25" t="s">
        <v>239</v>
      </c>
      <c r="E31" s="27">
        <v>-2743</v>
      </c>
      <c r="F31" s="27">
        <v>-1228</v>
      </c>
      <c r="G31" s="27">
        <v>-5356</v>
      </c>
      <c r="H31" s="27">
        <v>-4138</v>
      </c>
    </row>
    <row r="32" spans="1:8" x14ac:dyDescent="0.2">
      <c r="D32" s="25" t="s">
        <v>161</v>
      </c>
      <c r="E32" s="27">
        <v>9349</v>
      </c>
      <c r="F32" s="27">
        <v>-5031</v>
      </c>
      <c r="G32" s="27">
        <v>7020</v>
      </c>
      <c r="H32" s="27">
        <v>18717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2596</v>
      </c>
      <c r="F34" s="27">
        <v>-1591</v>
      </c>
      <c r="G34" s="27">
        <v>1878</v>
      </c>
      <c r="H34" s="27">
        <v>5956</v>
      </c>
    </row>
    <row r="35" spans="1:8" x14ac:dyDescent="0.2">
      <c r="D35" s="25" t="s">
        <v>158</v>
      </c>
    </row>
    <row r="36" spans="1:8" x14ac:dyDescent="0.2">
      <c r="A36" s="25" t="s">
        <v>546</v>
      </c>
      <c r="D36" s="25" t="s">
        <v>157</v>
      </c>
      <c r="E36" s="26">
        <v>6753</v>
      </c>
      <c r="F36" s="26">
        <v>-3440</v>
      </c>
      <c r="G36" s="26">
        <v>5142</v>
      </c>
      <c r="H36" s="26">
        <v>12761</v>
      </c>
    </row>
    <row r="37" spans="1:8" x14ac:dyDescent="0.2">
      <c r="D37" s="25" t="s">
        <v>156</v>
      </c>
    </row>
    <row r="38" spans="1:8" x14ac:dyDescent="0.2">
      <c r="D38" s="25" t="s">
        <v>155</v>
      </c>
    </row>
    <row r="39" spans="1:8" x14ac:dyDescent="0.2">
      <c r="D39" s="25" t="s">
        <v>154</v>
      </c>
      <c r="E39" s="29">
        <v>0.05</v>
      </c>
      <c r="F39" s="29">
        <v>-0.03</v>
      </c>
      <c r="G39" s="29">
        <v>0.04</v>
      </c>
      <c r="H39" s="29">
        <v>0.1</v>
      </c>
    </row>
    <row r="40" spans="1:8" x14ac:dyDescent="0.2">
      <c r="D40" s="25" t="s">
        <v>153</v>
      </c>
      <c r="E40" s="29">
        <v>0.05</v>
      </c>
      <c r="F40" s="29">
        <v>-0.03</v>
      </c>
      <c r="G40" s="29">
        <v>0.04</v>
      </c>
      <c r="H40" s="29">
        <v>0.1</v>
      </c>
    </row>
  </sheetData>
  <hyperlinks>
    <hyperlink ref="C8" location="Table_Of_Contents!A1" display="Table Of Contents" xr:uid="{EADF28DC-6FF9-4E22-A895-8BBD2143EE7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AFEA-E991-448D-9CB0-3126CE77D16E}">
  <dimension ref="A1:F40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58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334</v>
      </c>
    </row>
    <row r="7" spans="3:6" x14ac:dyDescent="0.2">
      <c r="C7" s="30" t="s">
        <v>333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178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267</v>
      </c>
      <c r="F17" s="25" t="s">
        <v>267</v>
      </c>
    </row>
    <row r="18" spans="1:6" x14ac:dyDescent="0.2">
      <c r="D18" s="25" t="s">
        <v>141</v>
      </c>
      <c r="E18" s="25" t="s">
        <v>265</v>
      </c>
      <c r="F18" s="25" t="s">
        <v>335</v>
      </c>
    </row>
    <row r="19" spans="1:6" x14ac:dyDescent="0.2">
      <c r="A19" s="2" t="s">
        <v>12</v>
      </c>
      <c r="D19" s="25" t="s">
        <v>12</v>
      </c>
      <c r="E19" s="26">
        <v>242948</v>
      </c>
      <c r="F19" s="26">
        <v>210030</v>
      </c>
    </row>
    <row r="20" spans="1:6" x14ac:dyDescent="0.2">
      <c r="D20" s="25" t="s">
        <v>173</v>
      </c>
    </row>
    <row r="21" spans="1:6" x14ac:dyDescent="0.2">
      <c r="A21" s="9" t="s">
        <v>53</v>
      </c>
      <c r="D21" s="25" t="s">
        <v>53</v>
      </c>
      <c r="E21" s="27">
        <v>70580</v>
      </c>
      <c r="F21" s="27">
        <v>55612</v>
      </c>
    </row>
    <row r="22" spans="1:6" x14ac:dyDescent="0.2">
      <c r="A22" s="9" t="s">
        <v>54</v>
      </c>
      <c r="D22" s="25" t="s">
        <v>172</v>
      </c>
      <c r="E22" s="27">
        <v>63590</v>
      </c>
      <c r="F22" s="27">
        <v>56829</v>
      </c>
    </row>
    <row r="23" spans="1:6" x14ac:dyDescent="0.2">
      <c r="A23" s="9" t="s">
        <v>55</v>
      </c>
      <c r="D23" s="25" t="s">
        <v>171</v>
      </c>
      <c r="E23" s="27">
        <v>49831</v>
      </c>
      <c r="F23" s="27">
        <v>23853</v>
      </c>
    </row>
    <row r="24" spans="1:6" x14ac:dyDescent="0.2">
      <c r="A24" s="9" t="s">
        <v>56</v>
      </c>
      <c r="D24" s="25" t="s">
        <v>170</v>
      </c>
      <c r="E24" s="27">
        <v>33152</v>
      </c>
      <c r="F24" s="27">
        <v>27788</v>
      </c>
    </row>
    <row r="25" spans="1:6" x14ac:dyDescent="0.2">
      <c r="A25" s="9" t="s">
        <v>40</v>
      </c>
      <c r="D25" s="25" t="s">
        <v>169</v>
      </c>
      <c r="E25" s="27">
        <v>16731</v>
      </c>
      <c r="F25" s="27">
        <v>26929</v>
      </c>
    </row>
    <row r="26" spans="1:6" x14ac:dyDescent="0.2">
      <c r="A26" s="9"/>
      <c r="D26" s="25" t="s">
        <v>167</v>
      </c>
      <c r="E26" s="27">
        <v>233884</v>
      </c>
      <c r="F26" s="27">
        <v>191011</v>
      </c>
    </row>
    <row r="27" spans="1:6" x14ac:dyDescent="0.2">
      <c r="D27" s="25" t="s">
        <v>166</v>
      </c>
      <c r="E27" s="27">
        <v>9064</v>
      </c>
      <c r="F27" s="27">
        <v>19019</v>
      </c>
    </row>
    <row r="28" spans="1:6" x14ac:dyDescent="0.2">
      <c r="A28" s="9" t="s">
        <v>38</v>
      </c>
      <c r="D28" s="25" t="s">
        <v>324</v>
      </c>
      <c r="E28" s="27">
        <v>-5219</v>
      </c>
      <c r="F28" s="27">
        <v>-5591</v>
      </c>
    </row>
    <row r="29" spans="1:6" x14ac:dyDescent="0.2">
      <c r="A29" s="9" t="s">
        <v>58</v>
      </c>
      <c r="D29" s="25" t="s">
        <v>164</v>
      </c>
      <c r="E29" s="27">
        <v>-3561</v>
      </c>
      <c r="F29" s="27">
        <v>13230</v>
      </c>
    </row>
    <row r="30" spans="1:6" x14ac:dyDescent="0.2">
      <c r="D30" s="25" t="s">
        <v>163</v>
      </c>
      <c r="E30" s="27">
        <v>284</v>
      </c>
      <c r="F30" s="27">
        <v>26658</v>
      </c>
    </row>
    <row r="31" spans="1:6" x14ac:dyDescent="0.2">
      <c r="A31" s="9" t="s">
        <v>14</v>
      </c>
      <c r="D31" s="25" t="s">
        <v>239</v>
      </c>
      <c r="E31" s="27">
        <v>-2613</v>
      </c>
      <c r="F31" s="27">
        <v>-2910</v>
      </c>
    </row>
    <row r="32" spans="1:6" x14ac:dyDescent="0.2">
      <c r="D32" s="25" t="s">
        <v>161</v>
      </c>
      <c r="E32" s="27">
        <v>-2329</v>
      </c>
      <c r="F32" s="27">
        <v>23748</v>
      </c>
    </row>
    <row r="33" spans="1:6" x14ac:dyDescent="0.2">
      <c r="D33" s="25" t="s">
        <v>264</v>
      </c>
    </row>
    <row r="34" spans="1:6" x14ac:dyDescent="0.2">
      <c r="A34" s="9" t="s">
        <v>59</v>
      </c>
      <c r="D34" s="25" t="s">
        <v>263</v>
      </c>
      <c r="E34" s="27">
        <v>-718</v>
      </c>
      <c r="F34" s="27">
        <v>7547</v>
      </c>
    </row>
    <row r="35" spans="1:6" x14ac:dyDescent="0.2">
      <c r="D35" s="25" t="s">
        <v>262</v>
      </c>
    </row>
    <row r="36" spans="1:6" x14ac:dyDescent="0.2">
      <c r="A36" s="25" t="s">
        <v>546</v>
      </c>
      <c r="D36" s="25" t="s">
        <v>261</v>
      </c>
      <c r="E36" s="26">
        <v>-1611</v>
      </c>
      <c r="F36" s="26">
        <v>16201</v>
      </c>
    </row>
    <row r="37" spans="1:6" x14ac:dyDescent="0.2">
      <c r="D37" s="25" t="s">
        <v>260</v>
      </c>
    </row>
    <row r="38" spans="1:6" x14ac:dyDescent="0.2">
      <c r="D38" s="25" t="s">
        <v>157</v>
      </c>
    </row>
    <row r="39" spans="1:6" x14ac:dyDescent="0.2">
      <c r="D39" s="25" t="s">
        <v>154</v>
      </c>
      <c r="E39" s="29">
        <v>-0.01</v>
      </c>
      <c r="F39" s="29">
        <v>0.13</v>
      </c>
    </row>
    <row r="40" spans="1:6" x14ac:dyDescent="0.2">
      <c r="D40" s="25" t="s">
        <v>153</v>
      </c>
      <c r="E40" s="29">
        <v>-0.01</v>
      </c>
      <c r="F40" s="29">
        <v>0.12</v>
      </c>
    </row>
  </sheetData>
  <hyperlinks>
    <hyperlink ref="C8" location="Table_Of_Contents!A1" display="Table Of Contents" xr:uid="{DEC81CE3-1B17-4EE5-B6A8-78EDF35031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E5DE-DA0F-48F0-913B-9E8844BACCCC}">
  <dimension ref="A1:H43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6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356</v>
      </c>
    </row>
    <row r="7" spans="3:8" x14ac:dyDescent="0.2">
      <c r="C7" s="30" t="s">
        <v>355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176</v>
      </c>
      <c r="H16" s="25" t="s">
        <v>176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175</v>
      </c>
      <c r="H17" s="25" t="s">
        <v>175</v>
      </c>
    </row>
    <row r="18" spans="1:8" x14ac:dyDescent="0.2">
      <c r="D18" s="25" t="s">
        <v>141</v>
      </c>
      <c r="E18" s="25" t="s">
        <v>174</v>
      </c>
      <c r="F18" s="25" t="s">
        <v>174</v>
      </c>
      <c r="G18" s="25" t="s">
        <v>174</v>
      </c>
      <c r="H18" s="25" t="s">
        <v>174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2022</v>
      </c>
      <c r="H19" s="25">
        <v>2021</v>
      </c>
    </row>
    <row r="20" spans="1:8" x14ac:dyDescent="0.2">
      <c r="A20" s="2" t="s">
        <v>12</v>
      </c>
      <c r="D20" s="25" t="s">
        <v>12</v>
      </c>
      <c r="E20" s="26">
        <v>232639</v>
      </c>
      <c r="F20" s="26">
        <v>199147</v>
      </c>
      <c r="G20" s="26">
        <v>661875</v>
      </c>
      <c r="H20" s="26">
        <v>553865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64581</v>
      </c>
      <c r="F22" s="27">
        <v>55265</v>
      </c>
      <c r="G22" s="27">
        <v>181702</v>
      </c>
      <c r="H22" s="27">
        <v>151597</v>
      </c>
    </row>
    <row r="23" spans="1:8" x14ac:dyDescent="0.2">
      <c r="A23" s="9" t="s">
        <v>54</v>
      </c>
      <c r="D23" s="25" t="s">
        <v>172</v>
      </c>
      <c r="E23" s="27">
        <v>64316</v>
      </c>
      <c r="F23" s="27">
        <v>55105</v>
      </c>
      <c r="G23" s="27">
        <v>180628</v>
      </c>
      <c r="H23" s="27">
        <v>151654</v>
      </c>
    </row>
    <row r="24" spans="1:8" x14ac:dyDescent="0.2">
      <c r="A24" s="9" t="s">
        <v>55</v>
      </c>
      <c r="D24" s="25" t="s">
        <v>171</v>
      </c>
      <c r="E24" s="27">
        <v>29815</v>
      </c>
      <c r="F24" s="27">
        <v>45726</v>
      </c>
      <c r="G24" s="27">
        <v>107636</v>
      </c>
      <c r="H24" s="27">
        <v>215631</v>
      </c>
    </row>
    <row r="25" spans="1:8" x14ac:dyDescent="0.2">
      <c r="A25" s="9" t="s">
        <v>56</v>
      </c>
      <c r="D25" s="25" t="s">
        <v>170</v>
      </c>
      <c r="E25" s="27">
        <v>25828</v>
      </c>
      <c r="F25" s="27">
        <v>24231</v>
      </c>
      <c r="G25" s="27">
        <v>73479</v>
      </c>
      <c r="H25" s="27">
        <v>84197</v>
      </c>
    </row>
    <row r="26" spans="1:8" x14ac:dyDescent="0.2">
      <c r="A26" s="9" t="s">
        <v>40</v>
      </c>
      <c r="D26" s="25" t="s">
        <v>169</v>
      </c>
      <c r="E26" s="27">
        <v>19755</v>
      </c>
      <c r="F26" s="27">
        <v>27022</v>
      </c>
      <c r="G26" s="27">
        <v>73835</v>
      </c>
      <c r="H26" s="27">
        <v>80882</v>
      </c>
    </row>
    <row r="27" spans="1:8" x14ac:dyDescent="0.2">
      <c r="A27" s="9"/>
      <c r="D27" s="25" t="s">
        <v>167</v>
      </c>
      <c r="E27" s="27">
        <v>204295</v>
      </c>
      <c r="F27" s="27">
        <v>207349</v>
      </c>
      <c r="G27" s="27">
        <v>617280</v>
      </c>
      <c r="H27" s="27">
        <v>683961</v>
      </c>
    </row>
    <row r="28" spans="1:8" x14ac:dyDescent="0.2">
      <c r="D28" s="25" t="s">
        <v>166</v>
      </c>
      <c r="E28" s="27">
        <v>28344</v>
      </c>
      <c r="F28" s="27">
        <v>-8202</v>
      </c>
      <c r="G28" s="27">
        <v>44595</v>
      </c>
      <c r="H28" s="27">
        <v>-130096</v>
      </c>
    </row>
    <row r="29" spans="1:8" x14ac:dyDescent="0.2">
      <c r="A29" s="9" t="s">
        <v>38</v>
      </c>
      <c r="D29" s="25" t="s">
        <v>324</v>
      </c>
      <c r="E29" s="27">
        <v>-6866</v>
      </c>
      <c r="F29" s="27">
        <v>-5676</v>
      </c>
      <c r="G29" s="27">
        <v>-18446</v>
      </c>
      <c r="H29" s="27">
        <v>-18861</v>
      </c>
    </row>
    <row r="30" spans="1:8" x14ac:dyDescent="0.2">
      <c r="A30" s="9" t="s">
        <v>58</v>
      </c>
      <c r="D30" s="25" t="s">
        <v>164</v>
      </c>
      <c r="E30" s="27">
        <v>6545</v>
      </c>
      <c r="F30" s="27">
        <v>3773</v>
      </c>
      <c r="G30" s="27">
        <v>24729</v>
      </c>
      <c r="H30" s="27">
        <v>7489</v>
      </c>
    </row>
    <row r="31" spans="1:8" x14ac:dyDescent="0.2">
      <c r="D31" s="25" t="s">
        <v>163</v>
      </c>
      <c r="E31" s="27">
        <v>28023</v>
      </c>
      <c r="F31" s="27">
        <v>-10105</v>
      </c>
      <c r="G31" s="27">
        <v>50878</v>
      </c>
      <c r="H31" s="27">
        <v>-141468</v>
      </c>
    </row>
    <row r="32" spans="1:8" x14ac:dyDescent="0.2">
      <c r="A32" s="9" t="s">
        <v>14</v>
      </c>
      <c r="D32" s="25" t="s">
        <v>239</v>
      </c>
      <c r="E32" s="27">
        <v>-1618</v>
      </c>
      <c r="F32" s="27">
        <v>-280</v>
      </c>
      <c r="G32" s="27">
        <v>-5756</v>
      </c>
      <c r="H32" s="27">
        <v>437122</v>
      </c>
    </row>
    <row r="33" spans="1:8" x14ac:dyDescent="0.2">
      <c r="D33" s="25" t="s">
        <v>161</v>
      </c>
      <c r="E33" s="27">
        <v>26405</v>
      </c>
      <c r="F33" s="27">
        <v>-10385</v>
      </c>
      <c r="G33" s="27">
        <v>45122</v>
      </c>
      <c r="H33" s="27">
        <v>295654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8342</v>
      </c>
      <c r="F35" s="27">
        <v>-3052</v>
      </c>
      <c r="G35" s="27">
        <v>14298</v>
      </c>
      <c r="H35" s="27">
        <v>-26603</v>
      </c>
    </row>
    <row r="36" spans="1:8" x14ac:dyDescent="0.2">
      <c r="D36" s="25" t="s">
        <v>158</v>
      </c>
    </row>
    <row r="37" spans="1:8" x14ac:dyDescent="0.2">
      <c r="D37" s="25" t="s">
        <v>363</v>
      </c>
    </row>
    <row r="38" spans="1:8" x14ac:dyDescent="0.2">
      <c r="A38" s="25" t="s">
        <v>546</v>
      </c>
      <c r="D38" s="25" t="s">
        <v>362</v>
      </c>
      <c r="E38" s="26">
        <v>18063</v>
      </c>
      <c r="F38" s="26">
        <v>-7333</v>
      </c>
      <c r="G38" s="26">
        <v>30824</v>
      </c>
      <c r="H38" s="26">
        <v>322257</v>
      </c>
    </row>
    <row r="39" spans="1:8" x14ac:dyDescent="0.2">
      <c r="D39" s="25" t="s">
        <v>361</v>
      </c>
    </row>
    <row r="40" spans="1:8" x14ac:dyDescent="0.2">
      <c r="D40" s="25" t="s">
        <v>360</v>
      </c>
    </row>
    <row r="41" spans="1:8" x14ac:dyDescent="0.2">
      <c r="D41" s="25" t="s">
        <v>359</v>
      </c>
    </row>
    <row r="42" spans="1:8" x14ac:dyDescent="0.2">
      <c r="D42" s="25" t="s">
        <v>358</v>
      </c>
      <c r="E42" s="29">
        <v>0.14000000000000001</v>
      </c>
      <c r="F42" s="29">
        <v>-0.06</v>
      </c>
      <c r="G42" s="29">
        <v>0.24</v>
      </c>
      <c r="H42" s="29">
        <v>1.57</v>
      </c>
    </row>
    <row r="43" spans="1:8" x14ac:dyDescent="0.2">
      <c r="D43" s="25" t="s">
        <v>357</v>
      </c>
      <c r="E43" s="29">
        <v>0.14000000000000001</v>
      </c>
      <c r="F43" s="29">
        <v>-0.06</v>
      </c>
      <c r="G43" s="29">
        <v>0.23</v>
      </c>
      <c r="H43" s="29">
        <v>1.53</v>
      </c>
    </row>
  </sheetData>
  <hyperlinks>
    <hyperlink ref="C8" location="Table_Of_Contents!A1" display="Table Of Contents" xr:uid="{AE407943-6B2D-45FD-873D-D512B91D2269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C22-66A4-434D-857D-006012548727}">
  <dimension ref="A1:H42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149</v>
      </c>
    </row>
    <row r="6" spans="3:8" x14ac:dyDescent="0.2">
      <c r="C6" s="30" t="s">
        <v>388</v>
      </c>
    </row>
    <row r="7" spans="3:8" x14ac:dyDescent="0.2">
      <c r="C7" s="30" t="s">
        <v>387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179</v>
      </c>
      <c r="E11" s="25" t="s">
        <v>141</v>
      </c>
    </row>
    <row r="12" spans="3:8" x14ac:dyDescent="0.2">
      <c r="D12" s="32" t="s">
        <v>364</v>
      </c>
      <c r="E12" s="25" t="s">
        <v>141</v>
      </c>
    </row>
    <row r="13" spans="3:8" x14ac:dyDescent="0.2">
      <c r="D13" s="32" t="s">
        <v>143</v>
      </c>
      <c r="E13" s="25" t="s">
        <v>141</v>
      </c>
    </row>
    <row r="16" spans="3:8" x14ac:dyDescent="0.2">
      <c r="D16" s="25" t="s">
        <v>141</v>
      </c>
      <c r="E16" s="25" t="s">
        <v>177</v>
      </c>
      <c r="F16" s="25" t="s">
        <v>177</v>
      </c>
      <c r="G16" s="25" t="s">
        <v>243</v>
      </c>
      <c r="H16" s="25" t="s">
        <v>243</v>
      </c>
    </row>
    <row r="17" spans="1:8" x14ac:dyDescent="0.2">
      <c r="D17" s="25" t="s">
        <v>141</v>
      </c>
      <c r="E17" s="25" t="s">
        <v>242</v>
      </c>
      <c r="F17" s="25" t="s">
        <v>242</v>
      </c>
      <c r="G17" s="25" t="s">
        <v>242</v>
      </c>
      <c r="H17" s="25" t="s">
        <v>242</v>
      </c>
    </row>
    <row r="18" spans="1:8" x14ac:dyDescent="0.2">
      <c r="D18" s="25" t="s">
        <v>141</v>
      </c>
      <c r="E18" s="25" t="s">
        <v>325</v>
      </c>
      <c r="F18" s="25" t="s">
        <v>375</v>
      </c>
      <c r="G18" s="25" t="s">
        <v>325</v>
      </c>
      <c r="H18" s="25" t="s">
        <v>375</v>
      </c>
    </row>
    <row r="19" spans="1:8" x14ac:dyDescent="0.2">
      <c r="A19" s="2" t="s">
        <v>12</v>
      </c>
      <c r="D19" s="25" t="s">
        <v>12</v>
      </c>
      <c r="E19" s="26">
        <v>220454</v>
      </c>
      <c r="F19" s="26">
        <v>186217</v>
      </c>
      <c r="G19" s="26">
        <v>431653</v>
      </c>
      <c r="H19" s="26">
        <v>356930</v>
      </c>
    </row>
    <row r="20" spans="1:8" x14ac:dyDescent="0.2">
      <c r="D20" s="25" t="s">
        <v>173</v>
      </c>
    </row>
    <row r="21" spans="1:8" x14ac:dyDescent="0.2">
      <c r="A21" s="9" t="s">
        <v>53</v>
      </c>
      <c r="D21" s="25" t="s">
        <v>53</v>
      </c>
      <c r="E21" s="27">
        <v>62757</v>
      </c>
      <c r="F21" s="27">
        <v>50797</v>
      </c>
      <c r="G21" s="27">
        <v>119538</v>
      </c>
      <c r="H21" s="27">
        <v>98544</v>
      </c>
    </row>
    <row r="22" spans="1:8" x14ac:dyDescent="0.2">
      <c r="A22" s="9" t="s">
        <v>54</v>
      </c>
      <c r="D22" s="25" t="s">
        <v>172</v>
      </c>
      <c r="E22" s="27">
        <v>59483</v>
      </c>
      <c r="F22" s="27">
        <v>49711</v>
      </c>
      <c r="G22" s="27">
        <v>116312</v>
      </c>
      <c r="H22" s="27">
        <v>96549</v>
      </c>
    </row>
    <row r="23" spans="1:8" x14ac:dyDescent="0.2">
      <c r="A23" s="9" t="s">
        <v>55</v>
      </c>
      <c r="D23" s="25" t="s">
        <v>171</v>
      </c>
      <c r="E23" s="27">
        <v>51375</v>
      </c>
      <c r="F23" s="27">
        <v>43381</v>
      </c>
      <c r="G23" s="27">
        <v>77821</v>
      </c>
      <c r="H23" s="27">
        <v>169905</v>
      </c>
    </row>
    <row r="24" spans="1:8" x14ac:dyDescent="0.2">
      <c r="A24" s="9" t="s">
        <v>56</v>
      </c>
      <c r="D24" s="25" t="s">
        <v>170</v>
      </c>
      <c r="E24" s="27">
        <v>22456</v>
      </c>
      <c r="F24" s="27">
        <v>24921</v>
      </c>
      <c r="G24" s="27">
        <v>47651</v>
      </c>
      <c r="H24" s="27">
        <v>59966</v>
      </c>
    </row>
    <row r="25" spans="1:8" x14ac:dyDescent="0.2">
      <c r="A25" s="9" t="s">
        <v>40</v>
      </c>
      <c r="D25" s="25" t="s">
        <v>169</v>
      </c>
      <c r="E25" s="27">
        <v>27151</v>
      </c>
      <c r="F25" s="27">
        <v>26905</v>
      </c>
      <c r="G25" s="27">
        <v>54080</v>
      </c>
      <c r="H25" s="27">
        <v>53860</v>
      </c>
    </row>
    <row r="26" spans="1:8" x14ac:dyDescent="0.2">
      <c r="A26" s="9"/>
      <c r="D26" s="25" t="s">
        <v>167</v>
      </c>
      <c r="E26" s="27">
        <v>223222</v>
      </c>
      <c r="F26" s="27">
        <v>195715</v>
      </c>
      <c r="G26" s="27">
        <v>415402</v>
      </c>
      <c r="H26" s="27">
        <v>478824</v>
      </c>
    </row>
    <row r="27" spans="1:8" x14ac:dyDescent="0.2">
      <c r="D27" s="25" t="s">
        <v>166</v>
      </c>
      <c r="E27" s="27">
        <v>-2768</v>
      </c>
      <c r="F27" s="27">
        <v>-9498</v>
      </c>
      <c r="G27" s="27">
        <v>16251</v>
      </c>
      <c r="H27" s="27">
        <v>-121894</v>
      </c>
    </row>
    <row r="28" spans="1:8" x14ac:dyDescent="0.2">
      <c r="A28" s="9" t="s">
        <v>38</v>
      </c>
      <c r="D28" s="25" t="s">
        <v>324</v>
      </c>
      <c r="E28" s="27">
        <v>-6281</v>
      </c>
      <c r="F28" s="27">
        <v>-5921</v>
      </c>
      <c r="G28" s="27">
        <v>-12164</v>
      </c>
      <c r="H28" s="27">
        <v>-13650</v>
      </c>
    </row>
    <row r="29" spans="1:8" x14ac:dyDescent="0.2">
      <c r="A29" s="9" t="s">
        <v>58</v>
      </c>
      <c r="D29" s="25" t="s">
        <v>164</v>
      </c>
      <c r="E29" s="27">
        <v>4954</v>
      </c>
      <c r="F29" s="27">
        <v>4731</v>
      </c>
      <c r="G29" s="27">
        <v>18184</v>
      </c>
      <c r="H29" s="27">
        <v>11722</v>
      </c>
    </row>
    <row r="30" spans="1:8" x14ac:dyDescent="0.2">
      <c r="D30" s="25" t="s">
        <v>163</v>
      </c>
      <c r="E30" s="27">
        <v>-4095</v>
      </c>
      <c r="F30" s="27">
        <v>-10688</v>
      </c>
      <c r="G30" s="27">
        <v>22271</v>
      </c>
      <c r="H30" s="27">
        <v>-123822</v>
      </c>
    </row>
    <row r="31" spans="1:8" x14ac:dyDescent="0.2">
      <c r="A31" s="9" t="s">
        <v>14</v>
      </c>
      <c r="D31" s="25" t="s">
        <v>239</v>
      </c>
      <c r="E31" s="27">
        <v>-2328</v>
      </c>
      <c r="F31" s="27">
        <v>-459</v>
      </c>
      <c r="G31" s="27">
        <v>-4756</v>
      </c>
      <c r="H31" s="27">
        <v>436117</v>
      </c>
    </row>
    <row r="32" spans="1:8" x14ac:dyDescent="0.2">
      <c r="D32" s="25" t="s">
        <v>161</v>
      </c>
      <c r="E32" s="27">
        <v>-6423</v>
      </c>
      <c r="F32" s="27">
        <v>-11147</v>
      </c>
      <c r="G32" s="27">
        <v>17515</v>
      </c>
      <c r="H32" s="27">
        <v>312295</v>
      </c>
    </row>
    <row r="33" spans="1:8" x14ac:dyDescent="0.2">
      <c r="D33" s="25" t="s">
        <v>160</v>
      </c>
    </row>
    <row r="34" spans="1:8" x14ac:dyDescent="0.2">
      <c r="A34" s="9" t="s">
        <v>59</v>
      </c>
      <c r="D34" s="25" t="s">
        <v>159</v>
      </c>
      <c r="E34" s="27">
        <v>-2031</v>
      </c>
      <c r="F34" s="27">
        <v>-4064</v>
      </c>
      <c r="G34" s="27">
        <v>5512</v>
      </c>
      <c r="H34" s="27">
        <v>-22412</v>
      </c>
    </row>
    <row r="35" spans="1:8" x14ac:dyDescent="0.2">
      <c r="D35" s="25" t="s">
        <v>160</v>
      </c>
    </row>
    <row r="36" spans="1:8" x14ac:dyDescent="0.2">
      <c r="D36" s="25" t="s">
        <v>392</v>
      </c>
    </row>
    <row r="37" spans="1:8" x14ac:dyDescent="0.2">
      <c r="A37" s="25" t="s">
        <v>546</v>
      </c>
      <c r="D37" s="25" t="s">
        <v>391</v>
      </c>
      <c r="E37" s="26">
        <v>-4392</v>
      </c>
      <c r="F37" s="26">
        <v>-7083</v>
      </c>
      <c r="G37" s="26">
        <v>12003</v>
      </c>
      <c r="H37" s="26">
        <v>334707</v>
      </c>
    </row>
    <row r="38" spans="1:8" x14ac:dyDescent="0.2">
      <c r="D38" s="25" t="s">
        <v>361</v>
      </c>
    </row>
    <row r="39" spans="1:8" x14ac:dyDescent="0.2">
      <c r="D39" s="25" t="s">
        <v>390</v>
      </c>
    </row>
    <row r="40" spans="1:8" x14ac:dyDescent="0.2">
      <c r="D40" s="25" t="s">
        <v>389</v>
      </c>
    </row>
    <row r="41" spans="1:8" x14ac:dyDescent="0.2">
      <c r="D41" s="25" t="s">
        <v>358</v>
      </c>
      <c r="E41" s="29">
        <v>-0.03</v>
      </c>
      <c r="F41" s="29">
        <v>-0.06</v>
      </c>
      <c r="G41" s="29">
        <v>0.09</v>
      </c>
      <c r="H41" s="29">
        <v>1.67</v>
      </c>
    </row>
    <row r="42" spans="1:8" x14ac:dyDescent="0.2">
      <c r="D42" s="25" t="s">
        <v>357</v>
      </c>
      <c r="E42" s="29">
        <v>-0.03</v>
      </c>
      <c r="F42" s="29">
        <v>-0.06</v>
      </c>
      <c r="G42" s="29">
        <v>0.09</v>
      </c>
      <c r="H42" s="29">
        <v>1.62</v>
      </c>
    </row>
  </sheetData>
  <hyperlinks>
    <hyperlink ref="C8" location="Table_Of_Contents!A1" display="Table Of Contents" xr:uid="{22F51A78-4D78-450B-90D3-C9011320B3D4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D2E-7BD0-4DE2-A746-CD9DE889D2FB}">
  <dimension ref="A1:F41"/>
  <sheetViews>
    <sheetView workbookViewId="0">
      <selection sqref="A1:XFD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61" style="25" customWidth="1" outlineLevel="7"/>
    <col min="5" max="6" width="17" style="25" customWidth="1" outlineLevel="7"/>
    <col min="7" max="258" width="21.7109375" style="25" customWidth="1"/>
    <col min="259" max="16384" width="9.140625" style="25"/>
  </cols>
  <sheetData>
    <row r="1" spans="3:6" x14ac:dyDescent="0.2">
      <c r="C1" s="30" t="s">
        <v>152</v>
      </c>
    </row>
    <row r="2" spans="3:6" x14ac:dyDescent="0.2">
      <c r="C2" s="30" t="s">
        <v>141</v>
      </c>
    </row>
    <row r="3" spans="3:6" x14ac:dyDescent="0.2">
      <c r="C3" s="30" t="s">
        <v>151</v>
      </c>
    </row>
    <row r="4" spans="3:6" x14ac:dyDescent="0.2">
      <c r="C4" s="30" t="s">
        <v>180</v>
      </c>
    </row>
    <row r="5" spans="3:6" x14ac:dyDescent="0.2">
      <c r="C5" s="30" t="s">
        <v>149</v>
      </c>
    </row>
    <row r="6" spans="3:6" x14ac:dyDescent="0.2">
      <c r="C6" s="30" t="s">
        <v>400</v>
      </c>
    </row>
    <row r="7" spans="3:6" x14ac:dyDescent="0.2">
      <c r="C7" s="30" t="s">
        <v>399</v>
      </c>
    </row>
    <row r="8" spans="3:6" x14ac:dyDescent="0.2">
      <c r="C8" s="31" t="s">
        <v>146</v>
      </c>
    </row>
    <row r="9" spans="3:6" x14ac:dyDescent="0.2">
      <c r="C9" s="30" t="s">
        <v>141</v>
      </c>
    </row>
    <row r="10" spans="3:6" x14ac:dyDescent="0.2">
      <c r="D10" s="25" t="s">
        <v>48</v>
      </c>
    </row>
    <row r="11" spans="3:6" x14ac:dyDescent="0.2">
      <c r="D11" s="25" t="s">
        <v>179</v>
      </c>
    </row>
    <row r="12" spans="3:6" x14ac:dyDescent="0.2">
      <c r="D12" s="25" t="s">
        <v>364</v>
      </c>
    </row>
    <row r="13" spans="3:6" x14ac:dyDescent="0.2">
      <c r="D13" s="25" t="s">
        <v>143</v>
      </c>
    </row>
    <row r="16" spans="3:6" x14ac:dyDescent="0.2">
      <c r="D16" s="25" t="s">
        <v>141</v>
      </c>
      <c r="E16" s="25" t="s">
        <v>177</v>
      </c>
      <c r="F16" s="25" t="s">
        <v>177</v>
      </c>
    </row>
    <row r="17" spans="1:6" x14ac:dyDescent="0.2">
      <c r="D17" s="25" t="s">
        <v>141</v>
      </c>
      <c r="E17" s="25" t="s">
        <v>175</v>
      </c>
      <c r="F17" s="25" t="s">
        <v>175</v>
      </c>
    </row>
    <row r="18" spans="1:6" x14ac:dyDescent="0.2">
      <c r="D18" s="25" t="s">
        <v>141</v>
      </c>
      <c r="E18" s="25" t="s">
        <v>404</v>
      </c>
      <c r="F18" s="25" t="s">
        <v>404</v>
      </c>
    </row>
    <row r="19" spans="1:6" x14ac:dyDescent="0.2">
      <c r="D19" s="25" t="s">
        <v>141</v>
      </c>
      <c r="E19" s="25">
        <v>2022</v>
      </c>
      <c r="F19" s="25">
        <v>2021</v>
      </c>
    </row>
    <row r="20" spans="1:6" x14ac:dyDescent="0.2">
      <c r="A20" s="2" t="s">
        <v>12</v>
      </c>
      <c r="D20" s="25" t="s">
        <v>12</v>
      </c>
      <c r="E20" s="26">
        <v>211199</v>
      </c>
      <c r="F20" s="26">
        <v>170713</v>
      </c>
    </row>
    <row r="21" spans="1:6" x14ac:dyDescent="0.2">
      <c r="D21" s="25" t="s">
        <v>173</v>
      </c>
    </row>
    <row r="22" spans="1:6" x14ac:dyDescent="0.2">
      <c r="A22" s="9" t="s">
        <v>53</v>
      </c>
      <c r="D22" s="25" t="s">
        <v>53</v>
      </c>
      <c r="E22" s="27">
        <v>56781</v>
      </c>
      <c r="F22" s="27">
        <v>47747</v>
      </c>
    </row>
    <row r="23" spans="1:6" x14ac:dyDescent="0.2">
      <c r="A23" s="9" t="s">
        <v>54</v>
      </c>
      <c r="D23" s="25" t="s">
        <v>172</v>
      </c>
      <c r="E23" s="27">
        <v>56829</v>
      </c>
      <c r="F23" s="27">
        <v>46838</v>
      </c>
    </row>
    <row r="24" spans="1:6" x14ac:dyDescent="0.2">
      <c r="A24" s="9" t="s">
        <v>55</v>
      </c>
      <c r="D24" s="25" t="s">
        <v>171</v>
      </c>
      <c r="E24" s="27">
        <v>26446</v>
      </c>
      <c r="F24" s="27">
        <v>126524</v>
      </c>
    </row>
    <row r="25" spans="1:6" x14ac:dyDescent="0.2">
      <c r="A25" s="9" t="s">
        <v>56</v>
      </c>
      <c r="D25" s="25" t="s">
        <v>170</v>
      </c>
      <c r="E25" s="27">
        <v>25195</v>
      </c>
      <c r="F25" s="27">
        <v>35045</v>
      </c>
    </row>
    <row r="26" spans="1:6" x14ac:dyDescent="0.2">
      <c r="A26" s="9" t="s">
        <v>40</v>
      </c>
      <c r="D26" s="25" t="s">
        <v>169</v>
      </c>
      <c r="E26" s="27">
        <v>26929</v>
      </c>
      <c r="F26" s="27">
        <v>26955</v>
      </c>
    </row>
    <row r="27" spans="1:6" x14ac:dyDescent="0.2">
      <c r="A27" s="9"/>
      <c r="D27" s="25" t="s">
        <v>167</v>
      </c>
      <c r="E27" s="27">
        <v>192180</v>
      </c>
      <c r="F27" s="27">
        <v>283109</v>
      </c>
    </row>
    <row r="28" spans="1:6" x14ac:dyDescent="0.2">
      <c r="D28" s="25" t="s">
        <v>166</v>
      </c>
      <c r="E28" s="27">
        <v>19019</v>
      </c>
      <c r="F28" s="27">
        <v>-112396</v>
      </c>
    </row>
    <row r="29" spans="1:6" x14ac:dyDescent="0.2">
      <c r="A29" s="9" t="s">
        <v>38</v>
      </c>
      <c r="D29" s="25" t="s">
        <v>324</v>
      </c>
      <c r="E29" s="27">
        <v>-5883</v>
      </c>
      <c r="F29" s="27">
        <v>-7729</v>
      </c>
    </row>
    <row r="30" spans="1:6" x14ac:dyDescent="0.2">
      <c r="A30" s="9" t="s">
        <v>58</v>
      </c>
      <c r="D30" s="25" t="s">
        <v>164</v>
      </c>
      <c r="E30" s="27">
        <v>13230</v>
      </c>
      <c r="F30" s="27">
        <v>6991</v>
      </c>
    </row>
    <row r="31" spans="1:6" x14ac:dyDescent="0.2">
      <c r="D31" s="25" t="s">
        <v>163</v>
      </c>
      <c r="E31" s="27">
        <v>26366</v>
      </c>
      <c r="F31" s="27">
        <v>-113134</v>
      </c>
    </row>
    <row r="32" spans="1:6" x14ac:dyDescent="0.2">
      <c r="A32" s="9" t="s">
        <v>14</v>
      </c>
      <c r="D32" s="25" t="s">
        <v>239</v>
      </c>
      <c r="E32" s="27">
        <v>-2428</v>
      </c>
      <c r="F32" s="27">
        <v>436576</v>
      </c>
    </row>
    <row r="33" spans="1:6" x14ac:dyDescent="0.2">
      <c r="D33" s="25" t="s">
        <v>161</v>
      </c>
      <c r="E33" s="27">
        <v>23938</v>
      </c>
      <c r="F33" s="27">
        <v>323442</v>
      </c>
    </row>
    <row r="34" spans="1:6" x14ac:dyDescent="0.2">
      <c r="D34" s="25" t="s">
        <v>264</v>
      </c>
    </row>
    <row r="35" spans="1:6" x14ac:dyDescent="0.2">
      <c r="A35" s="9" t="s">
        <v>59</v>
      </c>
      <c r="D35" s="25" t="s">
        <v>263</v>
      </c>
      <c r="E35" s="27">
        <v>7543</v>
      </c>
      <c r="F35" s="27">
        <v>-18348</v>
      </c>
    </row>
    <row r="36" spans="1:6" x14ac:dyDescent="0.2">
      <c r="D36" s="25" t="s">
        <v>262</v>
      </c>
    </row>
    <row r="37" spans="1:6" x14ac:dyDescent="0.2">
      <c r="A37" s="25" t="s">
        <v>546</v>
      </c>
      <c r="D37" s="25" t="s">
        <v>403</v>
      </c>
      <c r="E37" s="26">
        <v>16395</v>
      </c>
      <c r="F37" s="26">
        <v>341790</v>
      </c>
    </row>
    <row r="38" spans="1:6" x14ac:dyDescent="0.2">
      <c r="D38" s="25" t="s">
        <v>402</v>
      </c>
    </row>
    <row r="39" spans="1:6" x14ac:dyDescent="0.2">
      <c r="D39" s="25" t="s">
        <v>401</v>
      </c>
    </row>
    <row r="40" spans="1:6" x14ac:dyDescent="0.2">
      <c r="D40" s="25" t="s">
        <v>358</v>
      </c>
      <c r="E40" s="29">
        <v>0.13</v>
      </c>
      <c r="F40" s="29">
        <v>1.74</v>
      </c>
    </row>
    <row r="41" spans="1:6" x14ac:dyDescent="0.2">
      <c r="D41" s="25" t="s">
        <v>357</v>
      </c>
      <c r="E41" s="29">
        <v>0.13</v>
      </c>
      <c r="F41" s="29">
        <v>1.69</v>
      </c>
    </row>
  </sheetData>
  <hyperlinks>
    <hyperlink ref="C8" location="Table_Of_Contents!A1" display="Table Of Contents" xr:uid="{4C14F140-349D-4DFF-B271-E4712E1038D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416-D729-4D5A-99F4-7CF0B88D9974}">
  <dimension ref="A1:H46"/>
  <sheetViews>
    <sheetView zoomScale="85" zoomScaleNormal="85" workbookViewId="0">
      <selection activeCell="A39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5" style="25" customWidth="1" outlineLevel="7"/>
    <col min="5" max="6" width="17" style="25" customWidth="1" outlineLevel="7"/>
    <col min="7" max="7" width="16" style="25" customWidth="1" outlineLevel="7"/>
    <col min="8" max="8" width="17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180</v>
      </c>
    </row>
    <row r="5" spans="3:8" x14ac:dyDescent="0.2">
      <c r="C5" s="30" t="s">
        <v>410</v>
      </c>
    </row>
    <row r="6" spans="3:8" x14ac:dyDescent="0.2">
      <c r="C6" s="30" t="s">
        <v>409</v>
      </c>
    </row>
    <row r="7" spans="3:8" x14ac:dyDescent="0.2">
      <c r="C7" s="30" t="s">
        <v>408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426</v>
      </c>
      <c r="F14" s="25" t="s">
        <v>141</v>
      </c>
      <c r="G14" s="25" t="s">
        <v>425</v>
      </c>
    </row>
    <row r="15" spans="3:8" x14ac:dyDescent="0.2">
      <c r="D15" s="25" t="s">
        <v>141</v>
      </c>
      <c r="E15" s="25" t="s">
        <v>141</v>
      </c>
      <c r="F15" s="25" t="s">
        <v>424</v>
      </c>
      <c r="G15" s="25" t="s">
        <v>424</v>
      </c>
    </row>
    <row r="16" spans="3:8" x14ac:dyDescent="0.2">
      <c r="D16" s="25" t="s">
        <v>141</v>
      </c>
      <c r="E16" s="25" t="s">
        <v>421</v>
      </c>
      <c r="F16" s="25" t="s">
        <v>423</v>
      </c>
      <c r="G16" s="25" t="s">
        <v>422</v>
      </c>
      <c r="H16" s="25" t="s">
        <v>421</v>
      </c>
    </row>
    <row r="17" spans="1:8" x14ac:dyDescent="0.2">
      <c r="D17" s="25" t="s">
        <v>141</v>
      </c>
      <c r="E17" s="25" t="s">
        <v>175</v>
      </c>
      <c r="F17" s="25" t="s">
        <v>420</v>
      </c>
      <c r="G17" s="25" t="s">
        <v>420</v>
      </c>
      <c r="H17" s="25" t="s">
        <v>175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419</v>
      </c>
      <c r="H18" s="25" t="s">
        <v>386</v>
      </c>
    </row>
    <row r="19" spans="1:8" x14ac:dyDescent="0.2">
      <c r="D19" s="25" t="s">
        <v>141</v>
      </c>
      <c r="E19" s="25">
        <v>2021</v>
      </c>
      <c r="F19" s="25">
        <v>2020</v>
      </c>
      <c r="G19" s="25">
        <v>2020</v>
      </c>
      <c r="H19" s="25">
        <v>2019</v>
      </c>
    </row>
    <row r="20" spans="1:8" x14ac:dyDescent="0.2">
      <c r="A20" s="2" t="s">
        <v>12</v>
      </c>
      <c r="D20" s="25" t="s">
        <v>12</v>
      </c>
      <c r="E20" s="26">
        <v>765660</v>
      </c>
      <c r="F20" s="26">
        <v>542192</v>
      </c>
      <c r="G20" s="26">
        <v>39990</v>
      </c>
      <c r="H20" s="26">
        <v>488940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209921</v>
      </c>
      <c r="F22" s="27">
        <v>146629</v>
      </c>
      <c r="G22" s="27">
        <v>10790</v>
      </c>
      <c r="H22" s="27">
        <v>139767</v>
      </c>
    </row>
    <row r="23" spans="1:8" x14ac:dyDescent="0.2">
      <c r="A23" s="9" t="s">
        <v>54</v>
      </c>
      <c r="D23" s="25" t="s">
        <v>172</v>
      </c>
      <c r="E23" s="27">
        <v>211711</v>
      </c>
      <c r="F23" s="27">
        <v>152588</v>
      </c>
      <c r="G23" s="27">
        <v>11157</v>
      </c>
      <c r="H23" s="27">
        <v>142902</v>
      </c>
    </row>
    <row r="24" spans="1:8" x14ac:dyDescent="0.2">
      <c r="A24" s="9" t="s">
        <v>55</v>
      </c>
      <c r="D24" s="25" t="s">
        <v>171</v>
      </c>
      <c r="E24" s="27">
        <v>265738</v>
      </c>
      <c r="F24" s="27">
        <v>178615</v>
      </c>
      <c r="G24" s="27">
        <v>44907</v>
      </c>
      <c r="H24" s="27">
        <v>67079</v>
      </c>
    </row>
    <row r="25" spans="1:8" x14ac:dyDescent="0.2">
      <c r="A25" s="9" t="s">
        <v>56</v>
      </c>
      <c r="D25" s="25" t="s">
        <v>170</v>
      </c>
      <c r="E25" s="27">
        <v>105917</v>
      </c>
      <c r="F25" s="27">
        <v>46994</v>
      </c>
      <c r="G25" s="27">
        <v>4087</v>
      </c>
      <c r="H25" s="27">
        <v>39205</v>
      </c>
    </row>
    <row r="26" spans="1:8" x14ac:dyDescent="0.2">
      <c r="A26" s="9" t="s">
        <v>40</v>
      </c>
      <c r="D26" s="25" t="s">
        <v>169</v>
      </c>
      <c r="E26" s="27">
        <v>107056</v>
      </c>
      <c r="F26" s="27">
        <v>91767</v>
      </c>
      <c r="G26" s="27">
        <v>408</v>
      </c>
      <c r="H26" s="27">
        <v>6734</v>
      </c>
    </row>
    <row r="27" spans="1:8" x14ac:dyDescent="0.2">
      <c r="A27" s="9"/>
      <c r="D27" s="25" t="s">
        <v>167</v>
      </c>
      <c r="E27" s="27">
        <v>900343</v>
      </c>
      <c r="F27" s="27">
        <v>616593</v>
      </c>
      <c r="G27" s="27">
        <v>71349</v>
      </c>
      <c r="H27" s="27">
        <v>395687</v>
      </c>
    </row>
    <row r="28" spans="1:8" x14ac:dyDescent="0.2">
      <c r="D28" s="25" t="s">
        <v>166</v>
      </c>
      <c r="E28" s="27">
        <v>-134683</v>
      </c>
      <c r="F28" s="27">
        <v>-74401</v>
      </c>
      <c r="G28" s="27">
        <v>-31359</v>
      </c>
      <c r="H28" s="27">
        <v>93253</v>
      </c>
    </row>
    <row r="29" spans="1:8" x14ac:dyDescent="0.2">
      <c r="A29" s="9" t="s">
        <v>38</v>
      </c>
      <c r="D29" s="25" t="s">
        <v>324</v>
      </c>
      <c r="E29" s="27">
        <v>-25609</v>
      </c>
      <c r="F29" s="27">
        <v>-22134</v>
      </c>
      <c r="G29" s="27">
        <v>50</v>
      </c>
      <c r="H29" s="27">
        <v>202</v>
      </c>
    </row>
    <row r="30" spans="1:8" x14ac:dyDescent="0.2">
      <c r="A30" s="9" t="s">
        <v>58</v>
      </c>
      <c r="D30" s="25" t="s">
        <v>164</v>
      </c>
      <c r="E30" s="27">
        <v>11166</v>
      </c>
      <c r="F30" s="27">
        <v>-5525</v>
      </c>
      <c r="G30" s="27">
        <v>-882</v>
      </c>
      <c r="H30" s="27">
        <v>-1473</v>
      </c>
    </row>
    <row r="31" spans="1:8" x14ac:dyDescent="0.2">
      <c r="D31" s="25" t="s">
        <v>418</v>
      </c>
      <c r="E31" s="27">
        <v>-149126</v>
      </c>
      <c r="F31" s="27">
        <v>-102060</v>
      </c>
      <c r="G31" s="27">
        <v>-32191</v>
      </c>
      <c r="H31" s="27">
        <v>91982</v>
      </c>
    </row>
    <row r="32" spans="1:8" x14ac:dyDescent="0.2">
      <c r="A32" s="9" t="s">
        <v>14</v>
      </c>
      <c r="D32" s="25" t="s">
        <v>239</v>
      </c>
      <c r="E32" s="27">
        <v>436071</v>
      </c>
      <c r="F32" s="27">
        <v>-8126</v>
      </c>
      <c r="G32" s="27">
        <v>-365</v>
      </c>
      <c r="H32" s="27">
        <v>-6138</v>
      </c>
    </row>
    <row r="33" spans="1:8" x14ac:dyDescent="0.2">
      <c r="D33" s="25" t="s">
        <v>161</v>
      </c>
      <c r="E33" s="27">
        <v>286945</v>
      </c>
      <c r="F33" s="27">
        <v>-110186</v>
      </c>
      <c r="G33" s="27">
        <v>-32556</v>
      </c>
      <c r="H33" s="27">
        <v>85844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-30834</v>
      </c>
      <c r="F35" s="27">
        <v>808</v>
      </c>
      <c r="G35" s="27">
        <v>1917</v>
      </c>
      <c r="H35" s="27">
        <v>19698</v>
      </c>
    </row>
    <row r="36" spans="1:8" x14ac:dyDescent="0.2">
      <c r="D36" s="25" t="s">
        <v>160</v>
      </c>
    </row>
    <row r="37" spans="1:8" x14ac:dyDescent="0.2">
      <c r="D37" s="25" t="s">
        <v>417</v>
      </c>
    </row>
    <row r="38" spans="1:8" x14ac:dyDescent="0.2">
      <c r="D38" s="25" t="s">
        <v>416</v>
      </c>
    </row>
    <row r="39" spans="1:8" x14ac:dyDescent="0.2">
      <c r="A39" s="25" t="s">
        <v>546</v>
      </c>
      <c r="D39" s="25" t="s">
        <v>415</v>
      </c>
      <c r="E39" s="26">
        <v>317779</v>
      </c>
      <c r="F39" s="26">
        <v>-110994</v>
      </c>
      <c r="G39" s="26">
        <v>-34473</v>
      </c>
      <c r="H39" s="26">
        <v>66146</v>
      </c>
    </row>
    <row r="40" spans="1:8" x14ac:dyDescent="0.2">
      <c r="D40" s="25" t="s">
        <v>361</v>
      </c>
    </row>
    <row r="41" spans="1:8" x14ac:dyDescent="0.2">
      <c r="D41" s="25" t="s">
        <v>414</v>
      </c>
    </row>
    <row r="42" spans="1:8" x14ac:dyDescent="0.2">
      <c r="D42" s="25" t="s">
        <v>413</v>
      </c>
    </row>
    <row r="43" spans="1:8" x14ac:dyDescent="0.2">
      <c r="D43" s="25" t="s">
        <v>362</v>
      </c>
    </row>
    <row r="44" spans="1:8" x14ac:dyDescent="0.2">
      <c r="D44" s="25" t="s">
        <v>358</v>
      </c>
      <c r="E44" s="29">
        <v>1.52</v>
      </c>
      <c r="F44" s="29">
        <v>-0.05</v>
      </c>
      <c r="G44" s="28">
        <v>0</v>
      </c>
      <c r="H44" s="28">
        <v>0</v>
      </c>
    </row>
    <row r="45" spans="1:8" x14ac:dyDescent="0.2">
      <c r="D45" s="25" t="s">
        <v>412</v>
      </c>
    </row>
    <row r="46" spans="1:8" x14ac:dyDescent="0.2">
      <c r="D46" s="25" t="s">
        <v>411</v>
      </c>
      <c r="E46" s="29">
        <v>1.48</v>
      </c>
      <c r="F46" s="29">
        <v>-0.05</v>
      </c>
      <c r="G46" s="28">
        <v>0</v>
      </c>
      <c r="H46" s="28">
        <v>0</v>
      </c>
    </row>
  </sheetData>
  <hyperlinks>
    <hyperlink ref="C8" location="Table_Of_Contents!A1" display="Table Of Contents" xr:uid="{FF825710-081F-4A57-BC03-3592CCAEC7E4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8D0-ABB5-4AF6-A55B-AB86D6F21B7C}">
  <dimension ref="A1:H44"/>
  <sheetViews>
    <sheetView workbookViewId="0">
      <selection activeCell="A38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7" style="25" customWidth="1" outlineLevel="7"/>
    <col min="5" max="5" width="18" style="25" customWidth="1" outlineLevel="7"/>
    <col min="6" max="7" width="17" style="25" customWidth="1" outlineLevel="7"/>
    <col min="8" max="8" width="16" style="25" customWidth="1" outlineLevel="7"/>
    <col min="9" max="258" width="21.7109375" style="25" customWidth="1"/>
    <col min="259" max="16384" width="9.140625" style="25"/>
  </cols>
  <sheetData>
    <row r="1" spans="3:8" x14ac:dyDescent="0.2">
      <c r="C1" s="30" t="s">
        <v>152</v>
      </c>
    </row>
    <row r="2" spans="3:8" x14ac:dyDescent="0.2">
      <c r="C2" s="30" t="s">
        <v>141</v>
      </c>
    </row>
    <row r="3" spans="3:8" x14ac:dyDescent="0.2">
      <c r="C3" s="30" t="s">
        <v>151</v>
      </c>
    </row>
    <row r="4" spans="3:8" x14ac:dyDescent="0.2">
      <c r="C4" s="30" t="s">
        <v>481</v>
      </c>
    </row>
    <row r="5" spans="3:8" x14ac:dyDescent="0.2">
      <c r="C5" s="30" t="s">
        <v>410</v>
      </c>
    </row>
    <row r="6" spans="3:8" x14ac:dyDescent="0.2">
      <c r="C6" s="30" t="s">
        <v>479</v>
      </c>
    </row>
    <row r="7" spans="3:8" x14ac:dyDescent="0.2">
      <c r="C7" s="30" t="s">
        <v>478</v>
      </c>
    </row>
    <row r="8" spans="3:8" x14ac:dyDescent="0.2">
      <c r="C8" s="31" t="s">
        <v>146</v>
      </c>
    </row>
    <row r="9" spans="3:8" x14ac:dyDescent="0.2">
      <c r="C9" s="30" t="s">
        <v>141</v>
      </c>
    </row>
    <row r="10" spans="3:8" x14ac:dyDescent="0.2">
      <c r="D10" s="32" t="s">
        <v>48</v>
      </c>
      <c r="E10" s="25" t="s">
        <v>141</v>
      </c>
    </row>
    <row r="11" spans="3:8" x14ac:dyDescent="0.2">
      <c r="D11" s="32" t="s">
        <v>428</v>
      </c>
      <c r="E11" s="25" t="s">
        <v>141</v>
      </c>
    </row>
    <row r="12" spans="3:8" x14ac:dyDescent="0.2">
      <c r="D12" s="32" t="s">
        <v>427</v>
      </c>
      <c r="E12" s="25" t="s">
        <v>141</v>
      </c>
    </row>
    <row r="14" spans="3:8" x14ac:dyDescent="0.2">
      <c r="D14" s="25" t="s">
        <v>141</v>
      </c>
      <c r="E14" s="25" t="s">
        <v>141</v>
      </c>
      <c r="F14" s="25" t="s">
        <v>426</v>
      </c>
      <c r="G14" s="25" t="s">
        <v>141</v>
      </c>
      <c r="H14" s="25" t="s">
        <v>425</v>
      </c>
    </row>
    <row r="15" spans="3:8" x14ac:dyDescent="0.2">
      <c r="D15" s="25" t="s">
        <v>141</v>
      </c>
      <c r="E15" s="25" t="s">
        <v>141</v>
      </c>
      <c r="F15" s="25" t="s">
        <v>141</v>
      </c>
      <c r="G15" s="25" t="s">
        <v>424</v>
      </c>
      <c r="H15" s="25" t="s">
        <v>424</v>
      </c>
    </row>
    <row r="16" spans="3:8" x14ac:dyDescent="0.2">
      <c r="D16" s="25" t="s">
        <v>141</v>
      </c>
      <c r="E16" s="25" t="s">
        <v>421</v>
      </c>
      <c r="F16" s="25" t="s">
        <v>421</v>
      </c>
      <c r="G16" s="25" t="s">
        <v>423</v>
      </c>
      <c r="H16" s="25" t="s">
        <v>422</v>
      </c>
    </row>
    <row r="17" spans="1:8" x14ac:dyDescent="0.2">
      <c r="D17" s="25" t="s">
        <v>141</v>
      </c>
      <c r="E17" s="25" t="s">
        <v>175</v>
      </c>
      <c r="F17" s="25" t="s">
        <v>175</v>
      </c>
      <c r="G17" s="25" t="s">
        <v>420</v>
      </c>
      <c r="H17" s="25" t="s">
        <v>420</v>
      </c>
    </row>
    <row r="18" spans="1:8" x14ac:dyDescent="0.2">
      <c r="D18" s="25" t="s">
        <v>141</v>
      </c>
      <c r="E18" s="25" t="s">
        <v>386</v>
      </c>
      <c r="F18" s="25" t="s">
        <v>386</v>
      </c>
      <c r="G18" s="25" t="s">
        <v>386</v>
      </c>
      <c r="H18" s="25" t="s">
        <v>419</v>
      </c>
    </row>
    <row r="19" spans="1:8" x14ac:dyDescent="0.2">
      <c r="D19" s="25" t="s">
        <v>141</v>
      </c>
      <c r="E19" s="25">
        <v>2022</v>
      </c>
      <c r="F19" s="25">
        <v>2021</v>
      </c>
      <c r="G19" s="25">
        <v>2020</v>
      </c>
      <c r="H19" s="25">
        <v>2020</v>
      </c>
    </row>
    <row r="20" spans="1:8" x14ac:dyDescent="0.2">
      <c r="A20" s="2" t="s">
        <v>12</v>
      </c>
      <c r="D20" s="25" t="s">
        <v>12</v>
      </c>
      <c r="E20" s="26">
        <v>903503</v>
      </c>
      <c r="F20" s="26">
        <v>760910</v>
      </c>
      <c r="G20" s="26">
        <v>539546</v>
      </c>
      <c r="H20" s="26">
        <v>39990</v>
      </c>
    </row>
    <row r="21" spans="1:8" x14ac:dyDescent="0.2">
      <c r="D21" s="25" t="s">
        <v>173</v>
      </c>
    </row>
    <row r="22" spans="1:8" x14ac:dyDescent="0.2">
      <c r="A22" s="9" t="s">
        <v>53</v>
      </c>
      <c r="D22" s="25" t="s">
        <v>53</v>
      </c>
      <c r="E22" s="27">
        <v>249490</v>
      </c>
      <c r="F22" s="27">
        <v>205171</v>
      </c>
      <c r="G22" s="27">
        <v>143628</v>
      </c>
      <c r="H22" s="27">
        <v>10790</v>
      </c>
    </row>
    <row r="23" spans="1:8" x14ac:dyDescent="0.2">
      <c r="A23" s="9" t="s">
        <v>54</v>
      </c>
      <c r="D23" s="25" t="s">
        <v>172</v>
      </c>
      <c r="E23" s="27">
        <v>249269</v>
      </c>
      <c r="F23" s="27">
        <v>211711</v>
      </c>
      <c r="G23" s="27">
        <v>152588</v>
      </c>
      <c r="H23" s="27">
        <v>11157</v>
      </c>
    </row>
    <row r="24" spans="1:8" x14ac:dyDescent="0.2">
      <c r="A24" s="9" t="s">
        <v>55</v>
      </c>
      <c r="D24" s="25" t="s">
        <v>171</v>
      </c>
      <c r="E24" s="27">
        <v>319300</v>
      </c>
      <c r="F24" s="27">
        <v>265738</v>
      </c>
      <c r="G24" s="27">
        <v>181807</v>
      </c>
      <c r="H24" s="27">
        <v>44907</v>
      </c>
    </row>
    <row r="25" spans="1:8" x14ac:dyDescent="0.2">
      <c r="A25" s="9" t="s">
        <v>56</v>
      </c>
      <c r="D25" s="25" t="s">
        <v>170</v>
      </c>
      <c r="E25" s="27">
        <v>98575</v>
      </c>
      <c r="F25" s="27">
        <v>105917</v>
      </c>
      <c r="G25" s="27">
        <v>46994</v>
      </c>
      <c r="H25" s="27">
        <v>4087</v>
      </c>
    </row>
    <row r="26" spans="1:8" x14ac:dyDescent="0.2">
      <c r="A26" s="9" t="s">
        <v>40</v>
      </c>
      <c r="D26" s="25" t="s">
        <v>169</v>
      </c>
      <c r="E26" s="27">
        <v>89713</v>
      </c>
      <c r="F26" s="27">
        <v>107056</v>
      </c>
      <c r="G26" s="27">
        <v>91767</v>
      </c>
      <c r="H26" s="27">
        <v>408</v>
      </c>
    </row>
    <row r="27" spans="1:8" x14ac:dyDescent="0.2">
      <c r="A27" s="9"/>
      <c r="D27" s="25" t="s">
        <v>167</v>
      </c>
      <c r="E27" s="27">
        <v>1006347</v>
      </c>
      <c r="F27" s="27">
        <v>895593</v>
      </c>
      <c r="G27" s="27">
        <v>616784</v>
      </c>
      <c r="H27" s="27">
        <v>71349</v>
      </c>
    </row>
    <row r="28" spans="1:8" x14ac:dyDescent="0.2">
      <c r="D28" s="25" t="s">
        <v>166</v>
      </c>
      <c r="E28" s="27">
        <v>-102844</v>
      </c>
      <c r="F28" s="27">
        <v>-134683</v>
      </c>
      <c r="G28" s="27">
        <v>-77238</v>
      </c>
      <c r="H28" s="27">
        <v>-31359</v>
      </c>
    </row>
    <row r="29" spans="1:8" x14ac:dyDescent="0.2">
      <c r="A29" s="9" t="s">
        <v>38</v>
      </c>
      <c r="D29" s="25" t="s">
        <v>324</v>
      </c>
      <c r="E29" s="27">
        <v>-24063</v>
      </c>
      <c r="F29" s="27">
        <v>-24574</v>
      </c>
      <c r="G29" s="27">
        <v>-21927</v>
      </c>
      <c r="H29" s="27">
        <v>50</v>
      </c>
    </row>
    <row r="30" spans="1:8" x14ac:dyDescent="0.2">
      <c r="A30" s="9" t="s">
        <v>58</v>
      </c>
      <c r="D30" s="25" t="s">
        <v>164</v>
      </c>
      <c r="E30" s="27">
        <v>16189</v>
      </c>
      <c r="F30" s="27">
        <v>3160</v>
      </c>
      <c r="G30" s="27">
        <v>-917</v>
      </c>
      <c r="H30" s="27">
        <v>-882</v>
      </c>
    </row>
    <row r="31" spans="1:8" x14ac:dyDescent="0.2">
      <c r="D31" s="25" t="s">
        <v>418</v>
      </c>
      <c r="E31" s="27">
        <v>-110718</v>
      </c>
      <c r="F31" s="27">
        <v>-156097</v>
      </c>
      <c r="G31" s="27">
        <v>-100082</v>
      </c>
      <c r="H31" s="27">
        <v>-32191</v>
      </c>
    </row>
    <row r="32" spans="1:8" x14ac:dyDescent="0.2">
      <c r="A32" s="9" t="s">
        <v>14</v>
      </c>
      <c r="D32" s="25" t="s">
        <v>239</v>
      </c>
      <c r="E32" s="27">
        <v>-3406</v>
      </c>
      <c r="F32" s="27">
        <v>437837</v>
      </c>
      <c r="G32" s="27">
        <v>-9411</v>
      </c>
      <c r="H32" s="27">
        <v>-365</v>
      </c>
    </row>
    <row r="33" spans="1:8" x14ac:dyDescent="0.2">
      <c r="D33" s="25" t="s">
        <v>161</v>
      </c>
      <c r="E33" s="27">
        <v>-114124</v>
      </c>
      <c r="F33" s="27">
        <v>281740</v>
      </c>
      <c r="G33" s="27">
        <v>-109493</v>
      </c>
      <c r="H33" s="27">
        <v>-32556</v>
      </c>
    </row>
    <row r="34" spans="1:8" x14ac:dyDescent="0.2">
      <c r="D34" s="25" t="s">
        <v>160</v>
      </c>
    </row>
    <row r="35" spans="1:8" x14ac:dyDescent="0.2">
      <c r="A35" s="9" t="s">
        <v>59</v>
      </c>
      <c r="D35" s="25" t="s">
        <v>159</v>
      </c>
      <c r="E35" s="27">
        <v>-34378</v>
      </c>
      <c r="F35" s="27">
        <v>-28075</v>
      </c>
      <c r="G35" s="27">
        <v>806</v>
      </c>
      <c r="H35" s="27">
        <v>1917</v>
      </c>
    </row>
    <row r="36" spans="1:8" x14ac:dyDescent="0.2">
      <c r="D36" s="25" t="s">
        <v>160</v>
      </c>
    </row>
    <row r="37" spans="1:8" x14ac:dyDescent="0.2">
      <c r="D37" s="25" t="s">
        <v>392</v>
      </c>
    </row>
    <row r="38" spans="1:8" x14ac:dyDescent="0.2">
      <c r="D38" s="25" t="s">
        <v>480</v>
      </c>
    </row>
    <row r="39" spans="1:8" x14ac:dyDescent="0.2">
      <c r="A39" s="25" t="s">
        <v>546</v>
      </c>
      <c r="D39" s="25" t="s">
        <v>261</v>
      </c>
      <c r="E39" s="26">
        <v>-79746</v>
      </c>
      <c r="F39" s="26">
        <v>309815</v>
      </c>
      <c r="G39" s="26">
        <v>-110299</v>
      </c>
      <c r="H39" s="26">
        <v>-34473</v>
      </c>
    </row>
    <row r="40" spans="1:8" x14ac:dyDescent="0.2">
      <c r="D40" s="25" t="s">
        <v>361</v>
      </c>
    </row>
    <row r="41" spans="1:8" x14ac:dyDescent="0.2">
      <c r="D41" s="25" t="s">
        <v>390</v>
      </c>
    </row>
    <row r="42" spans="1:8" x14ac:dyDescent="0.2">
      <c r="D42" s="25" t="s">
        <v>389</v>
      </c>
    </row>
    <row r="43" spans="1:8" x14ac:dyDescent="0.2">
      <c r="D43" s="25" t="s">
        <v>358</v>
      </c>
      <c r="E43" s="29">
        <v>-0.62</v>
      </c>
      <c r="F43" s="29">
        <v>1.5</v>
      </c>
      <c r="G43" s="29">
        <v>-0.04</v>
      </c>
      <c r="H43" s="28">
        <v>0</v>
      </c>
    </row>
    <row r="44" spans="1:8" x14ac:dyDescent="0.2">
      <c r="D44" s="25" t="s">
        <v>357</v>
      </c>
      <c r="E44" s="29">
        <v>-0.62</v>
      </c>
      <c r="F44" s="29">
        <v>1.45</v>
      </c>
      <c r="G44" s="29">
        <v>-0.04</v>
      </c>
      <c r="H44" s="28">
        <v>0</v>
      </c>
    </row>
  </sheetData>
  <hyperlinks>
    <hyperlink ref="C8" location="Table_Of_Contents!A1" display="Table Of Contents" xr:uid="{57E0C4BC-CB9E-48AC-A849-FF6A45DB2D85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5916-480E-4CF4-B069-9F9DF7D62E6F}">
  <dimension ref="A1:G39"/>
  <sheetViews>
    <sheetView workbookViewId="0">
      <selection activeCell="A35" sqref="A1:B1048576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8" style="25" customWidth="1" outlineLevel="7"/>
    <col min="5" max="6" width="18" style="25" customWidth="1" outlineLevel="7"/>
    <col min="7" max="7" width="17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509</v>
      </c>
    </row>
    <row r="7" spans="3:7" x14ac:dyDescent="0.2">
      <c r="C7" s="30" t="s">
        <v>508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2023</v>
      </c>
      <c r="F17" s="25">
        <v>2022</v>
      </c>
      <c r="G17" s="25">
        <v>2021</v>
      </c>
    </row>
    <row r="18" spans="1:7" x14ac:dyDescent="0.2">
      <c r="A18" s="2" t="s">
        <v>12</v>
      </c>
      <c r="D18" s="25" t="s">
        <v>12</v>
      </c>
      <c r="E18" s="26">
        <v>1051830</v>
      </c>
      <c r="F18" s="26">
        <v>903503</v>
      </c>
      <c r="G18" s="26">
        <v>760910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307835</v>
      </c>
      <c r="F20" s="27">
        <v>249490</v>
      </c>
      <c r="G20" s="27">
        <v>205573</v>
      </c>
    </row>
    <row r="21" spans="1:7" x14ac:dyDescent="0.2">
      <c r="A21" s="9" t="s">
        <v>54</v>
      </c>
      <c r="D21" s="25" t="s">
        <v>172</v>
      </c>
      <c r="E21" s="27">
        <v>270380</v>
      </c>
      <c r="F21" s="27">
        <v>249269</v>
      </c>
      <c r="G21" s="27">
        <v>211711</v>
      </c>
    </row>
    <row r="22" spans="1:7" x14ac:dyDescent="0.2">
      <c r="A22" s="9" t="s">
        <v>55</v>
      </c>
      <c r="D22" s="25" t="s">
        <v>171</v>
      </c>
      <c r="E22" s="27">
        <v>221649</v>
      </c>
      <c r="F22" s="27">
        <v>308855</v>
      </c>
      <c r="G22" s="27">
        <v>257489</v>
      </c>
    </row>
    <row r="23" spans="1:7" x14ac:dyDescent="0.2">
      <c r="A23" s="9" t="s">
        <v>56</v>
      </c>
      <c r="D23" s="25" t="s">
        <v>170</v>
      </c>
      <c r="E23" s="27">
        <v>130565</v>
      </c>
      <c r="F23" s="27">
        <v>109020</v>
      </c>
      <c r="G23" s="27">
        <v>113764</v>
      </c>
    </row>
    <row r="24" spans="1:7" x14ac:dyDescent="0.2">
      <c r="A24" s="9" t="s">
        <v>40</v>
      </c>
      <c r="D24" s="25" t="s">
        <v>169</v>
      </c>
      <c r="E24" s="27">
        <v>68028</v>
      </c>
      <c r="F24" s="27">
        <v>89713</v>
      </c>
      <c r="G24" s="27">
        <v>107056</v>
      </c>
    </row>
    <row r="25" spans="1:7" x14ac:dyDescent="0.2">
      <c r="A25" s="9"/>
      <c r="D25" s="25" t="s">
        <v>167</v>
      </c>
      <c r="E25" s="27">
        <v>998457</v>
      </c>
      <c r="F25" s="27">
        <v>1006347</v>
      </c>
      <c r="G25" s="27">
        <v>895593</v>
      </c>
    </row>
    <row r="26" spans="1:7" x14ac:dyDescent="0.2">
      <c r="D26" s="25" t="s">
        <v>166</v>
      </c>
      <c r="E26" s="27">
        <v>53373</v>
      </c>
      <c r="F26" s="27">
        <v>-102844</v>
      </c>
      <c r="G26" s="27">
        <v>-134683</v>
      </c>
    </row>
    <row r="27" spans="1:7" x14ac:dyDescent="0.2">
      <c r="A27" s="9" t="s">
        <v>38</v>
      </c>
      <c r="D27" s="25" t="s">
        <v>240</v>
      </c>
      <c r="E27" s="27">
        <v>-21534</v>
      </c>
      <c r="F27" s="27">
        <v>-24063</v>
      </c>
      <c r="G27" s="27">
        <v>-24574</v>
      </c>
    </row>
    <row r="28" spans="1:7" x14ac:dyDescent="0.2">
      <c r="A28" s="9" t="s">
        <v>58</v>
      </c>
      <c r="D28" s="25" t="s">
        <v>164</v>
      </c>
      <c r="E28" s="27">
        <v>-26537</v>
      </c>
      <c r="F28" s="27">
        <v>16189</v>
      </c>
      <c r="G28" s="27">
        <v>3160</v>
      </c>
    </row>
    <row r="29" spans="1:7" x14ac:dyDescent="0.2">
      <c r="D29" s="25" t="s">
        <v>163</v>
      </c>
      <c r="E29" s="27">
        <v>5302</v>
      </c>
      <c r="F29" s="27">
        <v>-110718</v>
      </c>
      <c r="G29" s="27">
        <v>-156097</v>
      </c>
    </row>
    <row r="30" spans="1:7" x14ac:dyDescent="0.2">
      <c r="A30" s="9" t="s">
        <v>14</v>
      </c>
      <c r="D30" s="25" t="s">
        <v>239</v>
      </c>
      <c r="E30" s="27">
        <v>-7170</v>
      </c>
      <c r="F30" s="27">
        <v>-3406</v>
      </c>
      <c r="G30" s="27">
        <v>437837</v>
      </c>
    </row>
    <row r="31" spans="1:7" x14ac:dyDescent="0.2">
      <c r="D31" s="25" t="s">
        <v>161</v>
      </c>
      <c r="E31" s="27">
        <v>-1868</v>
      </c>
      <c r="F31" s="27">
        <v>-114124</v>
      </c>
      <c r="G31" s="27">
        <v>281740</v>
      </c>
    </row>
    <row r="32" spans="1:7" x14ac:dyDescent="0.2">
      <c r="D32" s="25" t="s">
        <v>160</v>
      </c>
    </row>
    <row r="33" spans="1:7" x14ac:dyDescent="0.2">
      <c r="A33" s="9" t="s">
        <v>59</v>
      </c>
      <c r="D33" s="25" t="s">
        <v>159</v>
      </c>
      <c r="E33" s="27">
        <v>2345</v>
      </c>
      <c r="F33" s="27">
        <v>-34378</v>
      </c>
      <c r="G33" s="27">
        <v>-28075</v>
      </c>
    </row>
    <row r="34" spans="1:7" x14ac:dyDescent="0.2">
      <c r="D34" s="25" t="s">
        <v>158</v>
      </c>
    </row>
    <row r="35" spans="1:7" x14ac:dyDescent="0.2">
      <c r="A35" s="25" t="s">
        <v>546</v>
      </c>
      <c r="D35" s="25" t="s">
        <v>157</v>
      </c>
      <c r="E35" s="26">
        <v>-4213</v>
      </c>
      <c r="F35" s="26">
        <v>-79746</v>
      </c>
      <c r="G35" s="26">
        <v>309815</v>
      </c>
    </row>
    <row r="36" spans="1:7" x14ac:dyDescent="0.2">
      <c r="D36" s="25" t="s">
        <v>511</v>
      </c>
    </row>
    <row r="37" spans="1:7" x14ac:dyDescent="0.2">
      <c r="D37" s="25" t="s">
        <v>510</v>
      </c>
    </row>
    <row r="38" spans="1:7" x14ac:dyDescent="0.2">
      <c r="D38" s="25" t="s">
        <v>154</v>
      </c>
      <c r="E38" s="29">
        <v>-0.03</v>
      </c>
      <c r="F38" s="29">
        <v>-0.62</v>
      </c>
      <c r="G38" s="29">
        <v>1.5</v>
      </c>
    </row>
    <row r="39" spans="1:7" x14ac:dyDescent="0.2">
      <c r="D39" s="25" t="s">
        <v>153</v>
      </c>
      <c r="E39" s="29">
        <v>-0.03</v>
      </c>
      <c r="F39" s="29">
        <v>-0.62</v>
      </c>
      <c r="G39" s="29">
        <v>1.45</v>
      </c>
    </row>
  </sheetData>
  <hyperlinks>
    <hyperlink ref="C8" location="Table_Of_Contents!A1" display="Table Of Contents" xr:uid="{59E2F315-382B-4376-930D-86B0717B564D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7024-5FC6-441E-8BA9-B0C4088DAA2C}">
  <dimension ref="A1:G40"/>
  <sheetViews>
    <sheetView workbookViewId="0">
      <selection activeCell="A37" sqref="A37"/>
    </sheetView>
  </sheetViews>
  <sheetFormatPr defaultRowHeight="12.75" outlineLevelCol="7" x14ac:dyDescent="0.2"/>
  <cols>
    <col min="1" max="2" width="9.140625" style="25"/>
    <col min="3" max="3" width="3" style="25" customWidth="1" outlineLevel="7"/>
    <col min="4" max="4" width="40" style="25" customWidth="1" outlineLevel="7"/>
    <col min="5" max="7" width="18" style="25" customWidth="1" outlineLevel="7"/>
    <col min="8" max="258" width="21.7109375" style="25" customWidth="1"/>
    <col min="259" max="16384" width="9.140625" style="25"/>
  </cols>
  <sheetData>
    <row r="1" spans="3:7" x14ac:dyDescent="0.2">
      <c r="C1" s="30" t="s">
        <v>152</v>
      </c>
    </row>
    <row r="2" spans="3:7" x14ac:dyDescent="0.2">
      <c r="C2" s="30" t="s">
        <v>141</v>
      </c>
    </row>
    <row r="3" spans="3:7" x14ac:dyDescent="0.2">
      <c r="C3" s="30" t="s">
        <v>151</v>
      </c>
    </row>
    <row r="4" spans="3:7" x14ac:dyDescent="0.2">
      <c r="C4" s="30" t="s">
        <v>481</v>
      </c>
    </row>
    <row r="5" spans="3:7" x14ac:dyDescent="0.2">
      <c r="C5" s="30" t="s">
        <v>410</v>
      </c>
    </row>
    <row r="6" spans="3:7" x14ac:dyDescent="0.2">
      <c r="C6" s="30" t="s">
        <v>538</v>
      </c>
    </row>
    <row r="7" spans="3:7" x14ac:dyDescent="0.2">
      <c r="C7" s="30" t="s">
        <v>537</v>
      </c>
    </row>
    <row r="8" spans="3:7" x14ac:dyDescent="0.2">
      <c r="C8" s="31" t="s">
        <v>146</v>
      </c>
    </row>
    <row r="9" spans="3:7" x14ac:dyDescent="0.2">
      <c r="C9" s="30" t="s">
        <v>141</v>
      </c>
    </row>
    <row r="10" spans="3:7" x14ac:dyDescent="0.2">
      <c r="D10" s="32" t="s">
        <v>48</v>
      </c>
      <c r="E10" s="25" t="s">
        <v>141</v>
      </c>
    </row>
    <row r="11" spans="3:7" x14ac:dyDescent="0.2">
      <c r="D11" s="32" t="s">
        <v>428</v>
      </c>
      <c r="E11" s="25" t="s">
        <v>141</v>
      </c>
    </row>
    <row r="12" spans="3:7" x14ac:dyDescent="0.2">
      <c r="D12" s="32" t="s">
        <v>513</v>
      </c>
      <c r="E12" s="25" t="s">
        <v>141</v>
      </c>
    </row>
    <row r="15" spans="3:7" x14ac:dyDescent="0.2">
      <c r="D15" s="25" t="s">
        <v>141</v>
      </c>
      <c r="E15" s="25" t="s">
        <v>512</v>
      </c>
      <c r="F15" s="25" t="s">
        <v>512</v>
      </c>
      <c r="G15" s="25" t="s">
        <v>512</v>
      </c>
    </row>
    <row r="16" spans="3:7" x14ac:dyDescent="0.2">
      <c r="D16" s="25" t="s">
        <v>141</v>
      </c>
      <c r="E16" s="25" t="s">
        <v>386</v>
      </c>
      <c r="F16" s="25" t="s">
        <v>386</v>
      </c>
      <c r="G16" s="25" t="s">
        <v>386</v>
      </c>
    </row>
    <row r="17" spans="1:7" x14ac:dyDescent="0.2">
      <c r="D17" s="25" t="s">
        <v>141</v>
      </c>
      <c r="E17" s="25">
        <v>2024</v>
      </c>
      <c r="F17" s="25">
        <v>2023</v>
      </c>
      <c r="G17" s="25">
        <v>2022</v>
      </c>
    </row>
    <row r="18" spans="1:7" x14ac:dyDescent="0.2">
      <c r="A18" s="2" t="s">
        <v>12</v>
      </c>
      <c r="D18" s="25" t="s">
        <v>12</v>
      </c>
      <c r="E18" s="26">
        <v>1071643</v>
      </c>
      <c r="F18" s="26">
        <v>1051830</v>
      </c>
      <c r="G18" s="26">
        <v>903503</v>
      </c>
    </row>
    <row r="19" spans="1:7" x14ac:dyDescent="0.2">
      <c r="D19" s="25" t="s">
        <v>173</v>
      </c>
    </row>
    <row r="20" spans="1:7" x14ac:dyDescent="0.2">
      <c r="A20" s="9" t="s">
        <v>53</v>
      </c>
      <c r="D20" s="25" t="s">
        <v>53</v>
      </c>
      <c r="E20" s="27">
        <v>318835</v>
      </c>
      <c r="F20" s="27">
        <v>307835</v>
      </c>
      <c r="G20" s="27">
        <v>249490</v>
      </c>
    </row>
    <row r="21" spans="1:7" x14ac:dyDescent="0.2">
      <c r="A21" s="9" t="s">
        <v>54</v>
      </c>
      <c r="D21" s="25" t="s">
        <v>172</v>
      </c>
      <c r="E21" s="27">
        <v>261172</v>
      </c>
      <c r="F21" s="27">
        <v>270380</v>
      </c>
      <c r="G21" s="27">
        <v>249269</v>
      </c>
    </row>
    <row r="22" spans="1:7" x14ac:dyDescent="0.2">
      <c r="A22" s="9" t="s">
        <v>55</v>
      </c>
      <c r="D22" s="25" t="s">
        <v>171</v>
      </c>
      <c r="E22" s="27">
        <v>128521</v>
      </c>
      <c r="F22" s="27">
        <v>221649</v>
      </c>
      <c r="G22" s="27">
        <v>163467</v>
      </c>
    </row>
    <row r="23" spans="1:7" x14ac:dyDescent="0.2">
      <c r="A23" s="9" t="s">
        <v>56</v>
      </c>
      <c r="D23" s="25" t="s">
        <v>170</v>
      </c>
      <c r="E23" s="27">
        <v>100725</v>
      </c>
      <c r="F23" s="27">
        <v>130565</v>
      </c>
      <c r="G23" s="27">
        <v>109020</v>
      </c>
    </row>
    <row r="24" spans="1:7" x14ac:dyDescent="0.2">
      <c r="D24" s="25" t="s">
        <v>311</v>
      </c>
    </row>
    <row r="25" spans="1:7" x14ac:dyDescent="0.2">
      <c r="A25" s="9" t="s">
        <v>40</v>
      </c>
      <c r="D25" s="25" t="s">
        <v>214</v>
      </c>
      <c r="E25" s="27">
        <v>70616</v>
      </c>
      <c r="F25" s="27">
        <v>68028</v>
      </c>
      <c r="G25" s="27">
        <v>89713</v>
      </c>
    </row>
    <row r="26" spans="1:7" x14ac:dyDescent="0.2">
      <c r="A26" s="25" t="s">
        <v>57</v>
      </c>
      <c r="D26" s="25" t="s">
        <v>168</v>
      </c>
      <c r="E26" s="27">
        <v>892248</v>
      </c>
      <c r="F26" s="28">
        <v>0</v>
      </c>
      <c r="G26" s="27">
        <v>145388</v>
      </c>
    </row>
    <row r="27" spans="1:7" x14ac:dyDescent="0.2">
      <c r="D27" s="25" t="s">
        <v>167</v>
      </c>
      <c r="E27" s="27">
        <v>1772117</v>
      </c>
      <c r="F27" s="27">
        <v>998457</v>
      </c>
      <c r="G27" s="27">
        <v>1006347</v>
      </c>
    </row>
    <row r="28" spans="1:7" x14ac:dyDescent="0.2">
      <c r="D28" s="25" t="s">
        <v>166</v>
      </c>
      <c r="E28" s="27">
        <v>-700474</v>
      </c>
      <c r="F28" s="27">
        <v>53373</v>
      </c>
      <c r="G28" s="27">
        <v>-102844</v>
      </c>
    </row>
    <row r="29" spans="1:7" x14ac:dyDescent="0.2">
      <c r="A29" s="9" t="s">
        <v>38</v>
      </c>
      <c r="D29" s="25" t="s">
        <v>165</v>
      </c>
      <c r="E29" s="27">
        <v>-39945</v>
      </c>
      <c r="F29" s="27">
        <v>-21534</v>
      </c>
      <c r="G29" s="27">
        <v>-24063</v>
      </c>
    </row>
    <row r="30" spans="1:7" x14ac:dyDescent="0.2">
      <c r="A30" s="9" t="s">
        <v>58</v>
      </c>
      <c r="D30" s="25" t="s">
        <v>164</v>
      </c>
      <c r="E30" s="27">
        <v>-4827</v>
      </c>
      <c r="F30" s="27">
        <v>-26537</v>
      </c>
      <c r="G30" s="27">
        <v>16189</v>
      </c>
    </row>
    <row r="31" spans="1:7" x14ac:dyDescent="0.2">
      <c r="D31" s="25" t="s">
        <v>163</v>
      </c>
      <c r="E31" s="27">
        <v>-745246</v>
      </c>
      <c r="F31" s="27">
        <v>5302</v>
      </c>
      <c r="G31" s="27">
        <v>-110718</v>
      </c>
    </row>
    <row r="32" spans="1:7" x14ac:dyDescent="0.2">
      <c r="A32" s="25" t="s">
        <v>14</v>
      </c>
      <c r="D32" s="25" t="s">
        <v>162</v>
      </c>
      <c r="E32" s="27">
        <v>-23128</v>
      </c>
      <c r="F32" s="27">
        <v>-7170</v>
      </c>
      <c r="G32" s="27">
        <v>-3406</v>
      </c>
    </row>
    <row r="33" spans="1:7" x14ac:dyDescent="0.2">
      <c r="D33" s="25" t="s">
        <v>542</v>
      </c>
      <c r="E33" s="27">
        <v>-768374</v>
      </c>
      <c r="F33" s="27">
        <v>-1868</v>
      </c>
      <c r="G33" s="27">
        <v>-114124</v>
      </c>
    </row>
    <row r="34" spans="1:7" x14ac:dyDescent="0.2">
      <c r="D34" s="25" t="s">
        <v>160</v>
      </c>
    </row>
    <row r="35" spans="1:7" x14ac:dyDescent="0.2">
      <c r="A35" s="9" t="s">
        <v>59</v>
      </c>
      <c r="D35" s="25" t="s">
        <v>159</v>
      </c>
      <c r="E35" s="27">
        <v>-211366</v>
      </c>
      <c r="F35" s="27">
        <v>2345</v>
      </c>
      <c r="G35" s="27">
        <v>-34378</v>
      </c>
    </row>
    <row r="36" spans="1:7" x14ac:dyDescent="0.2">
      <c r="D36" s="25" t="s">
        <v>541</v>
      </c>
    </row>
    <row r="37" spans="1:7" x14ac:dyDescent="0.2">
      <c r="A37" s="25" t="s">
        <v>546</v>
      </c>
      <c r="D37" s="25" t="s">
        <v>157</v>
      </c>
      <c r="E37" s="26">
        <v>-557008</v>
      </c>
      <c r="F37" s="26">
        <v>-4213</v>
      </c>
      <c r="G37" s="26">
        <v>-79746</v>
      </c>
    </row>
    <row r="38" spans="1:7" x14ac:dyDescent="0.2">
      <c r="D38" s="25" t="s">
        <v>540</v>
      </c>
    </row>
    <row r="39" spans="1:7" x14ac:dyDescent="0.2">
      <c r="D39" s="25" t="s">
        <v>510</v>
      </c>
    </row>
    <row r="40" spans="1:7" x14ac:dyDescent="0.2">
      <c r="D40" s="25" t="s">
        <v>539</v>
      </c>
      <c r="E40" s="29">
        <v>-4.6100000000000003</v>
      </c>
      <c r="F40" s="29">
        <v>-0.03</v>
      </c>
      <c r="G40" s="29">
        <v>-0.62</v>
      </c>
    </row>
  </sheetData>
  <hyperlinks>
    <hyperlink ref="C8" location="Table_Of_Contents!A1" display="Table Of Contents" xr:uid="{1C650C29-C705-4939-A126-81149AA163B9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36-998D-443A-B508-9EBF92680081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C27-BD1F-4252-94E2-CE69E9AF5EB1}">
  <dimension ref="A1:D63"/>
  <sheetViews>
    <sheetView workbookViewId="0">
      <selection activeCell="B17" sqref="B17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280</v>
      </c>
      <c r="D15" s="25" t="s">
        <v>279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202243</v>
      </c>
      <c r="D17" s="26">
        <v>204319</v>
      </c>
    </row>
    <row r="18" spans="2:4" x14ac:dyDescent="0.2">
      <c r="B18" s="25" t="s">
        <v>278</v>
      </c>
    </row>
    <row r="19" spans="2:4" x14ac:dyDescent="0.2">
      <c r="B19" s="25" t="s">
        <v>277</v>
      </c>
      <c r="C19" s="27">
        <v>98059</v>
      </c>
      <c r="D19" s="27">
        <v>99687</v>
      </c>
    </row>
    <row r="20" spans="2:4" x14ac:dyDescent="0.2">
      <c r="B20" s="25" t="s">
        <v>134</v>
      </c>
      <c r="C20" s="27">
        <v>37551</v>
      </c>
      <c r="D20" s="27">
        <v>38236</v>
      </c>
    </row>
    <row r="21" spans="2:4" x14ac:dyDescent="0.2">
      <c r="B21" s="25" t="s">
        <v>133</v>
      </c>
      <c r="C21" s="27">
        <v>337853</v>
      </c>
      <c r="D21" s="27">
        <v>342242</v>
      </c>
    </row>
    <row r="22" spans="2:4" x14ac:dyDescent="0.2">
      <c r="B22" s="25" t="s">
        <v>132</v>
      </c>
      <c r="C22" s="27">
        <v>10872</v>
      </c>
      <c r="D22" s="27">
        <v>11232</v>
      </c>
    </row>
    <row r="23" spans="2:4" x14ac:dyDescent="0.2">
      <c r="B23" s="25" t="s">
        <v>131</v>
      </c>
    </row>
    <row r="24" spans="2:4" x14ac:dyDescent="0.2">
      <c r="B24" s="25" t="s">
        <v>276</v>
      </c>
      <c r="C24" s="27">
        <v>7889</v>
      </c>
      <c r="D24" s="27">
        <v>8495</v>
      </c>
    </row>
    <row r="25" spans="2:4" x14ac:dyDescent="0.2">
      <c r="B25" s="25" t="s">
        <v>129</v>
      </c>
      <c r="C25" s="27">
        <v>1387713</v>
      </c>
      <c r="D25" s="27">
        <v>1386229</v>
      </c>
    </row>
    <row r="26" spans="2:4" x14ac:dyDescent="0.2">
      <c r="B26" s="25" t="s">
        <v>128</v>
      </c>
      <c r="C26" s="27">
        <v>738970</v>
      </c>
      <c r="D26" s="27">
        <v>748906</v>
      </c>
    </row>
    <row r="27" spans="2:4" x14ac:dyDescent="0.2">
      <c r="B27" s="25" t="s">
        <v>127</v>
      </c>
      <c r="C27" s="27">
        <v>15434</v>
      </c>
      <c r="D27" s="27">
        <v>16300</v>
      </c>
    </row>
    <row r="28" spans="2:4" x14ac:dyDescent="0.2">
      <c r="B28" s="25" t="s">
        <v>126</v>
      </c>
      <c r="C28" s="27">
        <v>9561</v>
      </c>
      <c r="D28" s="27">
        <v>11483</v>
      </c>
    </row>
    <row r="29" spans="2:4" x14ac:dyDescent="0.2">
      <c r="B29" s="25" t="s">
        <v>17</v>
      </c>
      <c r="C29" s="26">
        <v>2508292</v>
      </c>
      <c r="D29" s="26">
        <v>2524887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4803</v>
      </c>
      <c r="D31" s="26">
        <v>6609</v>
      </c>
    </row>
    <row r="32" spans="2:4" x14ac:dyDescent="0.2">
      <c r="B32" s="25" t="s">
        <v>123</v>
      </c>
      <c r="C32" s="27">
        <v>41682</v>
      </c>
      <c r="D32" s="27">
        <v>43411</v>
      </c>
    </row>
    <row r="33" spans="2:4" x14ac:dyDescent="0.2">
      <c r="B33" s="25" t="s">
        <v>122</v>
      </c>
      <c r="C33" s="27">
        <v>67227</v>
      </c>
      <c r="D33" s="27">
        <v>82800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119462</v>
      </c>
      <c r="D35" s="27">
        <v>138570</v>
      </c>
    </row>
    <row r="36" spans="2:4" x14ac:dyDescent="0.2">
      <c r="B36" s="25" t="s">
        <v>119</v>
      </c>
      <c r="C36" s="27">
        <v>610376</v>
      </c>
      <c r="D36" s="27">
        <v>611346</v>
      </c>
    </row>
    <row r="37" spans="2:4" x14ac:dyDescent="0.2">
      <c r="B37" s="25" t="s">
        <v>118</v>
      </c>
      <c r="C37" s="27">
        <v>777</v>
      </c>
      <c r="D37" s="27">
        <v>777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399702</v>
      </c>
      <c r="D39" s="27">
        <v>400926</v>
      </c>
    </row>
    <row r="40" spans="2:4" x14ac:dyDescent="0.2">
      <c r="B40" s="25" t="s">
        <v>115</v>
      </c>
      <c r="C40" s="27">
        <v>23734</v>
      </c>
      <c r="D40" s="27">
        <v>24214</v>
      </c>
    </row>
    <row r="41" spans="2:4" x14ac:dyDescent="0.2">
      <c r="B41" s="25" t="s">
        <v>114</v>
      </c>
      <c r="C41" s="27">
        <v>1154051</v>
      </c>
      <c r="D41" s="27">
        <v>1175833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275</v>
      </c>
    </row>
    <row r="46" spans="2:4" x14ac:dyDescent="0.2">
      <c r="B46" s="25" t="s">
        <v>274</v>
      </c>
    </row>
    <row r="47" spans="2:4" x14ac:dyDescent="0.2">
      <c r="B47" s="25" t="s">
        <v>273</v>
      </c>
    </row>
    <row r="48" spans="2:4" x14ac:dyDescent="0.2">
      <c r="B48" s="25" t="s">
        <v>272</v>
      </c>
      <c r="C48" s="27">
        <v>1032</v>
      </c>
      <c r="D48" s="27">
        <v>1071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271</v>
      </c>
    </row>
    <row r="52" spans="2:4" x14ac:dyDescent="0.2">
      <c r="B52" s="25" t="s">
        <v>270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269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1381083</v>
      </c>
      <c r="D57" s="27">
        <v>1453483</v>
      </c>
    </row>
    <row r="58" spans="2:4" x14ac:dyDescent="0.2">
      <c r="B58" s="25" t="s">
        <v>94</v>
      </c>
      <c r="C58" s="27">
        <v>-687648</v>
      </c>
      <c r="D58" s="27">
        <v>-701092</v>
      </c>
    </row>
    <row r="59" spans="2:4" x14ac:dyDescent="0.2">
      <c r="B59" s="25" t="s">
        <v>93</v>
      </c>
      <c r="C59" s="27">
        <v>120047</v>
      </c>
      <c r="D59" s="27">
        <v>71073</v>
      </c>
    </row>
    <row r="60" spans="2:4" x14ac:dyDescent="0.2">
      <c r="B60" s="25" t="s">
        <v>92</v>
      </c>
      <c r="C60" s="27">
        <v>814514</v>
      </c>
      <c r="D60" s="27">
        <v>824535</v>
      </c>
    </row>
    <row r="61" spans="2:4" x14ac:dyDescent="0.2">
      <c r="B61" s="25" t="s">
        <v>91</v>
      </c>
      <c r="C61" s="27">
        <v>539727</v>
      </c>
      <c r="D61" s="27">
        <v>524519</v>
      </c>
    </row>
    <row r="62" spans="2:4" x14ac:dyDescent="0.2">
      <c r="B62" s="25" t="s">
        <v>90</v>
      </c>
      <c r="C62" s="27">
        <v>1354241</v>
      </c>
      <c r="D62" s="27">
        <v>1349054</v>
      </c>
    </row>
    <row r="63" spans="2:4" x14ac:dyDescent="0.2">
      <c r="B63" s="25" t="s">
        <v>89</v>
      </c>
      <c r="C63" s="26">
        <v>2508292</v>
      </c>
      <c r="D63" s="26">
        <v>2524887</v>
      </c>
    </row>
  </sheetData>
  <hyperlinks>
    <hyperlink ref="A8" location="Table_Of_Contents!A1" display="Table Of Contents" xr:uid="{9E485EB7-BE22-4201-81A5-A5B6E7143A6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97E-D38D-40AB-8363-7C999452C8F0}">
  <dimension ref="A1:D68"/>
  <sheetViews>
    <sheetView topLeftCell="A2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148</v>
      </c>
    </row>
    <row r="7" spans="1:4" x14ac:dyDescent="0.2">
      <c r="A7" s="30" t="s">
        <v>147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140</v>
      </c>
      <c r="D16" s="25" t="s">
        <v>139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252057</v>
      </c>
      <c r="D18" s="26">
        <v>355642</v>
      </c>
    </row>
    <row r="19" spans="2:4" x14ac:dyDescent="0.2">
      <c r="B19" s="25" t="s">
        <v>136</v>
      </c>
    </row>
    <row r="20" spans="2:4" x14ac:dyDescent="0.2">
      <c r="B20" s="25" t="s">
        <v>135</v>
      </c>
      <c r="C20" s="27">
        <v>102547</v>
      </c>
      <c r="D20" s="27">
        <v>102677</v>
      </c>
    </row>
    <row r="21" spans="2:4" x14ac:dyDescent="0.2">
      <c r="B21" s="25" t="s">
        <v>134</v>
      </c>
      <c r="C21" s="27">
        <v>28725</v>
      </c>
      <c r="D21" s="27">
        <v>34732</v>
      </c>
    </row>
    <row r="22" spans="2:4" x14ac:dyDescent="0.2">
      <c r="B22" s="25" t="s">
        <v>133</v>
      </c>
      <c r="C22" s="27">
        <v>383329</v>
      </c>
      <c r="D22" s="27">
        <v>493051</v>
      </c>
    </row>
    <row r="23" spans="2:4" x14ac:dyDescent="0.2">
      <c r="B23" s="25" t="s">
        <v>132</v>
      </c>
      <c r="C23" s="27">
        <v>13303</v>
      </c>
      <c r="D23" s="27">
        <v>15425</v>
      </c>
    </row>
    <row r="24" spans="2:4" x14ac:dyDescent="0.2">
      <c r="B24" s="25" t="s">
        <v>131</v>
      </c>
    </row>
    <row r="25" spans="2:4" x14ac:dyDescent="0.2">
      <c r="B25" s="25" t="s">
        <v>130</v>
      </c>
      <c r="C25" s="27">
        <v>8974</v>
      </c>
      <c r="D25" s="27">
        <v>12462</v>
      </c>
    </row>
    <row r="26" spans="2:4" x14ac:dyDescent="0.2">
      <c r="B26" s="25" t="s">
        <v>129</v>
      </c>
      <c r="C26" s="27">
        <v>1389002</v>
      </c>
      <c r="D26" s="27">
        <v>1585750</v>
      </c>
    </row>
    <row r="27" spans="2:4" x14ac:dyDescent="0.2">
      <c r="B27" s="25" t="s">
        <v>128</v>
      </c>
      <c r="C27" s="27">
        <v>764406</v>
      </c>
      <c r="D27" s="27">
        <v>1484290</v>
      </c>
    </row>
    <row r="28" spans="2:4" x14ac:dyDescent="0.2">
      <c r="B28" s="25" t="s">
        <v>127</v>
      </c>
      <c r="C28" s="27">
        <v>22558</v>
      </c>
      <c r="D28" s="27">
        <v>27029</v>
      </c>
    </row>
    <row r="29" spans="2:4" x14ac:dyDescent="0.2">
      <c r="B29" s="25" t="s">
        <v>126</v>
      </c>
      <c r="C29" s="27">
        <v>7840</v>
      </c>
      <c r="D29" s="27">
        <v>7120</v>
      </c>
    </row>
    <row r="30" spans="2:4" x14ac:dyDescent="0.2">
      <c r="B30" s="25" t="s">
        <v>17</v>
      </c>
      <c r="C30" s="26">
        <v>2589412</v>
      </c>
      <c r="D30" s="26">
        <v>3625127</v>
      </c>
    </row>
    <row r="31" spans="2:4" x14ac:dyDescent="0.2">
      <c r="B31" s="25" t="s">
        <v>125</v>
      </c>
    </row>
    <row r="32" spans="2:4" x14ac:dyDescent="0.2">
      <c r="B32" s="25" t="s">
        <v>124</v>
      </c>
      <c r="C32" s="26">
        <v>6830</v>
      </c>
      <c r="D32" s="26">
        <v>4611</v>
      </c>
    </row>
    <row r="33" spans="2:4" x14ac:dyDescent="0.2">
      <c r="B33" s="25" t="s">
        <v>123</v>
      </c>
      <c r="C33" s="27">
        <v>45329</v>
      </c>
      <c r="D33" s="27">
        <v>48749</v>
      </c>
    </row>
    <row r="34" spans="2:4" x14ac:dyDescent="0.2">
      <c r="B34" s="25" t="s">
        <v>122</v>
      </c>
      <c r="C34" s="27">
        <v>125083</v>
      </c>
      <c r="D34" s="27">
        <v>185799</v>
      </c>
    </row>
    <row r="35" spans="2:4" x14ac:dyDescent="0.2">
      <c r="B35" s="25" t="s">
        <v>121</v>
      </c>
      <c r="C35" s="27">
        <v>5750</v>
      </c>
      <c r="D35" s="27">
        <v>5750</v>
      </c>
    </row>
    <row r="36" spans="2:4" x14ac:dyDescent="0.2">
      <c r="B36" s="25" t="s">
        <v>120</v>
      </c>
      <c r="C36" s="27">
        <v>182992</v>
      </c>
      <c r="D36" s="27">
        <v>244909</v>
      </c>
    </row>
    <row r="37" spans="2:4" x14ac:dyDescent="0.2">
      <c r="B37" s="25" t="s">
        <v>119</v>
      </c>
      <c r="C37" s="27">
        <v>612231</v>
      </c>
      <c r="D37" s="27">
        <v>615176</v>
      </c>
    </row>
    <row r="38" spans="2:4" x14ac:dyDescent="0.2">
      <c r="B38" s="25" t="s">
        <v>118</v>
      </c>
      <c r="C38" s="27">
        <v>975</v>
      </c>
      <c r="D38" s="27">
        <v>5673</v>
      </c>
    </row>
    <row r="39" spans="2:4" x14ac:dyDescent="0.2">
      <c r="B39" s="25" t="s">
        <v>117</v>
      </c>
    </row>
    <row r="40" spans="2:4" x14ac:dyDescent="0.2">
      <c r="B40" s="25" t="s">
        <v>116</v>
      </c>
      <c r="C40" s="27">
        <v>412958</v>
      </c>
      <c r="D40" s="27">
        <v>407389</v>
      </c>
    </row>
    <row r="41" spans="2:4" x14ac:dyDescent="0.2">
      <c r="B41" s="25" t="s">
        <v>115</v>
      </c>
      <c r="C41" s="27">
        <v>13393</v>
      </c>
      <c r="D41" s="27">
        <v>14707</v>
      </c>
    </row>
    <row r="42" spans="2:4" x14ac:dyDescent="0.2">
      <c r="B42" s="25" t="s">
        <v>114</v>
      </c>
      <c r="C42" s="27">
        <v>1222549</v>
      </c>
      <c r="D42" s="27">
        <v>1287854</v>
      </c>
    </row>
    <row r="43" spans="2:4" x14ac:dyDescent="0.2">
      <c r="B43" s="25" t="s">
        <v>113</v>
      </c>
    </row>
    <row r="44" spans="2:4" x14ac:dyDescent="0.2">
      <c r="B44" s="25" t="s">
        <v>112</v>
      </c>
    </row>
    <row r="45" spans="2:4" x14ac:dyDescent="0.2">
      <c r="B45" s="25" t="s">
        <v>111</v>
      </c>
    </row>
    <row r="46" spans="2:4" x14ac:dyDescent="0.2">
      <c r="B46" s="25" t="s">
        <v>110</v>
      </c>
    </row>
    <row r="47" spans="2:4" x14ac:dyDescent="0.2">
      <c r="B47" s="25" t="s">
        <v>109</v>
      </c>
    </row>
    <row r="48" spans="2:4" x14ac:dyDescent="0.2">
      <c r="B48" s="25" t="s">
        <v>108</v>
      </c>
    </row>
    <row r="49" spans="2:4" x14ac:dyDescent="0.2">
      <c r="B49" s="25" t="s">
        <v>107</v>
      </c>
    </row>
    <row r="50" spans="2:4" x14ac:dyDescent="0.2">
      <c r="B50" s="25" t="s">
        <v>106</v>
      </c>
      <c r="C50" s="27">
        <v>1398</v>
      </c>
      <c r="D50" s="27">
        <v>1385</v>
      </c>
    </row>
    <row r="51" spans="2:4" x14ac:dyDescent="0.2">
      <c r="B51" s="25" t="s">
        <v>105</v>
      </c>
    </row>
    <row r="52" spans="2:4" x14ac:dyDescent="0.2">
      <c r="B52" s="25" t="s">
        <v>104</v>
      </c>
    </row>
    <row r="53" spans="2:4" x14ac:dyDescent="0.2">
      <c r="B53" s="25" t="s">
        <v>103</v>
      </c>
    </row>
    <row r="54" spans="2:4" x14ac:dyDescent="0.2">
      <c r="B54" s="25" t="s">
        <v>102</v>
      </c>
      <c r="C54" s="28">
        <v>0</v>
      </c>
      <c r="D54" s="28">
        <v>0</v>
      </c>
    </row>
    <row r="55" spans="2:4" x14ac:dyDescent="0.2">
      <c r="B55" s="25" t="s">
        <v>101</v>
      </c>
    </row>
    <row r="56" spans="2:4" x14ac:dyDescent="0.2">
      <c r="B56" s="25" t="s">
        <v>100</v>
      </c>
    </row>
    <row r="57" spans="2:4" x14ac:dyDescent="0.2">
      <c r="B57" s="25" t="s">
        <v>99</v>
      </c>
    </row>
    <row r="58" spans="2:4" x14ac:dyDescent="0.2">
      <c r="B58" s="25" t="s">
        <v>95</v>
      </c>
      <c r="C58" s="28">
        <v>0</v>
      </c>
      <c r="D58" s="28">
        <v>0</v>
      </c>
    </row>
    <row r="59" spans="2:4" x14ac:dyDescent="0.2">
      <c r="B59" s="25" t="s">
        <v>98</v>
      </c>
      <c r="C59" s="27">
        <v>1749314</v>
      </c>
      <c r="D59" s="27">
        <v>1772449</v>
      </c>
    </row>
    <row r="60" spans="2:4" x14ac:dyDescent="0.2">
      <c r="B60" s="25" t="s">
        <v>97</v>
      </c>
    </row>
    <row r="61" spans="2:4" x14ac:dyDescent="0.2">
      <c r="B61" s="25" t="s">
        <v>96</v>
      </c>
    </row>
    <row r="62" spans="2:4" x14ac:dyDescent="0.2">
      <c r="B62" s="25" t="s">
        <v>95</v>
      </c>
      <c r="C62" s="27">
        <v>-266045</v>
      </c>
      <c r="D62" s="27">
        <v>-73764</v>
      </c>
    </row>
    <row r="63" spans="2:4" x14ac:dyDescent="0.2">
      <c r="B63" s="25" t="s">
        <v>94</v>
      </c>
      <c r="C63" s="27">
        <v>-705271</v>
      </c>
      <c r="D63" s="27">
        <v>-144084</v>
      </c>
    </row>
    <row r="64" spans="2:4" x14ac:dyDescent="0.2">
      <c r="B64" s="25" t="s">
        <v>93</v>
      </c>
      <c r="C64" s="27">
        <v>73166</v>
      </c>
      <c r="D64" s="27">
        <v>79029</v>
      </c>
    </row>
    <row r="65" spans="2:4" x14ac:dyDescent="0.2">
      <c r="B65" s="25" t="s">
        <v>92</v>
      </c>
      <c r="C65" s="27">
        <v>852562</v>
      </c>
      <c r="D65" s="27">
        <v>1635015</v>
      </c>
    </row>
    <row r="66" spans="2:4" x14ac:dyDescent="0.2">
      <c r="B66" s="25" t="s">
        <v>91</v>
      </c>
      <c r="C66" s="27">
        <v>514301</v>
      </c>
      <c r="D66" s="27">
        <v>702258</v>
      </c>
    </row>
    <row r="67" spans="2:4" x14ac:dyDescent="0.2">
      <c r="B67" s="25" t="s">
        <v>90</v>
      </c>
      <c r="C67" s="27">
        <v>1366863</v>
      </c>
      <c r="D67" s="27">
        <v>2337273</v>
      </c>
    </row>
    <row r="68" spans="2:4" x14ac:dyDescent="0.2">
      <c r="B68" s="25" t="s">
        <v>89</v>
      </c>
      <c r="C68" s="26">
        <v>2589412</v>
      </c>
      <c r="D68" s="26">
        <v>3625127</v>
      </c>
    </row>
  </sheetData>
  <hyperlinks>
    <hyperlink ref="A8" location="Table_Of_Contents!A1" display="Table Of Contents" xr:uid="{1AB99D2F-3969-4181-A947-1291E97A5AE3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D628-0795-4037-BF0A-42980AEAEC89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236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286664</v>
      </c>
      <c r="D17" s="26">
        <v>355642</v>
      </c>
    </row>
    <row r="18" spans="2:4" x14ac:dyDescent="0.2">
      <c r="B18" s="25" t="s">
        <v>235</v>
      </c>
    </row>
    <row r="19" spans="2:4" x14ac:dyDescent="0.2">
      <c r="B19" s="25" t="s">
        <v>135</v>
      </c>
      <c r="C19" s="27">
        <v>101800</v>
      </c>
      <c r="D19" s="27">
        <v>102677</v>
      </c>
    </row>
    <row r="20" spans="2:4" x14ac:dyDescent="0.2">
      <c r="B20" s="25" t="s">
        <v>134</v>
      </c>
      <c r="C20" s="27">
        <v>31121</v>
      </c>
      <c r="D20" s="27">
        <v>34732</v>
      </c>
    </row>
    <row r="21" spans="2:4" x14ac:dyDescent="0.2">
      <c r="B21" s="25" t="s">
        <v>133</v>
      </c>
      <c r="C21" s="27">
        <v>419585</v>
      </c>
      <c r="D21" s="27">
        <v>493051</v>
      </c>
    </row>
    <row r="22" spans="2:4" x14ac:dyDescent="0.2">
      <c r="B22" s="25" t="s">
        <v>132</v>
      </c>
      <c r="C22" s="27">
        <v>13264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234</v>
      </c>
      <c r="C24" s="27">
        <v>10062</v>
      </c>
      <c r="D24" s="27">
        <v>12462</v>
      </c>
    </row>
    <row r="25" spans="2:4" x14ac:dyDescent="0.2">
      <c r="B25" s="25" t="s">
        <v>129</v>
      </c>
      <c r="C25" s="27">
        <v>1584546</v>
      </c>
      <c r="D25" s="27">
        <v>1585750</v>
      </c>
    </row>
    <row r="26" spans="2:4" x14ac:dyDescent="0.2">
      <c r="B26" s="25" t="s">
        <v>128</v>
      </c>
      <c r="C26" s="27">
        <v>1455658</v>
      </c>
      <c r="D26" s="27">
        <v>1484290</v>
      </c>
    </row>
    <row r="27" spans="2:4" x14ac:dyDescent="0.2">
      <c r="B27" s="25" t="s">
        <v>127</v>
      </c>
      <c r="C27" s="27">
        <v>24245</v>
      </c>
      <c r="D27" s="27">
        <v>27029</v>
      </c>
    </row>
    <row r="28" spans="2:4" x14ac:dyDescent="0.2">
      <c r="B28" s="25" t="s">
        <v>126</v>
      </c>
      <c r="C28" s="27">
        <v>16880</v>
      </c>
      <c r="D28" s="27">
        <v>7120</v>
      </c>
    </row>
    <row r="29" spans="2:4" x14ac:dyDescent="0.2">
      <c r="B29" s="25" t="s">
        <v>17</v>
      </c>
      <c r="C29" s="26">
        <v>3524240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5839</v>
      </c>
      <c r="D31" s="26">
        <v>4611</v>
      </c>
    </row>
    <row r="32" spans="2:4" x14ac:dyDescent="0.2">
      <c r="B32" s="25" t="s">
        <v>123</v>
      </c>
      <c r="C32" s="27">
        <v>46702</v>
      </c>
      <c r="D32" s="27">
        <v>48749</v>
      </c>
    </row>
    <row r="33" spans="2:4" x14ac:dyDescent="0.2">
      <c r="B33" s="25" t="s">
        <v>122</v>
      </c>
      <c r="C33" s="27">
        <v>117902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176193</v>
      </c>
      <c r="D35" s="27">
        <v>244909</v>
      </c>
    </row>
    <row r="36" spans="2:4" x14ac:dyDescent="0.2">
      <c r="B36" s="25" t="s">
        <v>119</v>
      </c>
      <c r="C36" s="27">
        <v>613194</v>
      </c>
      <c r="D36" s="27">
        <v>615176</v>
      </c>
    </row>
    <row r="37" spans="2:4" x14ac:dyDescent="0.2">
      <c r="B37" s="25" t="s">
        <v>118</v>
      </c>
      <c r="C37" s="27">
        <v>4521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13011</v>
      </c>
      <c r="D40" s="27">
        <v>14707</v>
      </c>
    </row>
    <row r="41" spans="2:4" x14ac:dyDescent="0.2">
      <c r="B41" s="25" t="s">
        <v>114</v>
      </c>
      <c r="C41" s="27">
        <v>1226242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233</v>
      </c>
    </row>
    <row r="46" spans="2:4" x14ac:dyDescent="0.2">
      <c r="B46" s="25" t="s">
        <v>232</v>
      </c>
    </row>
    <row r="47" spans="2:4" x14ac:dyDescent="0.2">
      <c r="B47" s="25" t="s">
        <v>231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1396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230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229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1771155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227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-77113</v>
      </c>
      <c r="D61" s="27">
        <v>-144084</v>
      </c>
    </row>
    <row r="62" spans="2:4" x14ac:dyDescent="0.2">
      <c r="B62" s="25" t="s">
        <v>93</v>
      </c>
      <c r="C62" s="27">
        <v>76853</v>
      </c>
      <c r="D62" s="27">
        <v>79029</v>
      </c>
    </row>
    <row r="63" spans="2:4" x14ac:dyDescent="0.2">
      <c r="B63" s="25" t="s">
        <v>92</v>
      </c>
      <c r="C63" s="27">
        <v>1652927</v>
      </c>
      <c r="D63" s="27">
        <v>1635015</v>
      </c>
    </row>
    <row r="64" spans="2:4" x14ac:dyDescent="0.2">
      <c r="B64" s="25" t="s">
        <v>91</v>
      </c>
      <c r="C64" s="27">
        <v>645071</v>
      </c>
      <c r="D64" s="27">
        <v>702258</v>
      </c>
    </row>
    <row r="65" spans="2:4" x14ac:dyDescent="0.2">
      <c r="B65" s="25" t="s">
        <v>90</v>
      </c>
      <c r="C65" s="27">
        <v>2297998</v>
      </c>
      <c r="D65" s="27">
        <v>2337273</v>
      </c>
    </row>
    <row r="66" spans="2:4" x14ac:dyDescent="0.2">
      <c r="B66" s="25" t="s">
        <v>89</v>
      </c>
      <c r="C66" s="26">
        <v>3524240</v>
      </c>
      <c r="D66" s="26">
        <v>3625127</v>
      </c>
    </row>
  </sheetData>
  <hyperlinks>
    <hyperlink ref="A8" location="Table_Of_Contents!A1" display="Table Of Contents" xr:uid="{35CD097F-8117-4B0A-A009-FC9FD3DFE516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AEE-F001-4664-8799-520CD7B9042C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257</v>
      </c>
      <c r="D15" s="25" t="s">
        <v>139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262699</v>
      </c>
      <c r="D17" s="26">
        <v>355642</v>
      </c>
    </row>
    <row r="18" spans="2:4" x14ac:dyDescent="0.2">
      <c r="B18" s="25" t="s">
        <v>256</v>
      </c>
    </row>
    <row r="19" spans="2:4" x14ac:dyDescent="0.2">
      <c r="B19" s="25" t="s">
        <v>135</v>
      </c>
      <c r="C19" s="27">
        <v>100685</v>
      </c>
      <c r="D19" s="27">
        <v>102677</v>
      </c>
    </row>
    <row r="20" spans="2:4" x14ac:dyDescent="0.2">
      <c r="B20" s="25" t="s">
        <v>134</v>
      </c>
      <c r="C20" s="27">
        <v>30708</v>
      </c>
      <c r="D20" s="27">
        <v>34732</v>
      </c>
    </row>
    <row r="21" spans="2:4" x14ac:dyDescent="0.2">
      <c r="B21" s="25" t="s">
        <v>133</v>
      </c>
      <c r="C21" s="27">
        <v>394092</v>
      </c>
      <c r="D21" s="27">
        <v>493051</v>
      </c>
    </row>
    <row r="22" spans="2:4" x14ac:dyDescent="0.2">
      <c r="B22" s="25" t="s">
        <v>132</v>
      </c>
      <c r="C22" s="27">
        <v>13989</v>
      </c>
      <c r="D22" s="27">
        <v>15425</v>
      </c>
    </row>
    <row r="23" spans="2:4" x14ac:dyDescent="0.2">
      <c r="B23" s="25" t="s">
        <v>131</v>
      </c>
    </row>
    <row r="24" spans="2:4" x14ac:dyDescent="0.2">
      <c r="B24" s="25" t="s">
        <v>255</v>
      </c>
      <c r="C24" s="27">
        <v>11675</v>
      </c>
      <c r="D24" s="27">
        <v>12462</v>
      </c>
    </row>
    <row r="25" spans="2:4" x14ac:dyDescent="0.2">
      <c r="B25" s="25" t="s">
        <v>129</v>
      </c>
      <c r="C25" s="27">
        <v>1584842</v>
      </c>
      <c r="D25" s="27">
        <v>1585750</v>
      </c>
    </row>
    <row r="26" spans="2:4" x14ac:dyDescent="0.2">
      <c r="B26" s="25" t="s">
        <v>128</v>
      </c>
      <c r="C26" s="27">
        <v>1469690</v>
      </c>
      <c r="D26" s="27">
        <v>1484290</v>
      </c>
    </row>
    <row r="27" spans="2:4" x14ac:dyDescent="0.2">
      <c r="B27" s="25" t="s">
        <v>127</v>
      </c>
      <c r="C27" s="27">
        <v>26009</v>
      </c>
      <c r="D27" s="27">
        <v>27029</v>
      </c>
    </row>
    <row r="28" spans="2:4" x14ac:dyDescent="0.2">
      <c r="B28" s="25" t="s">
        <v>126</v>
      </c>
      <c r="C28" s="27">
        <v>16652</v>
      </c>
      <c r="D28" s="27">
        <v>7120</v>
      </c>
    </row>
    <row r="29" spans="2:4" x14ac:dyDescent="0.2">
      <c r="B29" s="25" t="s">
        <v>17</v>
      </c>
      <c r="C29" s="26">
        <v>3516949</v>
      </c>
      <c r="D29" s="26">
        <v>3625127</v>
      </c>
    </row>
    <row r="30" spans="2:4" x14ac:dyDescent="0.2">
      <c r="B30" s="25" t="s">
        <v>125</v>
      </c>
    </row>
    <row r="31" spans="2:4" x14ac:dyDescent="0.2">
      <c r="B31" s="25" t="s">
        <v>124</v>
      </c>
      <c r="C31" s="26">
        <v>8108</v>
      </c>
      <c r="D31" s="26">
        <v>4611</v>
      </c>
    </row>
    <row r="32" spans="2:4" x14ac:dyDescent="0.2">
      <c r="B32" s="25" t="s">
        <v>123</v>
      </c>
      <c r="C32" s="27">
        <v>46776</v>
      </c>
      <c r="D32" s="27">
        <v>48749</v>
      </c>
    </row>
    <row r="33" spans="2:4" x14ac:dyDescent="0.2">
      <c r="B33" s="25" t="s">
        <v>122</v>
      </c>
      <c r="C33" s="27">
        <v>140539</v>
      </c>
      <c r="D33" s="27">
        <v>185799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201173</v>
      </c>
      <c r="D35" s="27">
        <v>244909</v>
      </c>
    </row>
    <row r="36" spans="2:4" x14ac:dyDescent="0.2">
      <c r="B36" s="25" t="s">
        <v>119</v>
      </c>
      <c r="C36" s="27">
        <v>614181</v>
      </c>
      <c r="D36" s="27">
        <v>615176</v>
      </c>
    </row>
    <row r="37" spans="2:4" x14ac:dyDescent="0.2">
      <c r="B37" s="25" t="s">
        <v>118</v>
      </c>
      <c r="C37" s="27">
        <v>5041</v>
      </c>
      <c r="D37" s="27">
        <v>5673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419323</v>
      </c>
      <c r="D39" s="27">
        <v>407389</v>
      </c>
    </row>
    <row r="40" spans="2:4" x14ac:dyDescent="0.2">
      <c r="B40" s="25" t="s">
        <v>115</v>
      </c>
      <c r="C40" s="27">
        <v>14034</v>
      </c>
      <c r="D40" s="27">
        <v>14707</v>
      </c>
    </row>
    <row r="41" spans="2:4" x14ac:dyDescent="0.2">
      <c r="B41" s="25" t="s">
        <v>114</v>
      </c>
      <c r="C41" s="27">
        <v>1253752</v>
      </c>
      <c r="D41" s="27">
        <v>1287854</v>
      </c>
    </row>
    <row r="42" spans="2:4" x14ac:dyDescent="0.2">
      <c r="B42" s="25" t="s">
        <v>113</v>
      </c>
    </row>
    <row r="43" spans="2:4" x14ac:dyDescent="0.2">
      <c r="B43" s="25" t="s">
        <v>112</v>
      </c>
    </row>
    <row r="44" spans="2:4" x14ac:dyDescent="0.2">
      <c r="B44" s="25" t="s">
        <v>111</v>
      </c>
    </row>
    <row r="45" spans="2:4" x14ac:dyDescent="0.2">
      <c r="B45" s="25" t="s">
        <v>254</v>
      </c>
    </row>
    <row r="46" spans="2:4" x14ac:dyDescent="0.2">
      <c r="B46" s="25" t="s">
        <v>253</v>
      </c>
    </row>
    <row r="47" spans="2:4" x14ac:dyDescent="0.2">
      <c r="B47" s="25" t="s">
        <v>252</v>
      </c>
    </row>
    <row r="48" spans="2:4" x14ac:dyDescent="0.2">
      <c r="B48" s="25" t="s">
        <v>107</v>
      </c>
    </row>
    <row r="49" spans="2:4" x14ac:dyDescent="0.2">
      <c r="B49" s="25" t="s">
        <v>106</v>
      </c>
      <c r="C49" s="27">
        <v>1392</v>
      </c>
      <c r="D49" s="27">
        <v>1385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251</v>
      </c>
    </row>
    <row r="53" spans="2:4" x14ac:dyDescent="0.2">
      <c r="B53" s="25" t="s">
        <v>102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250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1764917</v>
      </c>
      <c r="D58" s="27">
        <v>1772449</v>
      </c>
    </row>
    <row r="59" spans="2:4" x14ac:dyDescent="0.2">
      <c r="B59" s="25" t="s">
        <v>228</v>
      </c>
    </row>
    <row r="60" spans="2:4" x14ac:dyDescent="0.2">
      <c r="B60" s="25" t="s">
        <v>249</v>
      </c>
      <c r="C60" s="27">
        <v>-119364</v>
      </c>
      <c r="D60" s="27">
        <v>-73764</v>
      </c>
    </row>
    <row r="61" spans="2:4" x14ac:dyDescent="0.2">
      <c r="B61" s="25" t="s">
        <v>94</v>
      </c>
      <c r="C61" s="27">
        <v>-119467</v>
      </c>
      <c r="D61" s="27">
        <v>-144084</v>
      </c>
    </row>
    <row r="62" spans="2:4" x14ac:dyDescent="0.2">
      <c r="B62" s="25" t="s">
        <v>93</v>
      </c>
      <c r="C62" s="27">
        <v>76867</v>
      </c>
      <c r="D62" s="27">
        <v>79029</v>
      </c>
    </row>
    <row r="63" spans="2:4" x14ac:dyDescent="0.2">
      <c r="B63" s="25" t="s">
        <v>92</v>
      </c>
      <c r="C63" s="27">
        <v>1604345</v>
      </c>
      <c r="D63" s="27">
        <v>1635015</v>
      </c>
    </row>
    <row r="64" spans="2:4" x14ac:dyDescent="0.2">
      <c r="B64" s="25" t="s">
        <v>91</v>
      </c>
      <c r="C64" s="27">
        <v>658852</v>
      </c>
      <c r="D64" s="27">
        <v>702258</v>
      </c>
    </row>
    <row r="65" spans="2:4" x14ac:dyDescent="0.2">
      <c r="B65" s="25" t="s">
        <v>90</v>
      </c>
      <c r="C65" s="27">
        <v>2263197</v>
      </c>
      <c r="D65" s="27">
        <v>2337273</v>
      </c>
    </row>
    <row r="66" spans="2:4" x14ac:dyDescent="0.2">
      <c r="B66" s="25" t="s">
        <v>89</v>
      </c>
      <c r="C66" s="26">
        <v>3516949</v>
      </c>
      <c r="D66" s="26">
        <v>3625127</v>
      </c>
    </row>
  </sheetData>
  <hyperlinks>
    <hyperlink ref="A8" location="Table_Of_Contents!A1" display="Table Of Contents" xr:uid="{BD908F3C-4CA7-44AA-8145-1419E4B8D319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65E-AC4E-4C22-AC17-21A7A775E047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4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310</v>
      </c>
    </row>
    <row r="7" spans="1:4" x14ac:dyDescent="0.2">
      <c r="A7" s="30" t="s">
        <v>309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241</v>
      </c>
      <c r="D16" s="25" t="s">
        <v>308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439184</v>
      </c>
      <c r="D18" s="26">
        <v>402559</v>
      </c>
    </row>
    <row r="19" spans="2:4" x14ac:dyDescent="0.2">
      <c r="B19" s="25" t="s">
        <v>307</v>
      </c>
      <c r="C19" s="27">
        <v>102007</v>
      </c>
      <c r="D19" s="27">
        <v>66930</v>
      </c>
    </row>
    <row r="20" spans="2:4" x14ac:dyDescent="0.2">
      <c r="B20" s="25" t="s">
        <v>134</v>
      </c>
      <c r="C20" s="27">
        <v>42952</v>
      </c>
      <c r="D20" s="27">
        <v>31882</v>
      </c>
    </row>
    <row r="21" spans="2:4" x14ac:dyDescent="0.2">
      <c r="B21" s="25" t="s">
        <v>133</v>
      </c>
      <c r="C21" s="27">
        <v>584143</v>
      </c>
      <c r="D21" s="27">
        <v>501371</v>
      </c>
    </row>
    <row r="22" spans="2:4" x14ac:dyDescent="0.2">
      <c r="B22" s="25" t="s">
        <v>132</v>
      </c>
      <c r="C22" s="27">
        <v>15537</v>
      </c>
      <c r="D22" s="27">
        <v>17419</v>
      </c>
    </row>
    <row r="23" spans="2:4" x14ac:dyDescent="0.2">
      <c r="B23" s="25" t="s">
        <v>306</v>
      </c>
      <c r="C23" s="27">
        <v>13589</v>
      </c>
      <c r="D23" s="27">
        <v>14467</v>
      </c>
    </row>
    <row r="24" spans="2:4" x14ac:dyDescent="0.2">
      <c r="B24" s="25" t="s">
        <v>129</v>
      </c>
      <c r="C24" s="27">
        <v>1584062</v>
      </c>
      <c r="D24" s="27">
        <v>1579770</v>
      </c>
    </row>
    <row r="25" spans="2:4" x14ac:dyDescent="0.2">
      <c r="B25" s="25" t="s">
        <v>128</v>
      </c>
      <c r="C25" s="27">
        <v>1495791</v>
      </c>
      <c r="D25" s="27">
        <v>1524428</v>
      </c>
    </row>
    <row r="26" spans="2:4" x14ac:dyDescent="0.2">
      <c r="B26" s="25" t="s">
        <v>127</v>
      </c>
      <c r="C26" s="27">
        <v>32379</v>
      </c>
      <c r="D26" s="27">
        <v>24050</v>
      </c>
    </row>
    <row r="27" spans="2:4" x14ac:dyDescent="0.2">
      <c r="B27" s="25" t="s">
        <v>126</v>
      </c>
      <c r="C27" s="27">
        <v>7692</v>
      </c>
      <c r="D27" s="27">
        <v>31116</v>
      </c>
    </row>
    <row r="28" spans="2:4" x14ac:dyDescent="0.2">
      <c r="B28" s="25" t="s">
        <v>17</v>
      </c>
      <c r="C28" s="26">
        <v>3733193</v>
      </c>
      <c r="D28" s="26">
        <v>3692621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5351</v>
      </c>
      <c r="D30" s="26">
        <v>3367</v>
      </c>
    </row>
    <row r="31" spans="2:4" x14ac:dyDescent="0.2">
      <c r="B31" s="25" t="s">
        <v>123</v>
      </c>
      <c r="C31" s="27">
        <v>49305</v>
      </c>
      <c r="D31" s="27">
        <v>46108</v>
      </c>
    </row>
    <row r="32" spans="2:4" x14ac:dyDescent="0.2">
      <c r="B32" s="25" t="s">
        <v>122</v>
      </c>
      <c r="C32" s="27">
        <v>136471</v>
      </c>
      <c r="D32" s="27">
        <v>156443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196877</v>
      </c>
      <c r="D34" s="27">
        <v>211668</v>
      </c>
    </row>
    <row r="35" spans="2:4" x14ac:dyDescent="0.2">
      <c r="B35" s="25" t="s">
        <v>119</v>
      </c>
      <c r="C35" s="27">
        <v>616179</v>
      </c>
      <c r="D35" s="27">
        <v>619223</v>
      </c>
    </row>
    <row r="36" spans="2:4" x14ac:dyDescent="0.2">
      <c r="B36" s="25" t="s">
        <v>118</v>
      </c>
      <c r="C36" s="27">
        <v>8766</v>
      </c>
      <c r="D36" s="27">
        <v>8077</v>
      </c>
    </row>
    <row r="37" spans="2:4" x14ac:dyDescent="0.2">
      <c r="B37" s="25" t="s">
        <v>117</v>
      </c>
    </row>
    <row r="38" spans="2:4" x14ac:dyDescent="0.2">
      <c r="B38" s="25" t="s">
        <v>116</v>
      </c>
      <c r="C38" s="27">
        <v>416754</v>
      </c>
      <c r="D38" s="27">
        <v>385486</v>
      </c>
    </row>
    <row r="39" spans="2:4" x14ac:dyDescent="0.2">
      <c r="B39" s="25" t="s">
        <v>115</v>
      </c>
      <c r="C39" s="27">
        <v>14458</v>
      </c>
      <c r="D39" s="27">
        <v>14588</v>
      </c>
    </row>
    <row r="40" spans="2:4" x14ac:dyDescent="0.2">
      <c r="B40" s="25" t="s">
        <v>114</v>
      </c>
      <c r="C40" s="27">
        <v>1253034</v>
      </c>
      <c r="D40" s="27">
        <v>1239042</v>
      </c>
    </row>
    <row r="41" spans="2:4" x14ac:dyDescent="0.2">
      <c r="B41" s="25" t="s">
        <v>113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305</v>
      </c>
    </row>
    <row r="45" spans="2:4" x14ac:dyDescent="0.2">
      <c r="B45" s="25" t="s">
        <v>304</v>
      </c>
    </row>
    <row r="46" spans="2:4" x14ac:dyDescent="0.2">
      <c r="B46" s="25" t="s">
        <v>303</v>
      </c>
    </row>
    <row r="47" spans="2:4" x14ac:dyDescent="0.2">
      <c r="B47" s="25" t="s">
        <v>302</v>
      </c>
      <c r="C47" s="27">
        <v>1380</v>
      </c>
      <c r="D47" s="27">
        <v>1298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301</v>
      </c>
    </row>
    <row r="51" spans="2:4" x14ac:dyDescent="0.2">
      <c r="B51" s="25" t="s">
        <v>300</v>
      </c>
      <c r="C51" s="28">
        <v>0</v>
      </c>
      <c r="D51" s="28">
        <v>0</v>
      </c>
    </row>
    <row r="52" spans="2:4" x14ac:dyDescent="0.2">
      <c r="B52" s="25" t="s">
        <v>101</v>
      </c>
    </row>
    <row r="53" spans="2:4" x14ac:dyDescent="0.2">
      <c r="B53" s="25" t="s">
        <v>100</v>
      </c>
    </row>
    <row r="54" spans="2:4" x14ac:dyDescent="0.2">
      <c r="B54" s="25" t="s">
        <v>299</v>
      </c>
    </row>
    <row r="55" spans="2:4" x14ac:dyDescent="0.2">
      <c r="B55" s="25" t="s">
        <v>95</v>
      </c>
      <c r="C55" s="28">
        <v>0</v>
      </c>
      <c r="D55" s="28">
        <v>0</v>
      </c>
    </row>
    <row r="56" spans="2:4" x14ac:dyDescent="0.2">
      <c r="B56" s="25" t="s">
        <v>98</v>
      </c>
      <c r="C56" s="27">
        <v>1750233</v>
      </c>
      <c r="D56" s="27">
        <v>1691911</v>
      </c>
    </row>
    <row r="57" spans="2:4" x14ac:dyDescent="0.2">
      <c r="B57" s="25" t="s">
        <v>298</v>
      </c>
    </row>
    <row r="58" spans="2:4" x14ac:dyDescent="0.2">
      <c r="B58" s="25" t="s">
        <v>297</v>
      </c>
    </row>
    <row r="59" spans="2:4" x14ac:dyDescent="0.2">
      <c r="B59" s="25" t="s">
        <v>95</v>
      </c>
      <c r="C59" s="27">
        <v>-15743</v>
      </c>
      <c r="D59" s="28">
        <v>0</v>
      </c>
    </row>
    <row r="60" spans="2:4" x14ac:dyDescent="0.2">
      <c r="B60" s="25" t="s">
        <v>94</v>
      </c>
      <c r="C60" s="27">
        <v>-118058</v>
      </c>
      <c r="D60" s="27">
        <v>-139871</v>
      </c>
    </row>
    <row r="61" spans="2:4" x14ac:dyDescent="0.2">
      <c r="B61" s="25" t="s">
        <v>93</v>
      </c>
      <c r="C61" s="27">
        <v>71911</v>
      </c>
      <c r="D61" s="27">
        <v>74477</v>
      </c>
    </row>
    <row r="62" spans="2:4" x14ac:dyDescent="0.2">
      <c r="B62" s="25" t="s">
        <v>92</v>
      </c>
      <c r="C62" s="27">
        <v>1689723</v>
      </c>
      <c r="D62" s="27">
        <v>1627815</v>
      </c>
    </row>
    <row r="63" spans="2:4" x14ac:dyDescent="0.2">
      <c r="B63" s="25" t="s">
        <v>91</v>
      </c>
      <c r="C63" s="27">
        <v>790436</v>
      </c>
      <c r="D63" s="27">
        <v>825764</v>
      </c>
    </row>
    <row r="64" spans="2:4" x14ac:dyDescent="0.2">
      <c r="B64" s="25" t="s">
        <v>90</v>
      </c>
      <c r="C64" s="27">
        <v>2480159</v>
      </c>
      <c r="D64" s="27">
        <v>2453579</v>
      </c>
    </row>
    <row r="65" spans="2:4" x14ac:dyDescent="0.2">
      <c r="B65" s="25" t="s">
        <v>89</v>
      </c>
      <c r="C65" s="26">
        <v>3733193</v>
      </c>
      <c r="D65" s="26">
        <v>3692621</v>
      </c>
    </row>
  </sheetData>
  <hyperlinks>
    <hyperlink ref="A8" location="Table_Of_Contents!A1" display="Table Of Contents" xr:uid="{5AB8BBAF-328F-4795-817C-D2E61A64F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43D1-AE28-4A88-889F-B502A19D4EC7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1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321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381019</v>
      </c>
      <c r="D17" s="26">
        <v>402559</v>
      </c>
    </row>
    <row r="18" spans="2:4" x14ac:dyDescent="0.2">
      <c r="B18" s="25" t="s">
        <v>307</v>
      </c>
      <c r="C18" s="27">
        <v>98520</v>
      </c>
      <c r="D18" s="27">
        <v>66930</v>
      </c>
    </row>
    <row r="19" spans="2:4" x14ac:dyDescent="0.2">
      <c r="B19" s="25" t="s">
        <v>134</v>
      </c>
      <c r="C19" s="27">
        <v>47406</v>
      </c>
      <c r="D19" s="27">
        <v>31882</v>
      </c>
    </row>
    <row r="20" spans="2:4" x14ac:dyDescent="0.2">
      <c r="B20" s="25" t="s">
        <v>133</v>
      </c>
      <c r="C20" s="27">
        <v>526945</v>
      </c>
      <c r="D20" s="27">
        <v>501371</v>
      </c>
    </row>
    <row r="21" spans="2:4" x14ac:dyDescent="0.2">
      <c r="B21" s="25" t="s">
        <v>132</v>
      </c>
      <c r="C21" s="27">
        <v>16741</v>
      </c>
      <c r="D21" s="27">
        <v>17419</v>
      </c>
    </row>
    <row r="22" spans="2:4" x14ac:dyDescent="0.2">
      <c r="B22" s="25" t="s">
        <v>306</v>
      </c>
      <c r="C22" s="27">
        <v>15654</v>
      </c>
      <c r="D22" s="27">
        <v>14467</v>
      </c>
    </row>
    <row r="23" spans="2:4" x14ac:dyDescent="0.2">
      <c r="B23" s="25" t="s">
        <v>129</v>
      </c>
      <c r="C23" s="27">
        <v>1585281</v>
      </c>
      <c r="D23" s="27">
        <v>1579770</v>
      </c>
    </row>
    <row r="24" spans="2:4" x14ac:dyDescent="0.2">
      <c r="B24" s="25" t="s">
        <v>128</v>
      </c>
      <c r="C24" s="27">
        <v>1508036</v>
      </c>
      <c r="D24" s="27">
        <v>1524428</v>
      </c>
    </row>
    <row r="25" spans="2:4" x14ac:dyDescent="0.2">
      <c r="B25" s="25" t="s">
        <v>127</v>
      </c>
      <c r="C25" s="27">
        <v>31507</v>
      </c>
      <c r="D25" s="27">
        <v>24050</v>
      </c>
    </row>
    <row r="26" spans="2:4" x14ac:dyDescent="0.2">
      <c r="B26" s="25" t="s">
        <v>126</v>
      </c>
      <c r="C26" s="27">
        <v>8133</v>
      </c>
      <c r="D26" s="27">
        <v>31116</v>
      </c>
    </row>
    <row r="27" spans="2:4" x14ac:dyDescent="0.2">
      <c r="B27" s="25" t="s">
        <v>17</v>
      </c>
      <c r="C27" s="26">
        <v>3692297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8372</v>
      </c>
      <c r="D29" s="26">
        <v>3367</v>
      </c>
    </row>
    <row r="30" spans="2:4" x14ac:dyDescent="0.2">
      <c r="B30" s="25" t="s">
        <v>123</v>
      </c>
      <c r="C30" s="27">
        <v>48110</v>
      </c>
      <c r="D30" s="27">
        <v>46108</v>
      </c>
    </row>
    <row r="31" spans="2:4" x14ac:dyDescent="0.2">
      <c r="B31" s="25" t="s">
        <v>122</v>
      </c>
      <c r="C31" s="27">
        <v>124309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186541</v>
      </c>
      <c r="D33" s="27">
        <v>211668</v>
      </c>
    </row>
    <row r="34" spans="2:4" x14ac:dyDescent="0.2">
      <c r="B34" s="25" t="s">
        <v>119</v>
      </c>
      <c r="C34" s="27">
        <v>617189</v>
      </c>
      <c r="D34" s="27">
        <v>619223</v>
      </c>
    </row>
    <row r="35" spans="2:4" x14ac:dyDescent="0.2">
      <c r="B35" s="25" t="s">
        <v>118</v>
      </c>
      <c r="C35" s="27">
        <v>10718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14763</v>
      </c>
      <c r="D38" s="27">
        <v>14588</v>
      </c>
    </row>
    <row r="39" spans="2:4" x14ac:dyDescent="0.2">
      <c r="B39" s="25" t="s">
        <v>114</v>
      </c>
      <c r="C39" s="27">
        <v>1245965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319</v>
      </c>
    </row>
    <row r="44" spans="2:4" x14ac:dyDescent="0.2">
      <c r="B44" s="25" t="s">
        <v>318</v>
      </c>
    </row>
    <row r="45" spans="2:4" x14ac:dyDescent="0.2">
      <c r="B45" s="25" t="s">
        <v>317</v>
      </c>
    </row>
    <row r="46" spans="2:4" x14ac:dyDescent="0.2">
      <c r="B46" s="25" t="s">
        <v>316</v>
      </c>
      <c r="C46" s="27">
        <v>1378</v>
      </c>
      <c r="D46" s="27">
        <v>1298</v>
      </c>
    </row>
    <row r="47" spans="2:4" x14ac:dyDescent="0.2">
      <c r="B47" s="25" t="s">
        <v>105</v>
      </c>
    </row>
    <row r="48" spans="2:4" x14ac:dyDescent="0.2">
      <c r="B48" s="25" t="s">
        <v>104</v>
      </c>
    </row>
    <row r="49" spans="2:4" x14ac:dyDescent="0.2">
      <c r="B49" s="25" t="s">
        <v>315</v>
      </c>
    </row>
    <row r="50" spans="2:4" x14ac:dyDescent="0.2">
      <c r="B50" s="25" t="s">
        <v>300</v>
      </c>
      <c r="C50" s="28">
        <v>0</v>
      </c>
      <c r="D50" s="28">
        <v>0</v>
      </c>
    </row>
    <row r="51" spans="2:4" x14ac:dyDescent="0.2">
      <c r="B51" s="25" t="s">
        <v>101</v>
      </c>
    </row>
    <row r="52" spans="2:4" x14ac:dyDescent="0.2">
      <c r="B52" s="25" t="s">
        <v>100</v>
      </c>
    </row>
    <row r="53" spans="2:4" x14ac:dyDescent="0.2">
      <c r="B53" s="25" t="s">
        <v>314</v>
      </c>
    </row>
    <row r="54" spans="2:4" x14ac:dyDescent="0.2">
      <c r="B54" s="25" t="s">
        <v>95</v>
      </c>
      <c r="C54" s="28">
        <v>0</v>
      </c>
      <c r="D54" s="28">
        <v>0</v>
      </c>
    </row>
    <row r="55" spans="2:4" x14ac:dyDescent="0.2">
      <c r="B55" s="25" t="s">
        <v>98</v>
      </c>
      <c r="C55" s="27">
        <v>1735792</v>
      </c>
      <c r="D55" s="27">
        <v>1691911</v>
      </c>
    </row>
    <row r="56" spans="2:4" x14ac:dyDescent="0.2">
      <c r="B56" s="25" t="s">
        <v>313</v>
      </c>
    </row>
    <row r="57" spans="2:4" x14ac:dyDescent="0.2">
      <c r="B57" s="25" t="s">
        <v>312</v>
      </c>
      <c r="C57" s="27">
        <v>-15743</v>
      </c>
      <c r="D57" s="28">
        <v>0</v>
      </c>
    </row>
    <row r="58" spans="2:4" x14ac:dyDescent="0.2">
      <c r="B58" s="25" t="s">
        <v>94</v>
      </c>
      <c r="C58" s="27">
        <v>-134729</v>
      </c>
      <c r="D58" s="27">
        <v>-139871</v>
      </c>
    </row>
    <row r="59" spans="2:4" x14ac:dyDescent="0.2">
      <c r="B59" s="25" t="s">
        <v>93</v>
      </c>
      <c r="C59" s="27">
        <v>78606</v>
      </c>
      <c r="D59" s="27">
        <v>74477</v>
      </c>
    </row>
    <row r="60" spans="2:4" x14ac:dyDescent="0.2">
      <c r="B60" s="25" t="s">
        <v>92</v>
      </c>
      <c r="C60" s="27">
        <v>1665304</v>
      </c>
      <c r="D60" s="27">
        <v>1627815</v>
      </c>
    </row>
    <row r="61" spans="2:4" x14ac:dyDescent="0.2">
      <c r="B61" s="25" t="s">
        <v>91</v>
      </c>
      <c r="C61" s="27">
        <v>781028</v>
      </c>
      <c r="D61" s="27">
        <v>825764</v>
      </c>
    </row>
    <row r="62" spans="2:4" x14ac:dyDescent="0.2">
      <c r="B62" s="25" t="s">
        <v>90</v>
      </c>
      <c r="C62" s="27">
        <v>2446332</v>
      </c>
      <c r="D62" s="27">
        <v>2453579</v>
      </c>
    </row>
    <row r="63" spans="2:4" x14ac:dyDescent="0.2">
      <c r="B63" s="25" t="s">
        <v>89</v>
      </c>
      <c r="C63" s="26">
        <v>3692297</v>
      </c>
      <c r="D63" s="26">
        <v>3692621</v>
      </c>
    </row>
  </sheetData>
  <hyperlinks>
    <hyperlink ref="A8" location="Table_Of_Contents!A1" display="Table Of Contents" xr:uid="{678926AC-15F7-40DF-B95B-446861A001C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2AA-4B77-43EA-95BA-A72424C7CD7C}">
  <dimension ref="A1:D6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3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332</v>
      </c>
      <c r="D15" s="25" t="s">
        <v>308</v>
      </c>
    </row>
    <row r="16" spans="1:4" x14ac:dyDescent="0.2">
      <c r="B16" s="25" t="s">
        <v>138</v>
      </c>
    </row>
    <row r="17" spans="2:4" x14ac:dyDescent="0.2">
      <c r="B17" s="25" t="s">
        <v>137</v>
      </c>
      <c r="C17" s="26">
        <v>388955</v>
      </c>
      <c r="D17" s="26">
        <v>402559</v>
      </c>
    </row>
    <row r="18" spans="2:4" x14ac:dyDescent="0.2">
      <c r="B18" s="25" t="s">
        <v>307</v>
      </c>
      <c r="C18" s="27">
        <v>92817</v>
      </c>
      <c r="D18" s="27">
        <v>66930</v>
      </c>
    </row>
    <row r="19" spans="2:4" x14ac:dyDescent="0.2">
      <c r="B19" s="25" t="s">
        <v>134</v>
      </c>
      <c r="C19" s="27">
        <v>39248</v>
      </c>
      <c r="D19" s="27">
        <v>31882</v>
      </c>
    </row>
    <row r="20" spans="2:4" x14ac:dyDescent="0.2">
      <c r="B20" s="25" t="s">
        <v>133</v>
      </c>
      <c r="C20" s="27">
        <v>521020</v>
      </c>
      <c r="D20" s="27">
        <v>501371</v>
      </c>
    </row>
    <row r="21" spans="2:4" x14ac:dyDescent="0.2">
      <c r="B21" s="25" t="s">
        <v>132</v>
      </c>
      <c r="C21" s="27">
        <v>17125</v>
      </c>
      <c r="D21" s="27">
        <v>17419</v>
      </c>
    </row>
    <row r="22" spans="2:4" x14ac:dyDescent="0.2">
      <c r="B22" s="25" t="s">
        <v>306</v>
      </c>
      <c r="C22" s="27">
        <v>17300</v>
      </c>
      <c r="D22" s="27">
        <v>14467</v>
      </c>
    </row>
    <row r="23" spans="2:4" x14ac:dyDescent="0.2">
      <c r="B23" s="25" t="s">
        <v>129</v>
      </c>
      <c r="C23" s="27">
        <v>1580516</v>
      </c>
      <c r="D23" s="27">
        <v>1579770</v>
      </c>
    </row>
    <row r="24" spans="2:4" x14ac:dyDescent="0.2">
      <c r="B24" s="25" t="s">
        <v>128</v>
      </c>
      <c r="C24" s="27">
        <v>1513375</v>
      </c>
      <c r="D24" s="27">
        <v>1524428</v>
      </c>
    </row>
    <row r="25" spans="2:4" x14ac:dyDescent="0.2">
      <c r="B25" s="25" t="s">
        <v>127</v>
      </c>
      <c r="C25" s="27">
        <v>26725</v>
      </c>
      <c r="D25" s="27">
        <v>24050</v>
      </c>
    </row>
    <row r="26" spans="2:4" x14ac:dyDescent="0.2">
      <c r="B26" s="25" t="s">
        <v>126</v>
      </c>
      <c r="C26" s="27">
        <v>26531</v>
      </c>
      <c r="D26" s="27">
        <v>31116</v>
      </c>
    </row>
    <row r="27" spans="2:4" x14ac:dyDescent="0.2">
      <c r="B27" s="25" t="s">
        <v>17</v>
      </c>
      <c r="C27" s="26">
        <v>3702592</v>
      </c>
      <c r="D27" s="26">
        <v>3692621</v>
      </c>
    </row>
    <row r="28" spans="2:4" x14ac:dyDescent="0.2">
      <c r="B28" s="25" t="s">
        <v>125</v>
      </c>
    </row>
    <row r="29" spans="2:4" x14ac:dyDescent="0.2">
      <c r="B29" s="25" t="s">
        <v>124</v>
      </c>
      <c r="C29" s="26">
        <v>9324</v>
      </c>
      <c r="D29" s="26">
        <v>3367</v>
      </c>
    </row>
    <row r="30" spans="2:4" x14ac:dyDescent="0.2">
      <c r="B30" s="25" t="s">
        <v>123</v>
      </c>
      <c r="C30" s="27">
        <v>47129</v>
      </c>
      <c r="D30" s="27">
        <v>46108</v>
      </c>
    </row>
    <row r="31" spans="2:4" x14ac:dyDescent="0.2">
      <c r="B31" s="25" t="s">
        <v>122</v>
      </c>
      <c r="C31" s="27">
        <v>146353</v>
      </c>
      <c r="D31" s="27">
        <v>156443</v>
      </c>
    </row>
    <row r="32" spans="2:4" x14ac:dyDescent="0.2">
      <c r="B32" s="25" t="s">
        <v>121</v>
      </c>
      <c r="C32" s="27">
        <v>5750</v>
      </c>
      <c r="D32" s="27">
        <v>5750</v>
      </c>
    </row>
    <row r="33" spans="2:4" x14ac:dyDescent="0.2">
      <c r="B33" s="25" t="s">
        <v>120</v>
      </c>
      <c r="C33" s="27">
        <v>208556</v>
      </c>
      <c r="D33" s="27">
        <v>211668</v>
      </c>
    </row>
    <row r="34" spans="2:4" x14ac:dyDescent="0.2">
      <c r="B34" s="25" t="s">
        <v>119</v>
      </c>
      <c r="C34" s="27">
        <v>618205</v>
      </c>
      <c r="D34" s="27">
        <v>619223</v>
      </c>
    </row>
    <row r="35" spans="2:4" x14ac:dyDescent="0.2">
      <c r="B35" s="25" t="s">
        <v>118</v>
      </c>
      <c r="C35" s="27">
        <v>7689</v>
      </c>
      <c r="D35" s="27">
        <v>8077</v>
      </c>
    </row>
    <row r="36" spans="2:4" x14ac:dyDescent="0.2">
      <c r="B36" s="25" t="s">
        <v>117</v>
      </c>
    </row>
    <row r="37" spans="2:4" x14ac:dyDescent="0.2">
      <c r="B37" s="25" t="s">
        <v>116</v>
      </c>
      <c r="C37" s="27">
        <v>416754</v>
      </c>
      <c r="D37" s="27">
        <v>385486</v>
      </c>
    </row>
    <row r="38" spans="2:4" x14ac:dyDescent="0.2">
      <c r="B38" s="25" t="s">
        <v>115</v>
      </c>
      <c r="C38" s="27">
        <v>14692</v>
      </c>
      <c r="D38" s="27">
        <v>14588</v>
      </c>
    </row>
    <row r="39" spans="2:4" x14ac:dyDescent="0.2">
      <c r="B39" s="25" t="s">
        <v>114</v>
      </c>
      <c r="C39" s="27">
        <v>1265896</v>
      </c>
      <c r="D39" s="27">
        <v>1239042</v>
      </c>
    </row>
    <row r="40" spans="2:4" x14ac:dyDescent="0.2">
      <c r="B40" s="25" t="s">
        <v>113</v>
      </c>
    </row>
    <row r="41" spans="2:4" x14ac:dyDescent="0.2">
      <c r="B41" s="25" t="s">
        <v>320</v>
      </c>
    </row>
    <row r="42" spans="2:4" x14ac:dyDescent="0.2">
      <c r="B42" s="25" t="s">
        <v>111</v>
      </c>
    </row>
    <row r="43" spans="2:4" x14ac:dyDescent="0.2">
      <c r="B43" s="25" t="s">
        <v>331</v>
      </c>
    </row>
    <row r="44" spans="2:4" x14ac:dyDescent="0.2">
      <c r="B44" s="25" t="s">
        <v>330</v>
      </c>
    </row>
    <row r="45" spans="2:4" x14ac:dyDescent="0.2">
      <c r="B45" s="25" t="s">
        <v>329</v>
      </c>
      <c r="C45" s="27">
        <v>1376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328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101</v>
      </c>
    </row>
    <row r="51" spans="2:4" x14ac:dyDescent="0.2">
      <c r="B51" s="25" t="s">
        <v>100</v>
      </c>
    </row>
    <row r="52" spans="2:4" x14ac:dyDescent="0.2">
      <c r="B52" s="25" t="s">
        <v>327</v>
      </c>
    </row>
    <row r="53" spans="2:4" x14ac:dyDescent="0.2">
      <c r="B53" s="25" t="s">
        <v>95</v>
      </c>
      <c r="C53" s="28">
        <v>0</v>
      </c>
      <c r="D53" s="28">
        <v>0</v>
      </c>
    </row>
    <row r="54" spans="2:4" x14ac:dyDescent="0.2">
      <c r="B54" s="25" t="s">
        <v>98</v>
      </c>
      <c r="C54" s="27">
        <v>1787802</v>
      </c>
      <c r="D54" s="27">
        <v>1691911</v>
      </c>
    </row>
    <row r="55" spans="2:4" x14ac:dyDescent="0.2">
      <c r="B55" s="25" t="s">
        <v>94</v>
      </c>
      <c r="C55" s="27">
        <v>-141482</v>
      </c>
      <c r="D55" s="27">
        <v>-139871</v>
      </c>
    </row>
    <row r="56" spans="2:4" x14ac:dyDescent="0.2">
      <c r="B56" s="25" t="s">
        <v>93</v>
      </c>
      <c r="C56" s="27">
        <v>76511</v>
      </c>
      <c r="D56" s="27">
        <v>74477</v>
      </c>
    </row>
    <row r="57" spans="2:4" x14ac:dyDescent="0.2">
      <c r="B57" s="25" t="s">
        <v>92</v>
      </c>
      <c r="C57" s="27">
        <v>1724207</v>
      </c>
      <c r="D57" s="27">
        <v>1627815</v>
      </c>
    </row>
    <row r="58" spans="2:4" x14ac:dyDescent="0.2">
      <c r="B58" s="25" t="s">
        <v>91</v>
      </c>
      <c r="C58" s="27">
        <v>712489</v>
      </c>
      <c r="D58" s="27">
        <v>825764</v>
      </c>
    </row>
    <row r="59" spans="2:4" x14ac:dyDescent="0.2">
      <c r="B59" s="25" t="s">
        <v>90</v>
      </c>
      <c r="C59" s="27">
        <v>2436696</v>
      </c>
      <c r="D59" s="27">
        <v>2453579</v>
      </c>
    </row>
    <row r="60" spans="2:4" x14ac:dyDescent="0.2">
      <c r="B60" s="25" t="s">
        <v>89</v>
      </c>
      <c r="C60" s="26">
        <v>3702592</v>
      </c>
      <c r="D60" s="26">
        <v>3692621</v>
      </c>
    </row>
  </sheetData>
  <hyperlinks>
    <hyperlink ref="A8" location="Table_Of_Contents!A1" display="Table Of Contents" xr:uid="{0E491B44-F3B2-4A57-B0AA-20B3C8EBC512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4EA-46BF-4A42-AC08-331A04BFA8B1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3" width="18" style="25" customWidth="1" outlineLevel="7"/>
    <col min="4" max="4" width="21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356</v>
      </c>
    </row>
    <row r="7" spans="1:4" x14ac:dyDescent="0.2">
      <c r="A7" s="30" t="s">
        <v>355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145</v>
      </c>
      <c r="C11" s="25" t="s">
        <v>141</v>
      </c>
    </row>
    <row r="12" spans="1:4" x14ac:dyDescent="0.2">
      <c r="B12" s="32" t="s">
        <v>144</v>
      </c>
      <c r="C12" s="25" t="s">
        <v>141</v>
      </c>
    </row>
    <row r="13" spans="1:4" x14ac:dyDescent="0.2">
      <c r="B13" s="32" t="s">
        <v>143</v>
      </c>
      <c r="C13" s="25" t="s">
        <v>141</v>
      </c>
    </row>
    <row r="15" spans="1:4" x14ac:dyDescent="0.2">
      <c r="B15" s="25" t="s">
        <v>141</v>
      </c>
      <c r="C15" s="25" t="s">
        <v>142</v>
      </c>
    </row>
    <row r="16" spans="1:4" x14ac:dyDescent="0.2">
      <c r="B16" s="25" t="s">
        <v>141</v>
      </c>
      <c r="C16" s="25" t="s">
        <v>325</v>
      </c>
      <c r="D16" s="25" t="s">
        <v>354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365105</v>
      </c>
      <c r="D18" s="26">
        <v>369175</v>
      </c>
    </row>
    <row r="19" spans="2:4" x14ac:dyDescent="0.2">
      <c r="B19" s="25" t="s">
        <v>353</v>
      </c>
      <c r="C19" s="27">
        <v>56524</v>
      </c>
      <c r="D19" s="27">
        <v>47538</v>
      </c>
    </row>
    <row r="20" spans="2:4" x14ac:dyDescent="0.2">
      <c r="B20" s="25" t="s">
        <v>134</v>
      </c>
      <c r="C20" s="27">
        <v>30384</v>
      </c>
      <c r="D20" s="27">
        <v>52751</v>
      </c>
    </row>
    <row r="21" spans="2:4" x14ac:dyDescent="0.2">
      <c r="B21" s="25" t="s">
        <v>133</v>
      </c>
      <c r="C21" s="27">
        <v>452013</v>
      </c>
      <c r="D21" s="27">
        <v>469464</v>
      </c>
    </row>
    <row r="22" spans="2:4" x14ac:dyDescent="0.2">
      <c r="B22" s="25" t="s">
        <v>132</v>
      </c>
      <c r="C22" s="27">
        <v>19784</v>
      </c>
      <c r="D22" s="27">
        <v>26410</v>
      </c>
    </row>
    <row r="23" spans="2:4" x14ac:dyDescent="0.2">
      <c r="B23" s="25" t="s">
        <v>306</v>
      </c>
      <c r="C23" s="27">
        <v>12973</v>
      </c>
      <c r="D23" s="27">
        <v>14627</v>
      </c>
    </row>
    <row r="24" spans="2:4" x14ac:dyDescent="0.2">
      <c r="B24" s="25" t="s">
        <v>129</v>
      </c>
      <c r="C24" s="27">
        <v>1576266</v>
      </c>
      <c r="D24" s="27">
        <v>1540112</v>
      </c>
    </row>
    <row r="25" spans="2:4" x14ac:dyDescent="0.2">
      <c r="B25" s="25" t="s">
        <v>128</v>
      </c>
      <c r="C25" s="27">
        <v>1673776</v>
      </c>
      <c r="D25" s="27">
        <v>1696798</v>
      </c>
    </row>
    <row r="26" spans="2:4" x14ac:dyDescent="0.2">
      <c r="B26" s="25" t="s">
        <v>127</v>
      </c>
      <c r="C26" s="27">
        <v>23106</v>
      </c>
      <c r="D26" s="27">
        <v>19572</v>
      </c>
    </row>
    <row r="27" spans="2:4" x14ac:dyDescent="0.2">
      <c r="B27" s="25" t="s">
        <v>126</v>
      </c>
      <c r="C27" s="27">
        <v>34920</v>
      </c>
      <c r="D27" s="27">
        <v>10013</v>
      </c>
    </row>
    <row r="28" spans="2:4" x14ac:dyDescent="0.2">
      <c r="B28" s="25" t="s">
        <v>17</v>
      </c>
      <c r="C28" s="26">
        <v>3792838</v>
      </c>
      <c r="D28" s="26">
        <v>3776996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10504</v>
      </c>
      <c r="D31" s="26">
        <v>19169</v>
      </c>
    </row>
    <row r="32" spans="2:4" x14ac:dyDescent="0.2">
      <c r="B32" s="25" t="s">
        <v>123</v>
      </c>
      <c r="C32" s="27">
        <v>44898</v>
      </c>
      <c r="D32" s="27">
        <v>39569</v>
      </c>
    </row>
    <row r="33" spans="2:4" x14ac:dyDescent="0.2">
      <c r="B33" s="25" t="s">
        <v>122</v>
      </c>
      <c r="C33" s="27">
        <v>78477</v>
      </c>
      <c r="D33" s="27">
        <v>111482</v>
      </c>
    </row>
    <row r="34" spans="2:4" x14ac:dyDescent="0.2">
      <c r="B34" s="25" t="s">
        <v>121</v>
      </c>
      <c r="C34" s="27">
        <v>5750</v>
      </c>
      <c r="D34" s="27">
        <v>5750</v>
      </c>
    </row>
    <row r="35" spans="2:4" x14ac:dyDescent="0.2">
      <c r="B35" s="25" t="s">
        <v>120</v>
      </c>
      <c r="C35" s="27">
        <v>139629</v>
      </c>
      <c r="D35" s="27">
        <v>175970</v>
      </c>
    </row>
    <row r="36" spans="2:4" x14ac:dyDescent="0.2">
      <c r="B36" s="25" t="s">
        <v>119</v>
      </c>
      <c r="C36" s="27">
        <v>620239</v>
      </c>
      <c r="D36" s="27">
        <v>623231</v>
      </c>
    </row>
    <row r="37" spans="2:4" x14ac:dyDescent="0.2">
      <c r="B37" s="25" t="s">
        <v>118</v>
      </c>
      <c r="C37" s="27">
        <v>9398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115</v>
      </c>
      <c r="C40" s="27">
        <v>72288</v>
      </c>
      <c r="D40" s="27">
        <v>119246</v>
      </c>
    </row>
    <row r="41" spans="2:4" x14ac:dyDescent="0.2">
      <c r="B41" s="25" t="s">
        <v>114</v>
      </c>
      <c r="C41" s="27">
        <v>1230534</v>
      </c>
      <c r="D41" s="27">
        <v>1307227</v>
      </c>
    </row>
    <row r="42" spans="2:4" x14ac:dyDescent="0.2">
      <c r="B42" s="25" t="s">
        <v>350</v>
      </c>
    </row>
    <row r="43" spans="2:4" x14ac:dyDescent="0.2">
      <c r="B43" s="25" t="s">
        <v>349</v>
      </c>
    </row>
    <row r="44" spans="2:4" x14ac:dyDescent="0.2">
      <c r="B44" s="25" t="s">
        <v>348</v>
      </c>
    </row>
    <row r="45" spans="2:4" x14ac:dyDescent="0.2">
      <c r="B45" s="25" t="s">
        <v>111</v>
      </c>
    </row>
    <row r="46" spans="2:4" x14ac:dyDescent="0.2">
      <c r="B46" s="25" t="s">
        <v>347</v>
      </c>
    </row>
    <row r="47" spans="2:4" x14ac:dyDescent="0.2">
      <c r="B47" s="25" t="s">
        <v>346</v>
      </c>
    </row>
    <row r="48" spans="2:4" x14ac:dyDescent="0.2">
      <c r="B48" s="25" t="s">
        <v>345</v>
      </c>
    </row>
    <row r="49" spans="2:4" x14ac:dyDescent="0.2">
      <c r="B49" s="25" t="s">
        <v>95</v>
      </c>
      <c r="C49" s="27">
        <v>1297</v>
      </c>
      <c r="D49" s="27">
        <v>1292</v>
      </c>
    </row>
    <row r="50" spans="2:4" x14ac:dyDescent="0.2">
      <c r="B50" s="25" t="s">
        <v>105</v>
      </c>
    </row>
    <row r="51" spans="2:4" x14ac:dyDescent="0.2">
      <c r="B51" s="25" t="s">
        <v>104</v>
      </c>
    </row>
    <row r="52" spans="2:4" x14ac:dyDescent="0.2">
      <c r="B52" s="25" t="s">
        <v>344</v>
      </c>
    </row>
    <row r="53" spans="2:4" x14ac:dyDescent="0.2">
      <c r="B53" s="25" t="s">
        <v>343</v>
      </c>
      <c r="C53" s="28">
        <v>0</v>
      </c>
      <c r="D53" s="28">
        <v>0</v>
      </c>
    </row>
    <row r="54" spans="2:4" x14ac:dyDescent="0.2">
      <c r="B54" s="25" t="s">
        <v>101</v>
      </c>
    </row>
    <row r="55" spans="2:4" x14ac:dyDescent="0.2">
      <c r="B55" s="25" t="s">
        <v>100</v>
      </c>
    </row>
    <row r="56" spans="2:4" x14ac:dyDescent="0.2">
      <c r="B56" s="25" t="s">
        <v>342</v>
      </c>
    </row>
    <row r="57" spans="2:4" x14ac:dyDescent="0.2">
      <c r="B57" s="25" t="s">
        <v>95</v>
      </c>
      <c r="C57" s="28">
        <v>0</v>
      </c>
      <c r="D57" s="28">
        <v>0</v>
      </c>
    </row>
    <row r="58" spans="2:4" x14ac:dyDescent="0.2">
      <c r="B58" s="25" t="s">
        <v>98</v>
      </c>
      <c r="C58" s="27">
        <v>1661410</v>
      </c>
      <c r="D58" s="27">
        <v>1588426</v>
      </c>
    </row>
    <row r="59" spans="2:4" x14ac:dyDescent="0.2">
      <c r="B59" s="25" t="s">
        <v>94</v>
      </c>
      <c r="C59" s="27">
        <v>-29301</v>
      </c>
      <c r="D59" s="27">
        <v>-60125</v>
      </c>
    </row>
    <row r="60" spans="2:4" x14ac:dyDescent="0.2">
      <c r="B60" s="25" t="s">
        <v>93</v>
      </c>
      <c r="C60" s="27">
        <v>62075</v>
      </c>
      <c r="D60" s="27">
        <v>78603</v>
      </c>
    </row>
    <row r="61" spans="2:4" x14ac:dyDescent="0.2">
      <c r="B61" s="25" t="s">
        <v>341</v>
      </c>
    </row>
    <row r="62" spans="2:4" x14ac:dyDescent="0.2">
      <c r="B62" s="25" t="s">
        <v>340</v>
      </c>
      <c r="C62" s="27">
        <v>1695481</v>
      </c>
      <c r="D62" s="27">
        <v>1608196</v>
      </c>
    </row>
    <row r="63" spans="2:4" x14ac:dyDescent="0.2">
      <c r="B63" s="25" t="s">
        <v>91</v>
      </c>
      <c r="C63" s="27">
        <v>866823</v>
      </c>
      <c r="D63" s="27">
        <v>861573</v>
      </c>
    </row>
    <row r="64" spans="2:4" x14ac:dyDescent="0.2">
      <c r="B64" s="25" t="s">
        <v>339</v>
      </c>
      <c r="C64" s="27">
        <v>2562304</v>
      </c>
      <c r="D64" s="27">
        <v>2469769</v>
      </c>
    </row>
    <row r="65" spans="2:4" x14ac:dyDescent="0.2">
      <c r="B65" s="25" t="s">
        <v>338</v>
      </c>
      <c r="C65" s="26">
        <v>3792838</v>
      </c>
      <c r="D65" s="26">
        <v>3776996</v>
      </c>
    </row>
  </sheetData>
  <hyperlinks>
    <hyperlink ref="A8" location="Table_Of_Contents!A1" display="Table Of Contents" xr:uid="{F7483816-3155-41DD-8299-8DFECBC8453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3F2-9A89-45C0-8C86-3BBDCB3F7766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385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334645</v>
      </c>
      <c r="D18" s="26">
        <v>369175</v>
      </c>
    </row>
    <row r="19" spans="2:4" x14ac:dyDescent="0.2">
      <c r="B19" s="25" t="s">
        <v>209</v>
      </c>
      <c r="C19" s="27">
        <v>54729</v>
      </c>
      <c r="D19" s="27">
        <v>47538</v>
      </c>
    </row>
    <row r="20" spans="2:4" x14ac:dyDescent="0.2">
      <c r="B20" s="25" t="s">
        <v>134</v>
      </c>
      <c r="C20" s="27">
        <v>28319</v>
      </c>
      <c r="D20" s="27">
        <v>52751</v>
      </c>
    </row>
    <row r="21" spans="2:4" x14ac:dyDescent="0.2">
      <c r="B21" s="25" t="s">
        <v>133</v>
      </c>
      <c r="C21" s="27">
        <v>417693</v>
      </c>
      <c r="D21" s="27">
        <v>469464</v>
      </c>
    </row>
    <row r="22" spans="2:4" x14ac:dyDescent="0.2">
      <c r="B22" s="25" t="s">
        <v>132</v>
      </c>
      <c r="C22" s="27">
        <v>20469</v>
      </c>
      <c r="D22" s="27">
        <v>26410</v>
      </c>
    </row>
    <row r="23" spans="2:4" x14ac:dyDescent="0.2">
      <c r="B23" s="25" t="s">
        <v>306</v>
      </c>
      <c r="C23" s="27">
        <v>13501</v>
      </c>
      <c r="D23" s="27">
        <v>14627</v>
      </c>
    </row>
    <row r="24" spans="2:4" x14ac:dyDescent="0.2">
      <c r="B24" s="25" t="s">
        <v>129</v>
      </c>
      <c r="C24" s="27">
        <v>1579050</v>
      </c>
      <c r="D24" s="27">
        <v>1540112</v>
      </c>
    </row>
    <row r="25" spans="2:4" x14ac:dyDescent="0.2">
      <c r="B25" s="25" t="s">
        <v>128</v>
      </c>
      <c r="C25" s="27">
        <v>1691881</v>
      </c>
      <c r="D25" s="27">
        <v>1696798</v>
      </c>
    </row>
    <row r="26" spans="2:4" x14ac:dyDescent="0.2">
      <c r="B26" s="25" t="s">
        <v>127</v>
      </c>
      <c r="C26" s="27">
        <v>22365</v>
      </c>
      <c r="D26" s="27">
        <v>19090</v>
      </c>
    </row>
    <row r="27" spans="2:4" x14ac:dyDescent="0.2">
      <c r="B27" s="25" t="s">
        <v>126</v>
      </c>
      <c r="C27" s="27">
        <v>22860</v>
      </c>
      <c r="D27" s="27">
        <v>9319</v>
      </c>
    </row>
    <row r="28" spans="2:4" x14ac:dyDescent="0.2">
      <c r="B28" s="25" t="s">
        <v>17</v>
      </c>
      <c r="C28" s="26">
        <v>3767819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10125</v>
      </c>
      <c r="D31" s="26">
        <v>19169</v>
      </c>
    </row>
    <row r="32" spans="2:4" x14ac:dyDescent="0.2">
      <c r="B32" s="25" t="s">
        <v>123</v>
      </c>
      <c r="C32" s="27">
        <v>44470</v>
      </c>
      <c r="D32" s="27">
        <v>39924</v>
      </c>
    </row>
    <row r="33" spans="2:4" x14ac:dyDescent="0.2">
      <c r="B33" s="25" t="s">
        <v>122</v>
      </c>
      <c r="C33" s="27">
        <v>154676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211859</v>
      </c>
      <c r="D35" s="27">
        <v>173163</v>
      </c>
    </row>
    <row r="36" spans="2:4" x14ac:dyDescent="0.2">
      <c r="B36" s="25" t="s">
        <v>119</v>
      </c>
      <c r="C36" s="27">
        <v>619057</v>
      </c>
      <c r="D36" s="27">
        <v>620351</v>
      </c>
    </row>
    <row r="37" spans="2:4" x14ac:dyDescent="0.2">
      <c r="B37" s="25" t="s">
        <v>118</v>
      </c>
      <c r="C37" s="27">
        <v>10127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21282</v>
      </c>
      <c r="D40" s="27">
        <v>119246</v>
      </c>
    </row>
    <row r="41" spans="2:4" x14ac:dyDescent="0.2">
      <c r="B41" s="25" t="s">
        <v>114</v>
      </c>
      <c r="C41" s="27">
        <v>1251305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380</v>
      </c>
    </row>
    <row r="47" spans="2:4" x14ac:dyDescent="0.2">
      <c r="B47" s="25" t="s">
        <v>379</v>
      </c>
    </row>
    <row r="48" spans="2:4" x14ac:dyDescent="0.2">
      <c r="B48" s="25" t="s">
        <v>378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377</v>
      </c>
    </row>
    <row r="52" spans="2:4" x14ac:dyDescent="0.2">
      <c r="B52" s="25" t="s">
        <v>95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376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1621917</v>
      </c>
      <c r="D57" s="27">
        <v>1586781</v>
      </c>
    </row>
    <row r="58" spans="2:4" x14ac:dyDescent="0.2">
      <c r="B58" s="25" t="s">
        <v>94</v>
      </c>
      <c r="C58" s="27">
        <v>-40853</v>
      </c>
      <c r="D58" s="27">
        <v>-52856</v>
      </c>
    </row>
    <row r="59" spans="2:4" x14ac:dyDescent="0.2">
      <c r="B59" s="25" t="s">
        <v>93</v>
      </c>
      <c r="C59" s="27">
        <v>73667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1656027</v>
      </c>
      <c r="D61" s="27">
        <v>1615846</v>
      </c>
    </row>
    <row r="62" spans="2:4" x14ac:dyDescent="0.2">
      <c r="B62" s="25" t="s">
        <v>91</v>
      </c>
      <c r="C62" s="27">
        <v>860487</v>
      </c>
      <c r="D62" s="27">
        <v>858434</v>
      </c>
    </row>
    <row r="63" spans="2:4" x14ac:dyDescent="0.2">
      <c r="B63" s="25" t="s">
        <v>339</v>
      </c>
      <c r="C63" s="27">
        <v>2516514</v>
      </c>
      <c r="D63" s="27">
        <v>2474280</v>
      </c>
    </row>
    <row r="64" spans="2:4" x14ac:dyDescent="0.2">
      <c r="B64" s="25" t="s">
        <v>338</v>
      </c>
      <c r="C64" s="26">
        <v>3767819</v>
      </c>
      <c r="D64" s="26">
        <v>3775820</v>
      </c>
    </row>
  </sheetData>
  <hyperlinks>
    <hyperlink ref="A8" location="Table_Of_Contents!A1" display="Table Of Contents" xr:uid="{D9B99F59-E6D2-40F5-86C7-64E6E05931E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F7-EDB6-467C-8940-AD4E3541EC07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145</v>
      </c>
    </row>
    <row r="12" spans="1:4" x14ac:dyDescent="0.2">
      <c r="B12" s="25" t="s">
        <v>144</v>
      </c>
    </row>
    <row r="13" spans="1:4" x14ac:dyDescent="0.2">
      <c r="B13" s="25" t="s">
        <v>143</v>
      </c>
    </row>
    <row r="15" spans="1:4" x14ac:dyDescent="0.2">
      <c r="B15" s="25" t="s">
        <v>141</v>
      </c>
      <c r="C15" s="25" t="s">
        <v>141</v>
      </c>
      <c r="D15" s="25" t="s">
        <v>386</v>
      </c>
    </row>
    <row r="16" spans="1:4" x14ac:dyDescent="0.2">
      <c r="B16" s="25" t="s">
        <v>141</v>
      </c>
      <c r="C16" s="25" t="s">
        <v>398</v>
      </c>
      <c r="D16" s="25">
        <v>2021</v>
      </c>
    </row>
    <row r="17" spans="2:4" x14ac:dyDescent="0.2">
      <c r="B17" s="25" t="s">
        <v>138</v>
      </c>
    </row>
    <row r="18" spans="2:4" x14ac:dyDescent="0.2">
      <c r="B18" s="25" t="s">
        <v>137</v>
      </c>
      <c r="C18" s="26">
        <v>308788</v>
      </c>
      <c r="D18" s="26">
        <v>369175</v>
      </c>
    </row>
    <row r="19" spans="2:4" x14ac:dyDescent="0.2">
      <c r="B19" s="25" t="s">
        <v>209</v>
      </c>
      <c r="C19" s="27">
        <v>46693</v>
      </c>
      <c r="D19" s="27">
        <v>47538</v>
      </c>
    </row>
    <row r="20" spans="2:4" x14ac:dyDescent="0.2">
      <c r="B20" s="25" t="s">
        <v>134</v>
      </c>
      <c r="C20" s="27">
        <v>58276</v>
      </c>
      <c r="D20" s="27">
        <v>52751</v>
      </c>
    </row>
    <row r="21" spans="2:4" x14ac:dyDescent="0.2">
      <c r="B21" s="25" t="s">
        <v>133</v>
      </c>
      <c r="C21" s="27">
        <v>413757</v>
      </c>
      <c r="D21" s="27">
        <v>469464</v>
      </c>
    </row>
    <row r="22" spans="2:4" x14ac:dyDescent="0.2">
      <c r="B22" s="25" t="s">
        <v>132</v>
      </c>
      <c r="C22" s="27">
        <v>25859</v>
      </c>
      <c r="D22" s="27">
        <v>26410</v>
      </c>
    </row>
    <row r="23" spans="2:4" x14ac:dyDescent="0.2">
      <c r="B23" s="25" t="s">
        <v>306</v>
      </c>
      <c r="C23" s="27">
        <v>15073</v>
      </c>
      <c r="D23" s="27">
        <v>14627</v>
      </c>
    </row>
    <row r="24" spans="2:4" x14ac:dyDescent="0.2">
      <c r="B24" s="25" t="s">
        <v>129</v>
      </c>
      <c r="C24" s="27">
        <v>1581833</v>
      </c>
      <c r="D24" s="27">
        <v>1540112</v>
      </c>
    </row>
    <row r="25" spans="2:4" x14ac:dyDescent="0.2">
      <c r="B25" s="25" t="s">
        <v>128</v>
      </c>
      <c r="C25" s="27">
        <v>1717176</v>
      </c>
      <c r="D25" s="27">
        <v>1696798</v>
      </c>
    </row>
    <row r="26" spans="2:4" x14ac:dyDescent="0.2">
      <c r="B26" s="25" t="s">
        <v>127</v>
      </c>
      <c r="C26" s="27">
        <v>21562</v>
      </c>
      <c r="D26" s="27">
        <v>19090</v>
      </c>
    </row>
    <row r="27" spans="2:4" x14ac:dyDescent="0.2">
      <c r="B27" s="25" t="s">
        <v>126</v>
      </c>
      <c r="C27" s="27">
        <v>20142</v>
      </c>
      <c r="D27" s="27">
        <v>9319</v>
      </c>
    </row>
    <row r="28" spans="2:4" x14ac:dyDescent="0.2">
      <c r="B28" s="25" t="s">
        <v>17</v>
      </c>
      <c r="C28" s="26">
        <v>3795402</v>
      </c>
      <c r="D28" s="26">
        <v>3775820</v>
      </c>
    </row>
    <row r="29" spans="2:4" x14ac:dyDescent="0.2">
      <c r="B29" s="25" t="s">
        <v>352</v>
      </c>
    </row>
    <row r="30" spans="2:4" x14ac:dyDescent="0.2">
      <c r="B30" s="25" t="s">
        <v>351</v>
      </c>
    </row>
    <row r="31" spans="2:4" x14ac:dyDescent="0.2">
      <c r="B31" s="25" t="s">
        <v>124</v>
      </c>
      <c r="C31" s="26">
        <v>8836</v>
      </c>
      <c r="D31" s="26">
        <v>19169</v>
      </c>
    </row>
    <row r="32" spans="2:4" x14ac:dyDescent="0.2">
      <c r="B32" s="25" t="s">
        <v>123</v>
      </c>
      <c r="C32" s="27">
        <v>40679</v>
      </c>
      <c r="D32" s="27">
        <v>39924</v>
      </c>
    </row>
    <row r="33" spans="2:4" x14ac:dyDescent="0.2">
      <c r="B33" s="25" t="s">
        <v>122</v>
      </c>
      <c r="C33" s="27">
        <v>114129</v>
      </c>
      <c r="D33" s="27">
        <v>111482</v>
      </c>
    </row>
    <row r="34" spans="2:4" x14ac:dyDescent="0.2">
      <c r="B34" s="25" t="s">
        <v>121</v>
      </c>
      <c r="C34" s="27">
        <v>2588</v>
      </c>
      <c r="D34" s="27">
        <v>2588</v>
      </c>
    </row>
    <row r="35" spans="2:4" x14ac:dyDescent="0.2">
      <c r="B35" s="25" t="s">
        <v>120</v>
      </c>
      <c r="C35" s="27">
        <v>166232</v>
      </c>
      <c r="D35" s="27">
        <v>173163</v>
      </c>
    </row>
    <row r="36" spans="2:4" x14ac:dyDescent="0.2">
      <c r="B36" s="25" t="s">
        <v>119</v>
      </c>
      <c r="C36" s="27">
        <v>619704</v>
      </c>
      <c r="D36" s="27">
        <v>620351</v>
      </c>
    </row>
    <row r="37" spans="2:4" x14ac:dyDescent="0.2">
      <c r="B37" s="25" t="s">
        <v>118</v>
      </c>
      <c r="C37" s="27">
        <v>11177</v>
      </c>
      <c r="D37" s="28">
        <v>0</v>
      </c>
    </row>
    <row r="38" spans="2:4" x14ac:dyDescent="0.2">
      <c r="B38" s="25" t="s">
        <v>117</v>
      </c>
    </row>
    <row r="39" spans="2:4" x14ac:dyDescent="0.2">
      <c r="B39" s="25" t="s">
        <v>116</v>
      </c>
      <c r="C39" s="27">
        <v>388980</v>
      </c>
      <c r="D39" s="27">
        <v>388780</v>
      </c>
    </row>
    <row r="40" spans="2:4" x14ac:dyDescent="0.2">
      <c r="B40" s="25" t="s">
        <v>384</v>
      </c>
      <c r="C40" s="27">
        <v>100164</v>
      </c>
      <c r="D40" s="27">
        <v>119246</v>
      </c>
    </row>
    <row r="41" spans="2:4" x14ac:dyDescent="0.2">
      <c r="B41" s="25" t="s">
        <v>114</v>
      </c>
      <c r="C41" s="27">
        <v>1286257</v>
      </c>
      <c r="D41" s="27">
        <v>1301540</v>
      </c>
    </row>
    <row r="42" spans="2:4" x14ac:dyDescent="0.2">
      <c r="B42" s="25" t="s">
        <v>383</v>
      </c>
    </row>
    <row r="43" spans="2:4" x14ac:dyDescent="0.2">
      <c r="B43" s="25" t="s">
        <v>382</v>
      </c>
    </row>
    <row r="44" spans="2:4" x14ac:dyDescent="0.2">
      <c r="B44" s="25" t="s">
        <v>381</v>
      </c>
    </row>
    <row r="45" spans="2:4" x14ac:dyDescent="0.2">
      <c r="B45" s="25" t="s">
        <v>111</v>
      </c>
    </row>
    <row r="46" spans="2:4" x14ac:dyDescent="0.2">
      <c r="B46" s="25" t="s">
        <v>397</v>
      </c>
    </row>
    <row r="47" spans="2:4" x14ac:dyDescent="0.2">
      <c r="B47" s="25" t="s">
        <v>396</v>
      </c>
    </row>
    <row r="48" spans="2:4" x14ac:dyDescent="0.2">
      <c r="B48" s="25" t="s">
        <v>395</v>
      </c>
      <c r="C48" s="27">
        <v>1296</v>
      </c>
      <c r="D48" s="27">
        <v>1292</v>
      </c>
    </row>
    <row r="49" spans="2:4" x14ac:dyDescent="0.2">
      <c r="B49" s="25" t="s">
        <v>105</v>
      </c>
    </row>
    <row r="50" spans="2:4" x14ac:dyDescent="0.2">
      <c r="B50" s="25" t="s">
        <v>104</v>
      </c>
    </row>
    <row r="51" spans="2:4" x14ac:dyDescent="0.2">
      <c r="B51" s="25" t="s">
        <v>394</v>
      </c>
    </row>
    <row r="52" spans="2:4" x14ac:dyDescent="0.2">
      <c r="B52" s="25" t="s">
        <v>343</v>
      </c>
      <c r="C52" s="28">
        <v>0</v>
      </c>
      <c r="D52" s="28">
        <v>0</v>
      </c>
    </row>
    <row r="53" spans="2:4" x14ac:dyDescent="0.2">
      <c r="B53" s="25" t="s">
        <v>101</v>
      </c>
    </row>
    <row r="54" spans="2:4" x14ac:dyDescent="0.2">
      <c r="B54" s="25" t="s">
        <v>100</v>
      </c>
    </row>
    <row r="55" spans="2:4" x14ac:dyDescent="0.2">
      <c r="B55" s="25" t="s">
        <v>393</v>
      </c>
    </row>
    <row r="56" spans="2:4" x14ac:dyDescent="0.2">
      <c r="B56" s="25" t="s">
        <v>95</v>
      </c>
      <c r="C56" s="28">
        <v>0</v>
      </c>
      <c r="D56" s="28">
        <v>0</v>
      </c>
    </row>
    <row r="57" spans="2:4" x14ac:dyDescent="0.2">
      <c r="B57" s="25" t="s">
        <v>98</v>
      </c>
      <c r="C57" s="27">
        <v>1598567</v>
      </c>
      <c r="D57" s="27">
        <v>1586781</v>
      </c>
    </row>
    <row r="58" spans="2:4" x14ac:dyDescent="0.2">
      <c r="B58" s="25" t="s">
        <v>94</v>
      </c>
      <c r="C58" s="27">
        <v>-36461</v>
      </c>
      <c r="D58" s="27">
        <v>-52856</v>
      </c>
    </row>
    <row r="59" spans="2:4" x14ac:dyDescent="0.2">
      <c r="B59" s="25" t="s">
        <v>93</v>
      </c>
      <c r="C59" s="27">
        <v>79805</v>
      </c>
      <c r="D59" s="27">
        <v>80629</v>
      </c>
    </row>
    <row r="60" spans="2:4" x14ac:dyDescent="0.2">
      <c r="B60" s="25" t="s">
        <v>341</v>
      </c>
    </row>
    <row r="61" spans="2:4" x14ac:dyDescent="0.2">
      <c r="B61" s="25" t="s">
        <v>340</v>
      </c>
      <c r="C61" s="27">
        <v>1643207</v>
      </c>
      <c r="D61" s="27">
        <v>1615846</v>
      </c>
    </row>
    <row r="62" spans="2:4" x14ac:dyDescent="0.2">
      <c r="B62" s="25" t="s">
        <v>91</v>
      </c>
      <c r="C62" s="27">
        <v>865938</v>
      </c>
      <c r="D62" s="27">
        <v>858434</v>
      </c>
    </row>
    <row r="63" spans="2:4" x14ac:dyDescent="0.2">
      <c r="B63" s="25" t="s">
        <v>339</v>
      </c>
      <c r="C63" s="27">
        <v>2509145</v>
      </c>
      <c r="D63" s="27">
        <v>2474280</v>
      </c>
    </row>
    <row r="64" spans="2:4" x14ac:dyDescent="0.2">
      <c r="B64" s="25" t="s">
        <v>338</v>
      </c>
      <c r="C64" s="26">
        <v>3795402</v>
      </c>
      <c r="D64" s="26">
        <v>3775820</v>
      </c>
    </row>
  </sheetData>
  <hyperlinks>
    <hyperlink ref="A8" location="Table_Of_Contents!A1" display="Table Of Contents" xr:uid="{473733F8-E7F6-4BD2-99F0-9B804E7684F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1114-5F67-4CE2-A23C-D37523BAA703}">
  <dimension ref="A1:D27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31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409</v>
      </c>
    </row>
    <row r="7" spans="1:4" x14ac:dyDescent="0.2">
      <c r="A7" s="30" t="s">
        <v>408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2021</v>
      </c>
      <c r="D14" s="25">
        <v>2020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369175</v>
      </c>
      <c r="D16" s="26">
        <v>128029</v>
      </c>
    </row>
    <row r="17" spans="2:4" x14ac:dyDescent="0.2">
      <c r="B17" s="25" t="s">
        <v>209</v>
      </c>
      <c r="C17" s="27">
        <v>47538</v>
      </c>
      <c r="D17" s="27">
        <v>41595</v>
      </c>
    </row>
    <row r="18" spans="2:4" x14ac:dyDescent="0.2">
      <c r="B18" s="25" t="s">
        <v>134</v>
      </c>
      <c r="C18" s="27">
        <v>52751</v>
      </c>
      <c r="D18" s="27">
        <v>81387</v>
      </c>
    </row>
    <row r="19" spans="2:4" x14ac:dyDescent="0.2">
      <c r="B19" s="25" t="s">
        <v>133</v>
      </c>
      <c r="C19" s="27">
        <v>469464</v>
      </c>
      <c r="D19" s="27">
        <v>251011</v>
      </c>
    </row>
    <row r="20" spans="2:4" x14ac:dyDescent="0.2">
      <c r="B20" s="25" t="s">
        <v>132</v>
      </c>
      <c r="C20" s="27">
        <v>26410</v>
      </c>
      <c r="D20" s="27">
        <v>11711</v>
      </c>
    </row>
    <row r="21" spans="2:4" x14ac:dyDescent="0.2">
      <c r="B21" s="25" t="s">
        <v>405</v>
      </c>
      <c r="C21" s="28">
        <v>0</v>
      </c>
      <c r="D21" s="27">
        <v>1069</v>
      </c>
    </row>
    <row r="22" spans="2:4" x14ac:dyDescent="0.2">
      <c r="B22" s="25" t="s">
        <v>306</v>
      </c>
      <c r="C22" s="27">
        <v>14627</v>
      </c>
      <c r="D22" s="27">
        <v>16833</v>
      </c>
    </row>
    <row r="23" spans="2:4" x14ac:dyDescent="0.2">
      <c r="B23" s="25" t="s">
        <v>129</v>
      </c>
      <c r="C23" s="27">
        <v>1540112</v>
      </c>
      <c r="D23" s="27">
        <v>1540915</v>
      </c>
    </row>
    <row r="24" spans="2:4" x14ac:dyDescent="0.2">
      <c r="B24" s="25" t="s">
        <v>128</v>
      </c>
      <c r="C24" s="27">
        <v>1696798</v>
      </c>
      <c r="D24" s="27">
        <v>1812410</v>
      </c>
    </row>
    <row r="25" spans="2:4" x14ac:dyDescent="0.2">
      <c r="B25" s="25" t="s">
        <v>127</v>
      </c>
      <c r="C25" s="27">
        <v>19090</v>
      </c>
      <c r="D25" s="28">
        <v>0</v>
      </c>
    </row>
    <row r="26" spans="2:4" x14ac:dyDescent="0.2">
      <c r="B26" s="25" t="s">
        <v>126</v>
      </c>
      <c r="C26" s="27">
        <v>9319</v>
      </c>
      <c r="D26" s="27">
        <v>3319</v>
      </c>
    </row>
    <row r="27" spans="2:4" x14ac:dyDescent="0.2">
      <c r="B27" s="25" t="s">
        <v>17</v>
      </c>
      <c r="C27" s="26">
        <v>3775820</v>
      </c>
      <c r="D27" s="26">
        <v>3637268</v>
      </c>
    </row>
  </sheetData>
  <hyperlinks>
    <hyperlink ref="A8" location="Table_Of_Contents!A1" display="Table Of Contents" xr:uid="{0D157509-0BED-4970-8700-B88A6DCFFB0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9AE9-6DBD-43ED-AD07-8CA967B47AD6}">
  <dimension ref="A1:D58"/>
  <sheetViews>
    <sheetView workbookViewId="0">
      <selection activeCell="B16" sqref="B16"/>
    </sheetView>
  </sheetViews>
  <sheetFormatPr defaultRowHeight="12.75" outlineLevelCol="7" x14ac:dyDescent="0.2"/>
  <cols>
    <col min="1" max="1" width="3" style="25" customWidth="1" outlineLevel="7"/>
    <col min="2" max="2" width="59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479</v>
      </c>
    </row>
    <row r="7" spans="1:4" x14ac:dyDescent="0.2">
      <c r="A7" s="30" t="s">
        <v>478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32" t="s">
        <v>48</v>
      </c>
      <c r="C10" s="25" t="s">
        <v>141</v>
      </c>
    </row>
    <row r="11" spans="1:4" x14ac:dyDescent="0.2">
      <c r="B11" s="32" t="s">
        <v>407</v>
      </c>
      <c r="C11" s="25" t="s">
        <v>141</v>
      </c>
    </row>
    <row r="12" spans="1:4" x14ac:dyDescent="0.2">
      <c r="B12" s="32" t="s">
        <v>406</v>
      </c>
      <c r="C12" s="25" t="s">
        <v>141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2022</v>
      </c>
      <c r="D14" s="25">
        <v>2021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402559</v>
      </c>
      <c r="D16" s="26">
        <v>369175</v>
      </c>
    </row>
    <row r="17" spans="2:4" x14ac:dyDescent="0.2">
      <c r="B17" s="25" t="s">
        <v>307</v>
      </c>
      <c r="C17" s="27">
        <v>66930</v>
      </c>
      <c r="D17" s="27">
        <v>47538</v>
      </c>
    </row>
    <row r="18" spans="2:4" x14ac:dyDescent="0.2">
      <c r="B18" s="25" t="s">
        <v>134</v>
      </c>
      <c r="C18" s="27">
        <v>31882</v>
      </c>
      <c r="D18" s="27">
        <v>52751</v>
      </c>
    </row>
    <row r="19" spans="2:4" x14ac:dyDescent="0.2">
      <c r="B19" s="25" t="s">
        <v>133</v>
      </c>
      <c r="C19" s="27">
        <v>501371</v>
      </c>
      <c r="D19" s="27">
        <v>469464</v>
      </c>
    </row>
    <row r="20" spans="2:4" x14ac:dyDescent="0.2">
      <c r="B20" s="25" t="s">
        <v>132</v>
      </c>
      <c r="C20" s="27">
        <v>17419</v>
      </c>
      <c r="D20" s="27">
        <v>26410</v>
      </c>
    </row>
    <row r="21" spans="2:4" x14ac:dyDescent="0.2">
      <c r="B21" s="25" t="s">
        <v>306</v>
      </c>
      <c r="C21" s="27">
        <v>14467</v>
      </c>
      <c r="D21" s="27">
        <v>14627</v>
      </c>
    </row>
    <row r="22" spans="2:4" x14ac:dyDescent="0.2">
      <c r="B22" s="25" t="s">
        <v>129</v>
      </c>
      <c r="C22" s="27">
        <v>1579770</v>
      </c>
      <c r="D22" s="27">
        <v>1540112</v>
      </c>
    </row>
    <row r="23" spans="2:4" x14ac:dyDescent="0.2">
      <c r="B23" s="25" t="s">
        <v>128</v>
      </c>
      <c r="C23" s="27">
        <v>1524428</v>
      </c>
      <c r="D23" s="27">
        <v>1696798</v>
      </c>
    </row>
    <row r="24" spans="2:4" x14ac:dyDescent="0.2">
      <c r="B24" s="25" t="s">
        <v>127</v>
      </c>
      <c r="C24" s="27">
        <v>24050</v>
      </c>
      <c r="D24" s="27">
        <v>19572</v>
      </c>
    </row>
    <row r="25" spans="2:4" x14ac:dyDescent="0.2">
      <c r="B25" s="25" t="s">
        <v>126</v>
      </c>
      <c r="C25" s="27">
        <v>31116</v>
      </c>
      <c r="D25" s="27">
        <v>10013</v>
      </c>
    </row>
    <row r="26" spans="2:4" x14ac:dyDescent="0.2">
      <c r="B26" s="25" t="s">
        <v>17</v>
      </c>
      <c r="C26" s="26">
        <v>3692621</v>
      </c>
      <c r="D26" s="26">
        <v>3776996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3367</v>
      </c>
      <c r="D28" s="26">
        <v>19169</v>
      </c>
    </row>
    <row r="29" spans="2:4" x14ac:dyDescent="0.2">
      <c r="B29" s="25" t="s">
        <v>123</v>
      </c>
      <c r="C29" s="27">
        <v>46108</v>
      </c>
      <c r="D29" s="27">
        <v>39569</v>
      </c>
    </row>
    <row r="30" spans="2:4" x14ac:dyDescent="0.2">
      <c r="B30" s="25" t="s">
        <v>122</v>
      </c>
      <c r="C30" s="27">
        <v>156443</v>
      </c>
      <c r="D30" s="27">
        <v>111482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211668</v>
      </c>
      <c r="D32" s="27">
        <v>175970</v>
      </c>
    </row>
    <row r="33" spans="2:4" x14ac:dyDescent="0.2">
      <c r="B33" s="25" t="s">
        <v>119</v>
      </c>
      <c r="C33" s="27">
        <v>619223</v>
      </c>
      <c r="D33" s="27">
        <v>623231</v>
      </c>
    </row>
    <row r="34" spans="2:4" x14ac:dyDescent="0.2">
      <c r="B34" s="25" t="s">
        <v>118</v>
      </c>
      <c r="C34" s="27">
        <v>8077</v>
      </c>
      <c r="D34" s="28">
        <v>0</v>
      </c>
    </row>
    <row r="35" spans="2:4" x14ac:dyDescent="0.2">
      <c r="B35" s="25" t="s">
        <v>117</v>
      </c>
    </row>
    <row r="36" spans="2:4" x14ac:dyDescent="0.2">
      <c r="B36" s="25" t="s">
        <v>116</v>
      </c>
      <c r="C36" s="27">
        <v>385486</v>
      </c>
      <c r="D36" s="27">
        <v>388780</v>
      </c>
    </row>
    <row r="37" spans="2:4" x14ac:dyDescent="0.2">
      <c r="B37" s="25" t="s">
        <v>384</v>
      </c>
      <c r="C37" s="27">
        <v>14588</v>
      </c>
      <c r="D37" s="27">
        <v>119246</v>
      </c>
    </row>
    <row r="38" spans="2:4" x14ac:dyDescent="0.2">
      <c r="B38" s="25" t="s">
        <v>114</v>
      </c>
      <c r="C38" s="26">
        <v>1239042</v>
      </c>
      <c r="D38" s="26">
        <v>1307227</v>
      </c>
    </row>
    <row r="39" spans="2:4" x14ac:dyDescent="0.2">
      <c r="B39" s="25" t="s">
        <v>477</v>
      </c>
    </row>
    <row r="40" spans="2:4" x14ac:dyDescent="0.2">
      <c r="B40" s="25" t="s">
        <v>320</v>
      </c>
    </row>
    <row r="41" spans="2:4" x14ac:dyDescent="0.2">
      <c r="B41" s="25" t="s">
        <v>111</v>
      </c>
    </row>
    <row r="42" spans="2:4" x14ac:dyDescent="0.2">
      <c r="B42" s="25" t="s">
        <v>476</v>
      </c>
    </row>
    <row r="43" spans="2:4" x14ac:dyDescent="0.2">
      <c r="B43" s="25" t="s">
        <v>346</v>
      </c>
    </row>
    <row r="44" spans="2:4" x14ac:dyDescent="0.2">
      <c r="B44" s="25" t="s">
        <v>472</v>
      </c>
      <c r="C44" s="27">
        <v>1298</v>
      </c>
      <c r="D44" s="27">
        <v>1292</v>
      </c>
    </row>
    <row r="45" spans="2:4" x14ac:dyDescent="0.2">
      <c r="B45" s="25" t="s">
        <v>105</v>
      </c>
    </row>
    <row r="46" spans="2:4" x14ac:dyDescent="0.2">
      <c r="B46" s="25" t="s">
        <v>104</v>
      </c>
    </row>
    <row r="47" spans="2:4" x14ac:dyDescent="0.2">
      <c r="B47" s="25" t="s">
        <v>475</v>
      </c>
    </row>
    <row r="48" spans="2:4" x14ac:dyDescent="0.2">
      <c r="B48" s="25" t="s">
        <v>95</v>
      </c>
      <c r="C48" s="28">
        <v>0</v>
      </c>
      <c r="D48" s="28">
        <v>0</v>
      </c>
    </row>
    <row r="49" spans="2:4" x14ac:dyDescent="0.2">
      <c r="B49" s="25" t="s">
        <v>474</v>
      </c>
    </row>
    <row r="50" spans="2:4" x14ac:dyDescent="0.2">
      <c r="B50" s="25" t="s">
        <v>473</v>
      </c>
    </row>
    <row r="51" spans="2:4" x14ac:dyDescent="0.2">
      <c r="B51" s="25" t="s">
        <v>472</v>
      </c>
      <c r="C51" s="28">
        <v>0</v>
      </c>
      <c r="D51" s="28">
        <v>0</v>
      </c>
    </row>
    <row r="52" spans="2:4" x14ac:dyDescent="0.2">
      <c r="B52" s="25" t="s">
        <v>98</v>
      </c>
      <c r="C52" s="27">
        <v>1691911</v>
      </c>
      <c r="D52" s="27">
        <v>1588426</v>
      </c>
    </row>
    <row r="53" spans="2:4" x14ac:dyDescent="0.2">
      <c r="B53" s="25" t="s">
        <v>94</v>
      </c>
      <c r="C53" s="27">
        <v>-139871</v>
      </c>
      <c r="D53" s="27">
        <v>-60125</v>
      </c>
    </row>
    <row r="54" spans="2:4" x14ac:dyDescent="0.2">
      <c r="B54" s="25" t="s">
        <v>93</v>
      </c>
      <c r="C54" s="27">
        <v>74477</v>
      </c>
      <c r="D54" s="27">
        <v>78603</v>
      </c>
    </row>
    <row r="55" spans="2:4" x14ac:dyDescent="0.2">
      <c r="B55" s="25" t="s">
        <v>90</v>
      </c>
      <c r="C55" s="27">
        <v>1627815</v>
      </c>
      <c r="D55" s="27">
        <v>1608196</v>
      </c>
    </row>
    <row r="56" spans="2:4" x14ac:dyDescent="0.2">
      <c r="B56" s="25" t="s">
        <v>91</v>
      </c>
      <c r="C56" s="27">
        <v>825764</v>
      </c>
      <c r="D56" s="27">
        <v>861573</v>
      </c>
    </row>
    <row r="57" spans="2:4" x14ac:dyDescent="0.2">
      <c r="B57" s="25" t="s">
        <v>90</v>
      </c>
      <c r="C57" s="27">
        <v>2453579</v>
      </c>
      <c r="D57" s="27">
        <v>2469769</v>
      </c>
    </row>
    <row r="58" spans="2:4" x14ac:dyDescent="0.2">
      <c r="B58" s="25" t="s">
        <v>89</v>
      </c>
      <c r="C58" s="26">
        <v>3692621</v>
      </c>
      <c r="D58" s="26">
        <v>3776996</v>
      </c>
    </row>
  </sheetData>
  <hyperlinks>
    <hyperlink ref="A8" location="Table_Of_Contents!A1" display="Table Of Contents" xr:uid="{E9BBCCA6-5008-4CAA-B5E4-CB3E5DD5D3D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164-728D-477A-AC1E-FAAAA6A770D5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7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509</v>
      </c>
    </row>
    <row r="7" spans="1:4" x14ac:dyDescent="0.2">
      <c r="A7" s="30" t="s">
        <v>508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2023</v>
      </c>
      <c r="D14" s="25">
        <v>2022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355642</v>
      </c>
      <c r="D16" s="26">
        <v>402559</v>
      </c>
    </row>
    <row r="17" spans="2:4" x14ac:dyDescent="0.2">
      <c r="B17" s="25" t="s">
        <v>307</v>
      </c>
      <c r="C17" s="27">
        <v>102677</v>
      </c>
      <c r="D17" s="27">
        <v>66930</v>
      </c>
    </row>
    <row r="18" spans="2:4" x14ac:dyDescent="0.2">
      <c r="B18" s="25" t="s">
        <v>134</v>
      </c>
      <c r="C18" s="27">
        <v>34732</v>
      </c>
      <c r="D18" s="27">
        <v>31882</v>
      </c>
    </row>
    <row r="19" spans="2:4" x14ac:dyDescent="0.2">
      <c r="B19" s="25" t="s">
        <v>133</v>
      </c>
      <c r="C19" s="27">
        <v>493051</v>
      </c>
      <c r="D19" s="27">
        <v>501371</v>
      </c>
    </row>
    <row r="20" spans="2:4" x14ac:dyDescent="0.2">
      <c r="B20" s="25" t="s">
        <v>132</v>
      </c>
      <c r="C20" s="27">
        <v>15425</v>
      </c>
      <c r="D20" s="27">
        <v>17419</v>
      </c>
    </row>
    <row r="21" spans="2:4" x14ac:dyDescent="0.2">
      <c r="B21" s="25" t="s">
        <v>306</v>
      </c>
      <c r="C21" s="27">
        <v>12462</v>
      </c>
      <c r="D21" s="27">
        <v>14467</v>
      </c>
    </row>
    <row r="22" spans="2:4" x14ac:dyDescent="0.2">
      <c r="B22" s="25" t="s">
        <v>129</v>
      </c>
      <c r="C22" s="27">
        <v>1585750</v>
      </c>
      <c r="D22" s="27">
        <v>1579770</v>
      </c>
    </row>
    <row r="23" spans="2:4" x14ac:dyDescent="0.2">
      <c r="B23" s="25" t="s">
        <v>128</v>
      </c>
      <c r="C23" s="27">
        <v>1484290</v>
      </c>
      <c r="D23" s="27">
        <v>1524428</v>
      </c>
    </row>
    <row r="24" spans="2:4" x14ac:dyDescent="0.2">
      <c r="B24" s="25" t="s">
        <v>127</v>
      </c>
      <c r="C24" s="27">
        <v>27029</v>
      </c>
      <c r="D24" s="27">
        <v>24050</v>
      </c>
    </row>
    <row r="25" spans="2:4" x14ac:dyDescent="0.2">
      <c r="B25" s="25" t="s">
        <v>126</v>
      </c>
      <c r="C25" s="27">
        <v>7120</v>
      </c>
      <c r="D25" s="27">
        <v>31116</v>
      </c>
    </row>
    <row r="26" spans="2:4" x14ac:dyDescent="0.2">
      <c r="B26" s="25" t="s">
        <v>17</v>
      </c>
      <c r="C26" s="26">
        <v>3625127</v>
      </c>
      <c r="D26" s="26">
        <v>3692621</v>
      </c>
    </row>
    <row r="27" spans="2:4" x14ac:dyDescent="0.2">
      <c r="B27" s="25" t="s">
        <v>125</v>
      </c>
    </row>
    <row r="28" spans="2:4" x14ac:dyDescent="0.2">
      <c r="B28" s="25" t="s">
        <v>124</v>
      </c>
      <c r="C28" s="26">
        <v>4611</v>
      </c>
      <c r="D28" s="26">
        <v>3367</v>
      </c>
    </row>
    <row r="29" spans="2:4" x14ac:dyDescent="0.2">
      <c r="B29" s="25" t="s">
        <v>123</v>
      </c>
      <c r="C29" s="27">
        <v>48749</v>
      </c>
      <c r="D29" s="27">
        <v>46108</v>
      </c>
    </row>
    <row r="30" spans="2:4" x14ac:dyDescent="0.2">
      <c r="B30" s="25" t="s">
        <v>122</v>
      </c>
      <c r="C30" s="27">
        <v>185799</v>
      </c>
      <c r="D30" s="27">
        <v>156443</v>
      </c>
    </row>
    <row r="31" spans="2:4" x14ac:dyDescent="0.2">
      <c r="B31" s="25" t="s">
        <v>121</v>
      </c>
      <c r="C31" s="27">
        <v>5750</v>
      </c>
      <c r="D31" s="27">
        <v>5750</v>
      </c>
    </row>
    <row r="32" spans="2:4" x14ac:dyDescent="0.2">
      <c r="B32" s="25" t="s">
        <v>120</v>
      </c>
      <c r="C32" s="27">
        <v>244909</v>
      </c>
      <c r="D32" s="27">
        <v>211668</v>
      </c>
    </row>
    <row r="33" spans="2:4" x14ac:dyDescent="0.2">
      <c r="B33" s="25" t="s">
        <v>119</v>
      </c>
      <c r="C33" s="27">
        <v>615176</v>
      </c>
      <c r="D33" s="27">
        <v>619223</v>
      </c>
    </row>
    <row r="34" spans="2:4" x14ac:dyDescent="0.2">
      <c r="B34" s="25" t="s">
        <v>118</v>
      </c>
      <c r="C34" s="27">
        <v>5673</v>
      </c>
      <c r="D34" s="27">
        <v>8077</v>
      </c>
    </row>
    <row r="35" spans="2:4" x14ac:dyDescent="0.2">
      <c r="B35" s="25" t="s">
        <v>507</v>
      </c>
    </row>
    <row r="36" spans="2:4" x14ac:dyDescent="0.2">
      <c r="B36" s="25" t="s">
        <v>506</v>
      </c>
      <c r="C36" s="27">
        <v>407389</v>
      </c>
      <c r="D36" s="27">
        <v>385486</v>
      </c>
    </row>
    <row r="37" spans="2:4" x14ac:dyDescent="0.2">
      <c r="B37" s="25" t="s">
        <v>115</v>
      </c>
      <c r="C37" s="27">
        <v>14707</v>
      </c>
      <c r="D37" s="27">
        <v>14588</v>
      </c>
    </row>
    <row r="38" spans="2:4" x14ac:dyDescent="0.2">
      <c r="B38" s="25" t="s">
        <v>114</v>
      </c>
      <c r="C38" s="26">
        <v>1287854</v>
      </c>
      <c r="D38" s="26">
        <v>1239042</v>
      </c>
    </row>
    <row r="39" spans="2:4" x14ac:dyDescent="0.2">
      <c r="B39" s="25" t="s">
        <v>505</v>
      </c>
    </row>
    <row r="40" spans="2:4" x14ac:dyDescent="0.2">
      <c r="B40" s="25" t="s">
        <v>112</v>
      </c>
    </row>
    <row r="41" spans="2:4" x14ac:dyDescent="0.2">
      <c r="B41" s="25" t="s">
        <v>111</v>
      </c>
    </row>
    <row r="42" spans="2:4" x14ac:dyDescent="0.2">
      <c r="B42" s="25" t="s">
        <v>504</v>
      </c>
    </row>
    <row r="43" spans="2:4" x14ac:dyDescent="0.2">
      <c r="B43" s="25" t="s">
        <v>503</v>
      </c>
    </row>
    <row r="44" spans="2:4" x14ac:dyDescent="0.2">
      <c r="B44" s="25" t="s">
        <v>502</v>
      </c>
    </row>
    <row r="45" spans="2:4" x14ac:dyDescent="0.2">
      <c r="B45" s="25" t="s">
        <v>501</v>
      </c>
      <c r="C45" s="27">
        <v>1385</v>
      </c>
      <c r="D45" s="27">
        <v>1298</v>
      </c>
    </row>
    <row r="46" spans="2:4" x14ac:dyDescent="0.2">
      <c r="B46" s="25" t="s">
        <v>105</v>
      </c>
    </row>
    <row r="47" spans="2:4" x14ac:dyDescent="0.2">
      <c r="B47" s="25" t="s">
        <v>104</v>
      </c>
    </row>
    <row r="48" spans="2:4" x14ac:dyDescent="0.2">
      <c r="B48" s="25" t="s">
        <v>500</v>
      </c>
    </row>
    <row r="49" spans="2:4" x14ac:dyDescent="0.2">
      <c r="B49" s="25" t="s">
        <v>300</v>
      </c>
      <c r="C49" s="28">
        <v>0</v>
      </c>
      <c r="D49" s="28">
        <v>0</v>
      </c>
    </row>
    <row r="50" spans="2:4" x14ac:dyDescent="0.2">
      <c r="B50" s="25" t="s">
        <v>474</v>
      </c>
    </row>
    <row r="51" spans="2:4" x14ac:dyDescent="0.2">
      <c r="B51" s="25" t="s">
        <v>473</v>
      </c>
    </row>
    <row r="52" spans="2:4" x14ac:dyDescent="0.2">
      <c r="B52" s="25" t="s">
        <v>499</v>
      </c>
      <c r="C52" s="28">
        <v>0</v>
      </c>
      <c r="D52" s="28">
        <v>0</v>
      </c>
    </row>
    <row r="53" spans="2:4" x14ac:dyDescent="0.2">
      <c r="B53" s="25" t="s">
        <v>498</v>
      </c>
    </row>
    <row r="54" spans="2:4" x14ac:dyDescent="0.2">
      <c r="B54" s="25" t="s">
        <v>329</v>
      </c>
      <c r="C54" s="27">
        <v>-73764</v>
      </c>
      <c r="D54" s="28">
        <v>0</v>
      </c>
    </row>
    <row r="55" spans="2:4" x14ac:dyDescent="0.2">
      <c r="B55" s="25" t="s">
        <v>98</v>
      </c>
      <c r="C55" s="27">
        <v>1772449</v>
      </c>
      <c r="D55" s="27">
        <v>1691911</v>
      </c>
    </row>
    <row r="56" spans="2:4" x14ac:dyDescent="0.2">
      <c r="B56" s="25" t="s">
        <v>94</v>
      </c>
      <c r="C56" s="27">
        <v>-144084</v>
      </c>
      <c r="D56" s="27">
        <v>-139871</v>
      </c>
    </row>
    <row r="57" spans="2:4" x14ac:dyDescent="0.2">
      <c r="B57" s="25" t="s">
        <v>93</v>
      </c>
      <c r="C57" s="27">
        <v>79029</v>
      </c>
      <c r="D57" s="27">
        <v>74477</v>
      </c>
    </row>
    <row r="58" spans="2:4" x14ac:dyDescent="0.2">
      <c r="B58" s="25" t="s">
        <v>92</v>
      </c>
      <c r="C58" s="27">
        <v>1635015</v>
      </c>
      <c r="D58" s="27">
        <v>1627815</v>
      </c>
    </row>
    <row r="59" spans="2:4" x14ac:dyDescent="0.2">
      <c r="B59" s="25" t="s">
        <v>91</v>
      </c>
      <c r="C59" s="27">
        <v>702258</v>
      </c>
      <c r="D59" s="27">
        <v>825764</v>
      </c>
    </row>
    <row r="60" spans="2:4" x14ac:dyDescent="0.2">
      <c r="B60" s="25" t="s">
        <v>90</v>
      </c>
      <c r="C60" s="27">
        <v>2337273</v>
      </c>
      <c r="D60" s="27">
        <v>2453579</v>
      </c>
    </row>
    <row r="61" spans="2:4" x14ac:dyDescent="0.2">
      <c r="B61" s="25" t="s">
        <v>89</v>
      </c>
      <c r="C61" s="26">
        <v>3625127</v>
      </c>
      <c r="D61" s="26">
        <v>3692621</v>
      </c>
    </row>
  </sheetData>
  <hyperlinks>
    <hyperlink ref="A8" location="Table_Of_Contents!A1" display="Table Of Contents" xr:uid="{CA462E17-F111-427B-99DD-AE8F88C4A702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89B-5146-477F-9575-A6FAD5C67C0E}">
  <dimension ref="A1:D63"/>
  <sheetViews>
    <sheetView topLeftCell="A9"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5" style="25" customWidth="1" outlineLevel="7"/>
    <col min="3" max="4" width="18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150</v>
      </c>
    </row>
    <row r="5" spans="1:4" x14ac:dyDescent="0.2">
      <c r="A5" s="30" t="s">
        <v>410</v>
      </c>
    </row>
    <row r="6" spans="1:4" x14ac:dyDescent="0.2">
      <c r="A6" s="30" t="s">
        <v>538</v>
      </c>
    </row>
    <row r="7" spans="1:4" x14ac:dyDescent="0.2">
      <c r="A7" s="30" t="s">
        <v>537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407</v>
      </c>
    </row>
    <row r="12" spans="1:4" x14ac:dyDescent="0.2">
      <c r="B12" s="25" t="s">
        <v>406</v>
      </c>
    </row>
    <row r="13" spans="1:4" x14ac:dyDescent="0.2">
      <c r="B13" s="25" t="s">
        <v>141</v>
      </c>
      <c r="C13" s="25" t="s">
        <v>386</v>
      </c>
      <c r="D13" s="25" t="s">
        <v>386</v>
      </c>
    </row>
    <row r="14" spans="1:4" x14ac:dyDescent="0.2">
      <c r="B14" s="25" t="s">
        <v>141</v>
      </c>
      <c r="C14" s="25">
        <v>2024</v>
      </c>
      <c r="D14" s="25">
        <v>2023</v>
      </c>
    </row>
    <row r="15" spans="1:4" x14ac:dyDescent="0.2">
      <c r="B15" s="25" t="s">
        <v>138</v>
      </c>
    </row>
    <row r="16" spans="1:4" x14ac:dyDescent="0.2">
      <c r="B16" s="25" t="s">
        <v>137</v>
      </c>
      <c r="C16" s="26">
        <v>204319</v>
      </c>
      <c r="D16" s="26">
        <v>355642</v>
      </c>
    </row>
    <row r="17" spans="2:4" x14ac:dyDescent="0.2">
      <c r="B17" s="25" t="s">
        <v>536</v>
      </c>
    </row>
    <row r="18" spans="2:4" x14ac:dyDescent="0.2">
      <c r="B18" s="25" t="s">
        <v>95</v>
      </c>
      <c r="C18" s="27">
        <v>99687</v>
      </c>
      <c r="D18" s="27">
        <v>102677</v>
      </c>
    </row>
    <row r="19" spans="2:4" x14ac:dyDescent="0.2">
      <c r="B19" s="25" t="s">
        <v>134</v>
      </c>
      <c r="C19" s="27">
        <v>38236</v>
      </c>
      <c r="D19" s="27">
        <v>34732</v>
      </c>
    </row>
    <row r="20" spans="2:4" x14ac:dyDescent="0.2">
      <c r="B20" s="25" t="s">
        <v>133</v>
      </c>
      <c r="C20" s="27">
        <v>342242</v>
      </c>
      <c r="D20" s="27">
        <v>493051</v>
      </c>
    </row>
    <row r="21" spans="2:4" x14ac:dyDescent="0.2">
      <c r="B21" s="25" t="s">
        <v>132</v>
      </c>
      <c r="C21" s="27">
        <v>11232</v>
      </c>
      <c r="D21" s="27">
        <v>15425</v>
      </c>
    </row>
    <row r="22" spans="2:4" x14ac:dyDescent="0.2">
      <c r="B22" s="25" t="s">
        <v>535</v>
      </c>
    </row>
    <row r="23" spans="2:4" x14ac:dyDescent="0.2">
      <c r="B23" s="25" t="s">
        <v>534</v>
      </c>
      <c r="C23" s="27">
        <v>8495</v>
      </c>
      <c r="D23" s="27">
        <v>12462</v>
      </c>
    </row>
    <row r="24" spans="2:4" x14ac:dyDescent="0.2">
      <c r="B24" s="25" t="s">
        <v>129</v>
      </c>
      <c r="C24" s="27">
        <v>1386229</v>
      </c>
      <c r="D24" s="27">
        <v>1585750</v>
      </c>
    </row>
    <row r="25" spans="2:4" x14ac:dyDescent="0.2">
      <c r="B25" s="25" t="s">
        <v>128</v>
      </c>
      <c r="C25" s="27">
        <v>748906</v>
      </c>
      <c r="D25" s="27">
        <v>1484290</v>
      </c>
    </row>
    <row r="26" spans="2:4" x14ac:dyDescent="0.2">
      <c r="B26" s="25" t="s">
        <v>127</v>
      </c>
      <c r="C26" s="27">
        <v>16300</v>
      </c>
      <c r="D26" s="27">
        <v>27029</v>
      </c>
    </row>
    <row r="27" spans="2:4" x14ac:dyDescent="0.2">
      <c r="B27" s="25" t="s">
        <v>126</v>
      </c>
      <c r="C27" s="27">
        <v>11483</v>
      </c>
      <c r="D27" s="27">
        <v>7120</v>
      </c>
    </row>
    <row r="28" spans="2:4" x14ac:dyDescent="0.2">
      <c r="B28" s="25" t="s">
        <v>17</v>
      </c>
      <c r="C28" s="26">
        <v>2524887</v>
      </c>
      <c r="D28" s="26">
        <v>3625127</v>
      </c>
    </row>
    <row r="29" spans="2:4" x14ac:dyDescent="0.2">
      <c r="B29" s="25" t="s">
        <v>125</v>
      </c>
    </row>
    <row r="30" spans="2:4" x14ac:dyDescent="0.2">
      <c r="B30" s="25" t="s">
        <v>124</v>
      </c>
      <c r="C30" s="26">
        <v>6609</v>
      </c>
      <c r="D30" s="26">
        <v>4611</v>
      </c>
    </row>
    <row r="31" spans="2:4" x14ac:dyDescent="0.2">
      <c r="B31" s="25" t="s">
        <v>123</v>
      </c>
      <c r="C31" s="27">
        <v>43411</v>
      </c>
      <c r="D31" s="27">
        <v>48749</v>
      </c>
    </row>
    <row r="32" spans="2:4" x14ac:dyDescent="0.2">
      <c r="B32" s="25" t="s">
        <v>122</v>
      </c>
      <c r="C32" s="27">
        <v>82800</v>
      </c>
      <c r="D32" s="27">
        <v>185799</v>
      </c>
    </row>
    <row r="33" spans="2:4" x14ac:dyDescent="0.2">
      <c r="B33" s="25" t="s">
        <v>121</v>
      </c>
      <c r="C33" s="27">
        <v>5750</v>
      </c>
      <c r="D33" s="27">
        <v>5750</v>
      </c>
    </row>
    <row r="34" spans="2:4" x14ac:dyDescent="0.2">
      <c r="B34" s="25" t="s">
        <v>120</v>
      </c>
      <c r="C34" s="27">
        <v>138570</v>
      </c>
      <c r="D34" s="27">
        <v>244909</v>
      </c>
    </row>
    <row r="35" spans="2:4" x14ac:dyDescent="0.2">
      <c r="B35" s="25" t="s">
        <v>119</v>
      </c>
      <c r="C35" s="27">
        <v>611346</v>
      </c>
      <c r="D35" s="27">
        <v>615176</v>
      </c>
    </row>
    <row r="36" spans="2:4" x14ac:dyDescent="0.2">
      <c r="B36" s="25" t="s">
        <v>118</v>
      </c>
      <c r="C36" s="27">
        <v>777</v>
      </c>
      <c r="D36" s="27">
        <v>5673</v>
      </c>
    </row>
    <row r="37" spans="2:4" x14ac:dyDescent="0.2">
      <c r="B37" s="25" t="s">
        <v>507</v>
      </c>
    </row>
    <row r="38" spans="2:4" x14ac:dyDescent="0.2">
      <c r="B38" s="25" t="s">
        <v>506</v>
      </c>
      <c r="C38" s="27">
        <v>400926</v>
      </c>
      <c r="D38" s="27">
        <v>407389</v>
      </c>
    </row>
    <row r="39" spans="2:4" x14ac:dyDescent="0.2">
      <c r="B39" s="25" t="s">
        <v>115</v>
      </c>
      <c r="C39" s="27">
        <v>24214</v>
      </c>
      <c r="D39" s="27">
        <v>14707</v>
      </c>
    </row>
    <row r="40" spans="2:4" x14ac:dyDescent="0.2">
      <c r="B40" s="25" t="s">
        <v>114</v>
      </c>
      <c r="C40" s="26">
        <v>1175833</v>
      </c>
      <c r="D40" s="26">
        <v>1287854</v>
      </c>
    </row>
    <row r="41" spans="2:4" x14ac:dyDescent="0.2">
      <c r="B41" s="25" t="s">
        <v>505</v>
      </c>
    </row>
    <row r="42" spans="2:4" x14ac:dyDescent="0.2">
      <c r="B42" s="25" t="s">
        <v>112</v>
      </c>
    </row>
    <row r="43" spans="2:4" x14ac:dyDescent="0.2">
      <c r="B43" s="25" t="s">
        <v>111</v>
      </c>
    </row>
    <row r="44" spans="2:4" x14ac:dyDescent="0.2">
      <c r="B44" s="25" t="s">
        <v>533</v>
      </c>
    </row>
    <row r="45" spans="2:4" x14ac:dyDescent="0.2">
      <c r="B45" s="25" t="s">
        <v>532</v>
      </c>
    </row>
    <row r="46" spans="2:4" x14ac:dyDescent="0.2">
      <c r="B46" s="25" t="s">
        <v>531</v>
      </c>
    </row>
    <row r="47" spans="2:4" x14ac:dyDescent="0.2">
      <c r="B47" s="25" t="s">
        <v>530</v>
      </c>
      <c r="C47" s="27">
        <v>1071</v>
      </c>
      <c r="D47" s="27">
        <v>1385</v>
      </c>
    </row>
    <row r="48" spans="2:4" x14ac:dyDescent="0.2">
      <c r="B48" s="25" t="s">
        <v>105</v>
      </c>
    </row>
    <row r="49" spans="2:4" x14ac:dyDescent="0.2">
      <c r="B49" s="25" t="s">
        <v>104</v>
      </c>
    </row>
    <row r="50" spans="2:4" x14ac:dyDescent="0.2">
      <c r="B50" s="25" t="s">
        <v>529</v>
      </c>
    </row>
    <row r="51" spans="2:4" x14ac:dyDescent="0.2">
      <c r="B51" s="25" t="s">
        <v>102</v>
      </c>
      <c r="C51" s="28">
        <v>0</v>
      </c>
      <c r="D51" s="28">
        <v>0</v>
      </c>
    </row>
    <row r="52" spans="2:4" x14ac:dyDescent="0.2">
      <c r="B52" s="25" t="s">
        <v>474</v>
      </c>
    </row>
    <row r="53" spans="2:4" x14ac:dyDescent="0.2">
      <c r="B53" s="25" t="s">
        <v>473</v>
      </c>
    </row>
    <row r="54" spans="2:4" x14ac:dyDescent="0.2">
      <c r="B54" s="25" t="s">
        <v>528</v>
      </c>
      <c r="C54" s="28">
        <v>0</v>
      </c>
      <c r="D54" s="28">
        <v>0</v>
      </c>
    </row>
    <row r="55" spans="2:4" x14ac:dyDescent="0.2">
      <c r="B55" s="25" t="s">
        <v>527</v>
      </c>
    </row>
    <row r="56" spans="2:4" x14ac:dyDescent="0.2">
      <c r="B56" s="25" t="s">
        <v>526</v>
      </c>
      <c r="C56" s="28">
        <v>0</v>
      </c>
      <c r="D56" s="27">
        <v>-73764</v>
      </c>
    </row>
    <row r="57" spans="2:4" x14ac:dyDescent="0.2">
      <c r="B57" s="25" t="s">
        <v>98</v>
      </c>
      <c r="C57" s="27">
        <v>1453483</v>
      </c>
      <c r="D57" s="27">
        <v>1772449</v>
      </c>
    </row>
    <row r="58" spans="2:4" x14ac:dyDescent="0.2">
      <c r="B58" s="25" t="s">
        <v>94</v>
      </c>
      <c r="C58" s="27">
        <v>-701092</v>
      </c>
      <c r="D58" s="27">
        <v>-144084</v>
      </c>
    </row>
    <row r="59" spans="2:4" x14ac:dyDescent="0.2">
      <c r="B59" s="25" t="s">
        <v>93</v>
      </c>
      <c r="C59" s="27">
        <v>71073</v>
      </c>
      <c r="D59" s="27">
        <v>79029</v>
      </c>
    </row>
    <row r="60" spans="2:4" x14ac:dyDescent="0.2">
      <c r="B60" s="25" t="s">
        <v>92</v>
      </c>
      <c r="C60" s="27">
        <v>824535</v>
      </c>
      <c r="D60" s="27">
        <v>1635015</v>
      </c>
    </row>
    <row r="61" spans="2:4" x14ac:dyDescent="0.2">
      <c r="B61" s="25" t="s">
        <v>91</v>
      </c>
      <c r="C61" s="27">
        <v>524519</v>
      </c>
      <c r="D61" s="27">
        <v>702258</v>
      </c>
    </row>
    <row r="62" spans="2:4" x14ac:dyDescent="0.2">
      <c r="B62" s="25" t="s">
        <v>90</v>
      </c>
      <c r="C62" s="27">
        <v>1349054</v>
      </c>
      <c r="D62" s="27">
        <v>2337273</v>
      </c>
    </row>
    <row r="63" spans="2:4" x14ac:dyDescent="0.2">
      <c r="B63" s="25" t="s">
        <v>89</v>
      </c>
      <c r="C63" s="26">
        <v>2524887</v>
      </c>
      <c r="D63" s="26">
        <v>3625127</v>
      </c>
    </row>
  </sheetData>
  <hyperlinks>
    <hyperlink ref="A8" location="Table_Of_Contents!A1" display="Table Of Contents" xr:uid="{2DB5FEAE-BF8F-40BC-B7F9-AF0CC253297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D2A-049D-412E-B77D-DD724AD11F5F}">
  <sheetPr>
    <tabColor theme="1"/>
  </sheetPr>
  <dimension ref="A1"/>
  <sheetViews>
    <sheetView showGridLines="0" workbookViewId="0">
      <selection sqref="A1:XFD1048576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9A63-3BAF-4161-A75D-997AAA401D5C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282</v>
      </c>
    </row>
    <row r="7" spans="1:4" x14ac:dyDescent="0.2">
      <c r="A7" s="30" t="s">
        <v>281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2025</v>
      </c>
      <c r="D18" s="25">
        <v>2024</v>
      </c>
    </row>
    <row r="19" spans="2:4" x14ac:dyDescent="0.2">
      <c r="B19" s="25" t="s">
        <v>222</v>
      </c>
    </row>
    <row r="20" spans="2:4" x14ac:dyDescent="0.2">
      <c r="B20" s="25" t="s">
        <v>288</v>
      </c>
      <c r="C20" s="26">
        <v>19831</v>
      </c>
      <c r="D20" s="26">
        <v>33873</v>
      </c>
    </row>
    <row r="21" spans="2:4" x14ac:dyDescent="0.2">
      <c r="B21" s="25" t="s">
        <v>296</v>
      </c>
    </row>
    <row r="22" spans="2:4" x14ac:dyDescent="0.2">
      <c r="B22" s="25" t="s">
        <v>295</v>
      </c>
    </row>
    <row r="23" spans="2:4" x14ac:dyDescent="0.2">
      <c r="B23" s="25" t="s">
        <v>168</v>
      </c>
      <c r="C23" s="27">
        <v>3631</v>
      </c>
      <c r="D23" s="28">
        <v>0</v>
      </c>
    </row>
    <row r="24" spans="2:4" x14ac:dyDescent="0.2">
      <c r="B24" s="25" t="s">
        <v>169</v>
      </c>
      <c r="C24" s="27">
        <v>9585</v>
      </c>
      <c r="D24" s="27">
        <v>17206</v>
      </c>
    </row>
    <row r="25" spans="2:4" x14ac:dyDescent="0.2">
      <c r="B25" s="25" t="s">
        <v>219</v>
      </c>
      <c r="C25" s="27">
        <v>2636</v>
      </c>
      <c r="D25" s="27">
        <v>-1578</v>
      </c>
    </row>
    <row r="26" spans="2:4" x14ac:dyDescent="0.2">
      <c r="B26" s="25" t="s">
        <v>294</v>
      </c>
      <c r="C26" s="27">
        <v>-2282</v>
      </c>
      <c r="D26" s="27">
        <v>-15689</v>
      </c>
    </row>
    <row r="27" spans="2:4" x14ac:dyDescent="0.2">
      <c r="B27" s="25" t="s">
        <v>216</v>
      </c>
      <c r="C27" s="27">
        <v>790</v>
      </c>
      <c r="D27" s="27">
        <v>894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857</v>
      </c>
      <c r="D29" s="27">
        <v>230</v>
      </c>
    </row>
    <row r="30" spans="2:4" x14ac:dyDescent="0.2">
      <c r="B30" s="25" t="s">
        <v>213</v>
      </c>
      <c r="C30" s="27">
        <v>1327</v>
      </c>
      <c r="D30" s="27">
        <v>164</v>
      </c>
    </row>
    <row r="31" spans="2:4" x14ac:dyDescent="0.2">
      <c r="B31" s="25" t="s">
        <v>212</v>
      </c>
      <c r="C31" s="27">
        <v>4138</v>
      </c>
      <c r="D31" s="27">
        <v>26</v>
      </c>
    </row>
    <row r="32" spans="2:4" x14ac:dyDescent="0.2">
      <c r="B32" s="25" t="s">
        <v>211</v>
      </c>
      <c r="C32" s="27">
        <v>10860</v>
      </c>
      <c r="D32" s="27">
        <v>145</v>
      </c>
    </row>
    <row r="33" spans="2:4" x14ac:dyDescent="0.2">
      <c r="B33" s="25" t="s">
        <v>206</v>
      </c>
      <c r="C33" s="27">
        <v>1058</v>
      </c>
      <c r="D33" s="27">
        <v>-3237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-720</v>
      </c>
      <c r="D35" s="27">
        <v>3566</v>
      </c>
    </row>
    <row r="36" spans="2:4" x14ac:dyDescent="0.2">
      <c r="B36" s="25" t="s">
        <v>134</v>
      </c>
      <c r="C36" s="27">
        <v>1559</v>
      </c>
      <c r="D36" s="27">
        <v>-4267</v>
      </c>
    </row>
    <row r="37" spans="2:4" x14ac:dyDescent="0.2">
      <c r="B37" s="25" t="s">
        <v>124</v>
      </c>
      <c r="C37" s="27">
        <v>-1977</v>
      </c>
      <c r="D37" s="27">
        <v>3386</v>
      </c>
    </row>
    <row r="38" spans="2:4" x14ac:dyDescent="0.2">
      <c r="B38" s="25" t="s">
        <v>123</v>
      </c>
      <c r="C38" s="27">
        <v>-1729</v>
      </c>
      <c r="D38" s="27">
        <v>-1973</v>
      </c>
    </row>
    <row r="39" spans="2:4" x14ac:dyDescent="0.2">
      <c r="B39" s="25" t="s">
        <v>208</v>
      </c>
      <c r="C39" s="28">
        <v>0</v>
      </c>
      <c r="D39" s="27">
        <v>-17315</v>
      </c>
    </row>
    <row r="40" spans="2:4" x14ac:dyDescent="0.2">
      <c r="B40" s="25" t="s">
        <v>207</v>
      </c>
      <c r="C40" s="27">
        <v>-888</v>
      </c>
      <c r="D40" s="27">
        <v>-386</v>
      </c>
    </row>
    <row r="41" spans="2:4" x14ac:dyDescent="0.2">
      <c r="B41" s="25" t="s">
        <v>122</v>
      </c>
      <c r="C41" s="27">
        <v>-5475</v>
      </c>
      <c r="D41" s="27">
        <v>-12880</v>
      </c>
    </row>
    <row r="42" spans="2:4" x14ac:dyDescent="0.2">
      <c r="B42" s="25" t="s">
        <v>206</v>
      </c>
      <c r="C42" s="27">
        <v>44</v>
      </c>
      <c r="D42" s="27">
        <v>255</v>
      </c>
    </row>
    <row r="43" spans="2:4" x14ac:dyDescent="0.2">
      <c r="B43" s="25" t="s">
        <v>205</v>
      </c>
      <c r="C43" s="27">
        <v>43245</v>
      </c>
      <c r="D43" s="27">
        <v>2420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-2411</v>
      </c>
      <c r="D45" s="27">
        <v>-2801</v>
      </c>
    </row>
    <row r="46" spans="2:4" x14ac:dyDescent="0.2">
      <c r="B46" s="25" t="s">
        <v>200</v>
      </c>
      <c r="C46" s="27">
        <v>-2411</v>
      </c>
      <c r="D46" s="27">
        <v>-2801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-7</v>
      </c>
      <c r="D49" s="27">
        <v>-2721</v>
      </c>
    </row>
    <row r="50" spans="2:4" x14ac:dyDescent="0.2">
      <c r="B50" s="25" t="s">
        <v>196</v>
      </c>
      <c r="C50" s="27">
        <v>-28682</v>
      </c>
      <c r="D50" s="27">
        <v>-62108</v>
      </c>
    </row>
    <row r="51" spans="2:4" x14ac:dyDescent="0.2">
      <c r="B51" s="25" t="s">
        <v>195</v>
      </c>
      <c r="C51" s="28">
        <v>0</v>
      </c>
      <c r="D51" s="27">
        <v>-22155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-3422</v>
      </c>
      <c r="D53" s="27">
        <v>-5944</v>
      </c>
    </row>
    <row r="54" spans="2:4" x14ac:dyDescent="0.2">
      <c r="B54" s="25" t="s">
        <v>192</v>
      </c>
      <c r="C54" s="27">
        <v>-8917</v>
      </c>
      <c r="D54" s="28">
        <v>0</v>
      </c>
    </row>
    <row r="55" spans="2:4" x14ac:dyDescent="0.2">
      <c r="B55" s="25" t="s">
        <v>191</v>
      </c>
      <c r="C55" s="27">
        <v>-42466</v>
      </c>
      <c r="D55" s="27">
        <v>-94366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328</v>
      </c>
      <c r="D57" s="27">
        <v>1598</v>
      </c>
    </row>
    <row r="58" spans="2:4" x14ac:dyDescent="0.2">
      <c r="B58" s="25" t="s">
        <v>293</v>
      </c>
    </row>
    <row r="59" spans="2:4" x14ac:dyDescent="0.2">
      <c r="B59" s="25" t="s">
        <v>292</v>
      </c>
      <c r="C59" s="27">
        <v>-1304</v>
      </c>
      <c r="D59" s="27">
        <v>-93149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207062</v>
      </c>
      <c r="D61" s="27">
        <v>359202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205758</v>
      </c>
      <c r="D63" s="27">
        <v>266053</v>
      </c>
    </row>
    <row r="64" spans="2:4" x14ac:dyDescent="0.2">
      <c r="B64" s="25" t="s">
        <v>182</v>
      </c>
      <c r="C64" s="27">
        <v>-3515</v>
      </c>
      <c r="D64" s="27">
        <v>-3354</v>
      </c>
    </row>
    <row r="65" spans="2:4" x14ac:dyDescent="0.2">
      <c r="B65" s="25" t="s">
        <v>181</v>
      </c>
      <c r="C65" s="26">
        <v>202243</v>
      </c>
      <c r="D65" s="26">
        <v>262699</v>
      </c>
    </row>
  </sheetData>
  <hyperlinks>
    <hyperlink ref="A8" location="Table_Of_Contents!A1" display="Table Of Contents" xr:uid="{E701F9AC-3176-4D42-9CD0-B56450A9210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8EE-0DA8-43A3-8E58-1E1B703A753A}">
  <dimension ref="A1:E68"/>
  <sheetViews>
    <sheetView topLeftCell="A2" workbookViewId="0">
      <selection activeCell="E44" sqref="E44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20" style="25" customWidth="1" outlineLevel="7"/>
    <col min="4" max="4" width="11" style="25" customWidth="1" outlineLevel="7"/>
    <col min="5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148</v>
      </c>
    </row>
    <row r="7" spans="1:5" x14ac:dyDescent="0.2">
      <c r="A7" s="30" t="s">
        <v>147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225</v>
      </c>
    </row>
    <row r="12" spans="1:5" x14ac:dyDescent="0.2">
      <c r="B12" s="25" t="s">
        <v>224</v>
      </c>
    </row>
    <row r="13" spans="1:5" x14ac:dyDescent="0.2">
      <c r="B13" s="25" t="s">
        <v>143</v>
      </c>
    </row>
    <row r="16" spans="1:5" x14ac:dyDescent="0.2">
      <c r="B16" s="25" t="s">
        <v>141</v>
      </c>
      <c r="C16" s="25" t="s">
        <v>176</v>
      </c>
      <c r="D16" s="32" t="s">
        <v>176</v>
      </c>
      <c r="E16" s="25" t="s">
        <v>141</v>
      </c>
    </row>
    <row r="17" spans="2:5" x14ac:dyDescent="0.2">
      <c r="B17" s="25" t="s">
        <v>141</v>
      </c>
      <c r="C17" s="25" t="s">
        <v>223</v>
      </c>
      <c r="D17" s="32" t="s">
        <v>223</v>
      </c>
      <c r="E17" s="25" t="s">
        <v>141</v>
      </c>
    </row>
    <row r="18" spans="2:5" x14ac:dyDescent="0.2">
      <c r="B18" s="25" t="s">
        <v>141</v>
      </c>
      <c r="C18" s="25" t="s">
        <v>140</v>
      </c>
      <c r="D18" s="27">
        <v>30</v>
      </c>
      <c r="E18" s="25">
        <v>2023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6">
        <v>-777700</v>
      </c>
      <c r="D20" s="25" t="s">
        <v>141</v>
      </c>
      <c r="E20" s="26">
        <v>30144</v>
      </c>
    </row>
    <row r="21" spans="2:5" x14ac:dyDescent="0.2">
      <c r="B21" s="25" t="s">
        <v>221</v>
      </c>
    </row>
    <row r="22" spans="2:5" x14ac:dyDescent="0.2">
      <c r="B22" s="25" t="s">
        <v>220</v>
      </c>
    </row>
    <row r="23" spans="2:5" x14ac:dyDescent="0.2">
      <c r="B23" s="25" t="s">
        <v>168</v>
      </c>
      <c r="C23" s="27">
        <v>892248</v>
      </c>
      <c r="D23" s="25" t="s">
        <v>141</v>
      </c>
      <c r="E23" s="28">
        <v>0</v>
      </c>
    </row>
    <row r="24" spans="2:5" x14ac:dyDescent="0.2">
      <c r="B24" s="25" t="s">
        <v>169</v>
      </c>
      <c r="C24" s="27">
        <v>52542</v>
      </c>
      <c r="D24" s="25" t="s">
        <v>141</v>
      </c>
      <c r="E24" s="27">
        <v>50825</v>
      </c>
    </row>
    <row r="25" spans="2:5" x14ac:dyDescent="0.2">
      <c r="B25" s="25" t="s">
        <v>219</v>
      </c>
      <c r="C25" s="27">
        <v>6995</v>
      </c>
      <c r="D25" s="25" t="s">
        <v>141</v>
      </c>
      <c r="E25" s="27">
        <v>9029</v>
      </c>
    </row>
    <row r="26" spans="2:5" x14ac:dyDescent="0.2">
      <c r="B26" s="25" t="s">
        <v>218</v>
      </c>
    </row>
    <row r="27" spans="2:5" x14ac:dyDescent="0.2">
      <c r="B27" s="25" t="s">
        <v>217</v>
      </c>
      <c r="C27" s="27">
        <v>-22032</v>
      </c>
      <c r="D27" s="25" t="s">
        <v>141</v>
      </c>
      <c r="E27" s="27">
        <v>-24241</v>
      </c>
    </row>
    <row r="28" spans="2:5" x14ac:dyDescent="0.2">
      <c r="B28" s="25" t="s">
        <v>216</v>
      </c>
      <c r="C28" s="27">
        <v>2598</v>
      </c>
      <c r="D28" s="25" t="s">
        <v>141</v>
      </c>
      <c r="E28" s="27">
        <v>2640</v>
      </c>
    </row>
    <row r="29" spans="2:5" x14ac:dyDescent="0.2">
      <c r="B29" s="25" t="s">
        <v>215</v>
      </c>
    </row>
    <row r="30" spans="2:5" x14ac:dyDescent="0.2">
      <c r="B30" s="25" t="s">
        <v>214</v>
      </c>
      <c r="C30" s="27">
        <v>951</v>
      </c>
      <c r="D30" s="25" t="s">
        <v>141</v>
      </c>
      <c r="E30" s="28">
        <v>0</v>
      </c>
    </row>
    <row r="31" spans="2:5" x14ac:dyDescent="0.2">
      <c r="B31" s="25" t="s">
        <v>213</v>
      </c>
      <c r="C31" s="27">
        <v>314</v>
      </c>
      <c r="D31" s="25" t="s">
        <v>141</v>
      </c>
      <c r="E31" s="27">
        <v>-8880</v>
      </c>
    </row>
    <row r="32" spans="2:5" x14ac:dyDescent="0.2">
      <c r="B32" s="25" t="s">
        <v>212</v>
      </c>
      <c r="C32" s="27">
        <v>12273</v>
      </c>
      <c r="D32" s="25" t="s">
        <v>141</v>
      </c>
      <c r="E32" s="27">
        <v>83660</v>
      </c>
    </row>
    <row r="33" spans="2:5" x14ac:dyDescent="0.2">
      <c r="B33" s="25" t="s">
        <v>211</v>
      </c>
      <c r="C33" s="27">
        <v>8015</v>
      </c>
      <c r="D33" s="25" t="s">
        <v>141</v>
      </c>
      <c r="E33" s="27">
        <v>-3300</v>
      </c>
    </row>
    <row r="34" spans="2:5" x14ac:dyDescent="0.2">
      <c r="B34" s="25" t="s">
        <v>206</v>
      </c>
      <c r="C34" s="27">
        <v>-15655</v>
      </c>
      <c r="D34" s="25" t="s">
        <v>141</v>
      </c>
      <c r="E34" s="27">
        <v>1240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1262</v>
      </c>
      <c r="D36" s="25" t="s">
        <v>141</v>
      </c>
      <c r="E36" s="27">
        <v>-32759</v>
      </c>
    </row>
    <row r="37" spans="2:5" x14ac:dyDescent="0.2">
      <c r="B37" s="25" t="s">
        <v>134</v>
      </c>
      <c r="C37" s="27">
        <v>-1659</v>
      </c>
      <c r="D37" s="25" t="s">
        <v>141</v>
      </c>
      <c r="E37" s="27">
        <v>-1784</v>
      </c>
    </row>
    <row r="38" spans="2:5" x14ac:dyDescent="0.2">
      <c r="B38" s="25" t="s">
        <v>124</v>
      </c>
      <c r="C38" s="27">
        <v>2258</v>
      </c>
      <c r="D38" s="25" t="s">
        <v>141</v>
      </c>
      <c r="E38" s="27">
        <v>2464</v>
      </c>
    </row>
    <row r="39" spans="2:5" x14ac:dyDescent="0.2">
      <c r="B39" s="25" t="s">
        <v>123</v>
      </c>
      <c r="C39" s="27">
        <v>-3420</v>
      </c>
      <c r="D39" s="25" t="s">
        <v>141</v>
      </c>
      <c r="E39" s="27">
        <v>3149</v>
      </c>
    </row>
    <row r="40" spans="2:5" x14ac:dyDescent="0.2">
      <c r="B40" s="25" t="s">
        <v>208</v>
      </c>
      <c r="C40" s="27">
        <v>-26044</v>
      </c>
      <c r="D40" s="25" t="s">
        <v>141</v>
      </c>
      <c r="E40" s="27">
        <v>1475</v>
      </c>
    </row>
    <row r="41" spans="2:5" x14ac:dyDescent="0.2">
      <c r="B41" s="25" t="s">
        <v>207</v>
      </c>
      <c r="C41" s="27">
        <v>-1028</v>
      </c>
      <c r="D41" s="25" t="s">
        <v>141</v>
      </c>
      <c r="E41" s="27">
        <v>-2991</v>
      </c>
    </row>
    <row r="42" spans="2:5" x14ac:dyDescent="0.2">
      <c r="B42" s="25" t="s">
        <v>122</v>
      </c>
      <c r="C42" s="27">
        <v>-3652</v>
      </c>
      <c r="D42" s="25" t="s">
        <v>141</v>
      </c>
      <c r="E42" s="27">
        <v>7664</v>
      </c>
    </row>
    <row r="43" spans="2:5" x14ac:dyDescent="0.2">
      <c r="B43" s="25" t="s">
        <v>206</v>
      </c>
      <c r="C43" s="27">
        <v>573</v>
      </c>
      <c r="D43" s="25" t="s">
        <v>141</v>
      </c>
      <c r="E43" s="27">
        <v>334</v>
      </c>
    </row>
    <row r="44" spans="2:5" x14ac:dyDescent="0.2">
      <c r="B44" s="25" t="s">
        <v>205</v>
      </c>
      <c r="C44" s="27">
        <v>128839</v>
      </c>
      <c r="D44" s="25" t="s">
        <v>141</v>
      </c>
      <c r="E44" s="27">
        <v>118669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-6150</v>
      </c>
      <c r="D46" s="25" t="s">
        <v>141</v>
      </c>
      <c r="E46" s="27">
        <v>-12769</v>
      </c>
    </row>
    <row r="47" spans="2:5" x14ac:dyDescent="0.2">
      <c r="B47" s="25" t="s">
        <v>202</v>
      </c>
      <c r="C47" s="28">
        <v>0</v>
      </c>
      <c r="D47" s="25" t="s">
        <v>141</v>
      </c>
      <c r="E47" s="27">
        <v>-9820</v>
      </c>
    </row>
    <row r="48" spans="2:5" x14ac:dyDescent="0.2">
      <c r="B48" s="25" t="s">
        <v>201</v>
      </c>
      <c r="C48" s="27">
        <v>-17435</v>
      </c>
      <c r="D48" s="25" t="s">
        <v>141</v>
      </c>
      <c r="E48" s="28">
        <v>0</v>
      </c>
    </row>
    <row r="49" spans="2:5" x14ac:dyDescent="0.2">
      <c r="B49" s="25" t="s">
        <v>200</v>
      </c>
      <c r="C49" s="27">
        <v>-23585</v>
      </c>
      <c r="D49" s="25" t="s">
        <v>141</v>
      </c>
      <c r="E49" s="27">
        <v>-22589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-4313</v>
      </c>
      <c r="D51" s="25" t="s">
        <v>141</v>
      </c>
      <c r="E51" s="27">
        <v>-4313</v>
      </c>
    </row>
    <row r="52" spans="2:5" x14ac:dyDescent="0.2">
      <c r="B52" s="25" t="s">
        <v>197</v>
      </c>
      <c r="C52" s="27">
        <v>-7877</v>
      </c>
      <c r="D52" s="25" t="s">
        <v>141</v>
      </c>
      <c r="E52" s="27">
        <v>-19287</v>
      </c>
    </row>
    <row r="53" spans="2:5" x14ac:dyDescent="0.2">
      <c r="B53" s="25" t="s">
        <v>196</v>
      </c>
      <c r="C53" s="27">
        <v>-151843</v>
      </c>
      <c r="D53" s="25" t="s">
        <v>141</v>
      </c>
      <c r="E53" s="27">
        <v>-20890</v>
      </c>
    </row>
    <row r="54" spans="2:5" x14ac:dyDescent="0.2">
      <c r="B54" s="25" t="s">
        <v>195</v>
      </c>
      <c r="C54" s="27">
        <v>-22184</v>
      </c>
      <c r="D54" s="25" t="s">
        <v>141</v>
      </c>
      <c r="E54" s="28">
        <v>0</v>
      </c>
    </row>
    <row r="55" spans="2:5" x14ac:dyDescent="0.2">
      <c r="B55" s="25" t="s">
        <v>194</v>
      </c>
    </row>
    <row r="56" spans="2:5" x14ac:dyDescent="0.2">
      <c r="B56" s="25" t="s">
        <v>193</v>
      </c>
      <c r="C56" s="27">
        <v>-9590</v>
      </c>
      <c r="D56" s="25" t="s">
        <v>141</v>
      </c>
      <c r="E56" s="27">
        <v>-13865</v>
      </c>
    </row>
    <row r="57" spans="2:5" x14ac:dyDescent="0.2">
      <c r="B57" s="25" t="s">
        <v>192</v>
      </c>
      <c r="C57" s="27">
        <v>-11942</v>
      </c>
      <c r="D57" s="25" t="s">
        <v>141</v>
      </c>
      <c r="E57" s="28">
        <v>0</v>
      </c>
    </row>
    <row r="58" spans="2:5" x14ac:dyDescent="0.2">
      <c r="B58" s="25" t="s">
        <v>191</v>
      </c>
      <c r="C58" s="27">
        <v>-207749</v>
      </c>
      <c r="D58" s="25" t="s">
        <v>141</v>
      </c>
      <c r="E58" s="27">
        <v>-58355</v>
      </c>
    </row>
    <row r="59" spans="2:5" x14ac:dyDescent="0.2">
      <c r="B59" s="25" t="s">
        <v>190</v>
      </c>
    </row>
    <row r="60" spans="2:5" x14ac:dyDescent="0.2">
      <c r="B60" s="25" t="s">
        <v>189</v>
      </c>
      <c r="C60" s="27">
        <v>-1443</v>
      </c>
      <c r="D60" s="25" t="s">
        <v>141</v>
      </c>
      <c r="E60" s="27">
        <v>-2117</v>
      </c>
    </row>
    <row r="61" spans="2:5" x14ac:dyDescent="0.2">
      <c r="B61" s="25" t="s">
        <v>188</v>
      </c>
    </row>
    <row r="62" spans="2:5" x14ac:dyDescent="0.2">
      <c r="B62" s="25" t="s">
        <v>187</v>
      </c>
      <c r="C62" s="27">
        <v>-103938</v>
      </c>
      <c r="D62" s="25" t="s">
        <v>141</v>
      </c>
      <c r="E62" s="27">
        <v>35608</v>
      </c>
    </row>
    <row r="63" spans="2:5" x14ac:dyDescent="0.2">
      <c r="B63" s="25" t="s">
        <v>186</v>
      </c>
    </row>
    <row r="64" spans="2:5" x14ac:dyDescent="0.2">
      <c r="B64" s="25" t="s">
        <v>185</v>
      </c>
      <c r="C64" s="27">
        <v>359202</v>
      </c>
      <c r="D64" s="25" t="s">
        <v>141</v>
      </c>
      <c r="E64" s="27">
        <v>407042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7">
        <v>255264</v>
      </c>
      <c r="D66" s="25" t="s">
        <v>141</v>
      </c>
      <c r="E66" s="27">
        <v>442650</v>
      </c>
    </row>
    <row r="67" spans="2:5" x14ac:dyDescent="0.2">
      <c r="B67" s="25" t="s">
        <v>182</v>
      </c>
      <c r="C67" s="27">
        <v>-3207</v>
      </c>
      <c r="D67" s="25" t="s">
        <v>141</v>
      </c>
      <c r="E67" s="27">
        <v>-3466</v>
      </c>
    </row>
    <row r="68" spans="2:5" x14ac:dyDescent="0.2">
      <c r="B68" s="25" t="s">
        <v>181</v>
      </c>
      <c r="C68" s="26">
        <v>252057</v>
      </c>
      <c r="D68" s="25" t="s">
        <v>141</v>
      </c>
      <c r="E68" s="26">
        <v>439184</v>
      </c>
    </row>
  </sheetData>
  <hyperlinks>
    <hyperlink ref="A8" location="Table_Of_Contents!A1" display="Table Of Contents" xr:uid="{18203972-8F10-4D13-BF90-99CC4D6459BA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C73-14A1-408A-9882-7079F5A149F8}">
  <dimension ref="A1:D65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238</v>
      </c>
    </row>
    <row r="7" spans="1:4" x14ac:dyDescent="0.2">
      <c r="A7" s="30" t="s">
        <v>237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71559</v>
      </c>
      <c r="D20" s="26">
        <v>7020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34230</v>
      </c>
      <c r="D23" s="27">
        <v>33698</v>
      </c>
    </row>
    <row r="24" spans="2:4" x14ac:dyDescent="0.2">
      <c r="B24" s="25" t="s">
        <v>219</v>
      </c>
      <c r="C24" s="27">
        <v>-1692</v>
      </c>
      <c r="D24" s="27">
        <v>5233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-19343</v>
      </c>
      <c r="D26" s="27">
        <v>-12933</v>
      </c>
    </row>
    <row r="27" spans="2:4" x14ac:dyDescent="0.2">
      <c r="B27" s="25" t="s">
        <v>216</v>
      </c>
      <c r="C27" s="27">
        <v>1783</v>
      </c>
      <c r="D27" s="27">
        <v>1747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1486</v>
      </c>
      <c r="D30" s="27">
        <v>-5516</v>
      </c>
    </row>
    <row r="31" spans="2:4" x14ac:dyDescent="0.2">
      <c r="B31" s="25" t="s">
        <v>212</v>
      </c>
      <c r="C31" s="27">
        <v>2115</v>
      </c>
      <c r="D31" s="27">
        <v>62132</v>
      </c>
    </row>
    <row r="32" spans="2:4" x14ac:dyDescent="0.2">
      <c r="B32" s="25" t="s">
        <v>211</v>
      </c>
      <c r="C32" s="27">
        <v>658</v>
      </c>
      <c r="D32" s="27">
        <v>-327</v>
      </c>
    </row>
    <row r="33" spans="2:4" x14ac:dyDescent="0.2">
      <c r="B33" s="25" t="s">
        <v>206</v>
      </c>
      <c r="C33" s="27">
        <v>-2459</v>
      </c>
      <c r="D33" s="27">
        <v>22700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2662</v>
      </c>
      <c r="D35" s="27">
        <v>-30981</v>
      </c>
    </row>
    <row r="36" spans="2:4" x14ac:dyDescent="0.2">
      <c r="B36" s="25" t="s">
        <v>134</v>
      </c>
      <c r="C36" s="27">
        <v>-3945</v>
      </c>
      <c r="D36" s="27">
        <v>-2256</v>
      </c>
    </row>
    <row r="37" spans="2:4" x14ac:dyDescent="0.2">
      <c r="B37" s="25" t="s">
        <v>124</v>
      </c>
      <c r="C37" s="27">
        <v>1160</v>
      </c>
      <c r="D37" s="27">
        <v>5234</v>
      </c>
    </row>
    <row r="38" spans="2:4" x14ac:dyDescent="0.2">
      <c r="B38" s="25" t="s">
        <v>123</v>
      </c>
      <c r="C38" s="27">
        <v>-2047</v>
      </c>
      <c r="D38" s="27">
        <v>1954</v>
      </c>
    </row>
    <row r="39" spans="2:4" x14ac:dyDescent="0.2">
      <c r="B39" s="25" t="s">
        <v>208</v>
      </c>
      <c r="C39" s="27">
        <v>-25228</v>
      </c>
      <c r="D39" s="27">
        <v>-18250</v>
      </c>
    </row>
    <row r="40" spans="2:4" x14ac:dyDescent="0.2">
      <c r="B40" s="25" t="s">
        <v>207</v>
      </c>
      <c r="C40" s="27">
        <v>-752</v>
      </c>
      <c r="D40" s="27">
        <v>-1982</v>
      </c>
    </row>
    <row r="41" spans="2:4" x14ac:dyDescent="0.2">
      <c r="B41" s="25" t="s">
        <v>122</v>
      </c>
      <c r="C41" s="27">
        <v>-24997</v>
      </c>
      <c r="D41" s="27">
        <v>-11329</v>
      </c>
    </row>
    <row r="42" spans="2:4" x14ac:dyDescent="0.2">
      <c r="B42" s="25" t="s">
        <v>206</v>
      </c>
      <c r="C42" s="27">
        <v>-75</v>
      </c>
      <c r="D42" s="27">
        <v>-44</v>
      </c>
    </row>
    <row r="43" spans="2:4" x14ac:dyDescent="0.2">
      <c r="B43" s="25" t="s">
        <v>246</v>
      </c>
      <c r="C43" s="27">
        <v>35345</v>
      </c>
      <c r="D43" s="27">
        <v>56100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-4531</v>
      </c>
      <c r="D45" s="27">
        <v>-9210</v>
      </c>
    </row>
    <row r="46" spans="2:4" x14ac:dyDescent="0.2">
      <c r="B46" s="25" t="s">
        <v>202</v>
      </c>
      <c r="C46" s="28">
        <v>0</v>
      </c>
      <c r="D46" s="27">
        <v>-9877</v>
      </c>
    </row>
    <row r="47" spans="2:4" x14ac:dyDescent="0.2">
      <c r="B47" s="25" t="s">
        <v>245</v>
      </c>
      <c r="C47" s="27">
        <v>-4531</v>
      </c>
      <c r="D47" s="27">
        <v>-19087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-5618</v>
      </c>
      <c r="D50" s="27">
        <v>-19241</v>
      </c>
    </row>
    <row r="51" spans="2:4" x14ac:dyDescent="0.2">
      <c r="B51" s="25" t="s">
        <v>196</v>
      </c>
      <c r="C51" s="27">
        <v>-62108</v>
      </c>
      <c r="D51" s="27">
        <v>-20890</v>
      </c>
    </row>
    <row r="52" spans="2:4" x14ac:dyDescent="0.2">
      <c r="B52" s="25" t="s">
        <v>195</v>
      </c>
      <c r="C52" s="27">
        <v>-22155</v>
      </c>
      <c r="D52" s="28">
        <v>0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-8247</v>
      </c>
      <c r="D54" s="27">
        <v>-11694</v>
      </c>
    </row>
    <row r="55" spans="2:4" x14ac:dyDescent="0.2">
      <c r="B55" s="25" t="s">
        <v>244</v>
      </c>
      <c r="C55" s="27">
        <v>-101003</v>
      </c>
      <c r="D55" s="27">
        <v>-54700</v>
      </c>
    </row>
    <row r="56" spans="2:4" x14ac:dyDescent="0.2">
      <c r="B56" s="25" t="s">
        <v>190</v>
      </c>
    </row>
    <row r="57" spans="2:4" x14ac:dyDescent="0.2">
      <c r="B57" s="25" t="s">
        <v>189</v>
      </c>
      <c r="C57" s="27">
        <v>1217</v>
      </c>
      <c r="D57" s="27">
        <v>-4536</v>
      </c>
    </row>
    <row r="58" spans="2:4" x14ac:dyDescent="0.2">
      <c r="B58" s="25" t="s">
        <v>188</v>
      </c>
    </row>
    <row r="59" spans="2:4" x14ac:dyDescent="0.2">
      <c r="B59" s="25" t="s">
        <v>187</v>
      </c>
      <c r="C59" s="27">
        <v>-68972</v>
      </c>
      <c r="D59" s="27">
        <v>-22223</v>
      </c>
    </row>
    <row r="60" spans="2:4" x14ac:dyDescent="0.2">
      <c r="B60" s="25" t="s">
        <v>186</v>
      </c>
    </row>
    <row r="61" spans="2:4" x14ac:dyDescent="0.2">
      <c r="B61" s="25" t="s">
        <v>185</v>
      </c>
      <c r="C61" s="27">
        <v>359202</v>
      </c>
      <c r="D61" s="27">
        <v>407042</v>
      </c>
    </row>
    <row r="62" spans="2:4" x14ac:dyDescent="0.2">
      <c r="B62" s="25" t="s">
        <v>184</v>
      </c>
    </row>
    <row r="63" spans="2:4" x14ac:dyDescent="0.2">
      <c r="B63" s="25" t="s">
        <v>183</v>
      </c>
      <c r="C63" s="27">
        <v>290230</v>
      </c>
      <c r="D63" s="27">
        <v>384819</v>
      </c>
    </row>
    <row r="64" spans="2:4" x14ac:dyDescent="0.2">
      <c r="B64" s="25" t="s">
        <v>182</v>
      </c>
      <c r="C64" s="27">
        <v>-3566</v>
      </c>
      <c r="D64" s="27">
        <v>-3800</v>
      </c>
    </row>
    <row r="65" spans="2:4" x14ac:dyDescent="0.2">
      <c r="B65" s="25" t="s">
        <v>181</v>
      </c>
      <c r="C65" s="26">
        <v>286664</v>
      </c>
      <c r="D65" s="26">
        <v>381019</v>
      </c>
    </row>
  </sheetData>
  <hyperlinks>
    <hyperlink ref="A8" location="Table_Of_Contents!A1" display="Table Of Contents" xr:uid="{B43F7436-A541-48EA-8FF7-29FFD27E535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01BF-F055-4839-B288-A351509B83EE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259</v>
      </c>
    </row>
    <row r="7" spans="1:4" x14ac:dyDescent="0.2">
      <c r="A7" s="30" t="s">
        <v>258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2024</v>
      </c>
      <c r="D18" s="25">
        <v>2023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33873</v>
      </c>
      <c r="D20" s="26">
        <v>-2329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169</v>
      </c>
      <c r="C23" s="27">
        <v>17206</v>
      </c>
      <c r="D23" s="27">
        <v>16731</v>
      </c>
    </row>
    <row r="24" spans="2:4" x14ac:dyDescent="0.2">
      <c r="B24" s="25" t="s">
        <v>219</v>
      </c>
      <c r="C24" s="27">
        <v>-1578</v>
      </c>
      <c r="D24" s="27">
        <v>4233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-15689</v>
      </c>
      <c r="D26" s="27">
        <v>-646</v>
      </c>
    </row>
    <row r="27" spans="2:4" x14ac:dyDescent="0.2">
      <c r="B27" s="25" t="s">
        <v>216</v>
      </c>
      <c r="C27" s="27">
        <v>894</v>
      </c>
      <c r="D27" s="27">
        <v>862</v>
      </c>
    </row>
    <row r="28" spans="2:4" x14ac:dyDescent="0.2">
      <c r="B28" s="25" t="s">
        <v>215</v>
      </c>
    </row>
    <row r="29" spans="2:4" x14ac:dyDescent="0.2">
      <c r="B29" s="25" t="s">
        <v>214</v>
      </c>
      <c r="C29" s="27">
        <v>230</v>
      </c>
      <c r="D29" s="28">
        <v>0</v>
      </c>
    </row>
    <row r="30" spans="2:4" x14ac:dyDescent="0.2">
      <c r="B30" s="25" t="s">
        <v>213</v>
      </c>
      <c r="C30" s="27">
        <v>164</v>
      </c>
      <c r="D30" s="27">
        <v>-2721</v>
      </c>
    </row>
    <row r="31" spans="2:4" x14ac:dyDescent="0.2">
      <c r="B31" s="25" t="s">
        <v>212</v>
      </c>
      <c r="C31" s="27">
        <v>26</v>
      </c>
      <c r="D31" s="27">
        <v>28584</v>
      </c>
    </row>
    <row r="32" spans="2:4" x14ac:dyDescent="0.2">
      <c r="B32" s="25" t="s">
        <v>211</v>
      </c>
      <c r="C32" s="27">
        <v>145</v>
      </c>
      <c r="D32" s="27">
        <v>-1990</v>
      </c>
    </row>
    <row r="33" spans="2:4" x14ac:dyDescent="0.2">
      <c r="B33" s="25" t="s">
        <v>206</v>
      </c>
      <c r="C33" s="27">
        <v>-3237</v>
      </c>
      <c r="D33" s="27">
        <v>11855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3566</v>
      </c>
      <c r="D35" s="27">
        <v>-26034</v>
      </c>
    </row>
    <row r="36" spans="2:4" x14ac:dyDescent="0.2">
      <c r="B36" s="25" t="s">
        <v>134</v>
      </c>
      <c r="C36" s="27">
        <v>-4267</v>
      </c>
      <c r="D36" s="27">
        <v>-7060</v>
      </c>
    </row>
    <row r="37" spans="2:4" x14ac:dyDescent="0.2">
      <c r="B37" s="25" t="s">
        <v>124</v>
      </c>
      <c r="C37" s="27">
        <v>3386</v>
      </c>
      <c r="D37" s="27">
        <v>6037</v>
      </c>
    </row>
    <row r="38" spans="2:4" x14ac:dyDescent="0.2">
      <c r="B38" s="25" t="s">
        <v>123</v>
      </c>
      <c r="C38" s="27">
        <v>-1973</v>
      </c>
      <c r="D38" s="27">
        <v>1021</v>
      </c>
    </row>
    <row r="39" spans="2:4" x14ac:dyDescent="0.2">
      <c r="B39" s="25" t="s">
        <v>208</v>
      </c>
      <c r="C39" s="27">
        <v>-17315</v>
      </c>
      <c r="D39" s="28">
        <v>0</v>
      </c>
    </row>
    <row r="40" spans="2:4" x14ac:dyDescent="0.2">
      <c r="B40" s="25" t="s">
        <v>207</v>
      </c>
      <c r="C40" s="27">
        <v>-386</v>
      </c>
      <c r="D40" s="27">
        <v>-959</v>
      </c>
    </row>
    <row r="41" spans="2:4" x14ac:dyDescent="0.2">
      <c r="B41" s="25" t="s">
        <v>122</v>
      </c>
      <c r="C41" s="27">
        <v>-12880</v>
      </c>
      <c r="D41" s="27">
        <v>-14164</v>
      </c>
    </row>
    <row r="42" spans="2:4" x14ac:dyDescent="0.2">
      <c r="B42" s="25" t="s">
        <v>206</v>
      </c>
      <c r="C42" s="27">
        <v>255</v>
      </c>
      <c r="D42" s="27">
        <v>-31</v>
      </c>
    </row>
    <row r="43" spans="2:4" x14ac:dyDescent="0.2">
      <c r="B43" s="25" t="s">
        <v>246</v>
      </c>
      <c r="C43" s="27">
        <v>2420</v>
      </c>
      <c r="D43" s="27">
        <v>13389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-2801</v>
      </c>
      <c r="D45" s="27">
        <v>-6811</v>
      </c>
    </row>
    <row r="46" spans="2:4" x14ac:dyDescent="0.2">
      <c r="B46" s="25" t="s">
        <v>245</v>
      </c>
      <c r="C46" s="27">
        <v>-2801</v>
      </c>
      <c r="D46" s="27">
        <v>-6811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197</v>
      </c>
      <c r="C49" s="27">
        <v>-2721</v>
      </c>
      <c r="D49" s="27">
        <v>-5409</v>
      </c>
    </row>
    <row r="50" spans="2:4" x14ac:dyDescent="0.2">
      <c r="B50" s="25" t="s">
        <v>196</v>
      </c>
      <c r="C50" s="27">
        <v>-62108</v>
      </c>
      <c r="D50" s="28">
        <v>0</v>
      </c>
    </row>
    <row r="51" spans="2:4" x14ac:dyDescent="0.2">
      <c r="B51" s="25" t="s">
        <v>195</v>
      </c>
      <c r="C51" s="27">
        <v>-22155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-5944</v>
      </c>
      <c r="D53" s="27">
        <v>-9321</v>
      </c>
    </row>
    <row r="54" spans="2:4" x14ac:dyDescent="0.2">
      <c r="B54" s="25" t="s">
        <v>244</v>
      </c>
      <c r="C54" s="27">
        <v>-94366</v>
      </c>
      <c r="D54" s="27">
        <v>-16168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1598</v>
      </c>
      <c r="D56" s="27">
        <v>-4261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-93149</v>
      </c>
      <c r="D58" s="27">
        <v>-13851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359202</v>
      </c>
      <c r="D60" s="27">
        <v>407042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266053</v>
      </c>
      <c r="D62" s="27">
        <v>393191</v>
      </c>
    </row>
    <row r="63" spans="2:4" x14ac:dyDescent="0.2">
      <c r="B63" s="25" t="s">
        <v>182</v>
      </c>
      <c r="C63" s="27">
        <v>-3354</v>
      </c>
      <c r="D63" s="27">
        <v>-4236</v>
      </c>
    </row>
    <row r="64" spans="2:4" x14ac:dyDescent="0.2">
      <c r="B64" s="25" t="s">
        <v>181</v>
      </c>
      <c r="C64" s="26">
        <v>262699</v>
      </c>
      <c r="D64" s="26">
        <v>388955</v>
      </c>
    </row>
  </sheetData>
  <hyperlinks>
    <hyperlink ref="A8" location="Table_Of_Contents!A1" display="Table Of Contents" xr:uid="{783BD5BB-60AC-410B-9940-360AD77B2B46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A796-E371-468A-9D40-DC7851749E66}">
  <dimension ref="A1:F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3" width="11" style="25" customWidth="1" outlineLevel="7"/>
    <col min="4" max="4" width="17" style="25" customWidth="1" outlineLevel="7"/>
    <col min="5" max="5" width="11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149</v>
      </c>
    </row>
    <row r="6" spans="1:6" x14ac:dyDescent="0.2">
      <c r="A6" s="30" t="s">
        <v>310</v>
      </c>
    </row>
    <row r="7" spans="1:6" x14ac:dyDescent="0.2">
      <c r="A7" s="30" t="s">
        <v>309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225</v>
      </c>
      <c r="C11" s="25" t="s">
        <v>141</v>
      </c>
    </row>
    <row r="12" spans="1:6" x14ac:dyDescent="0.2">
      <c r="B12" s="32" t="s">
        <v>224</v>
      </c>
      <c r="C12" s="25" t="s">
        <v>141</v>
      </c>
    </row>
    <row r="13" spans="1:6" x14ac:dyDescent="0.2">
      <c r="B13" s="32" t="s">
        <v>143</v>
      </c>
      <c r="C13" s="25" t="s">
        <v>141</v>
      </c>
    </row>
    <row r="16" spans="1:6" x14ac:dyDescent="0.2">
      <c r="B16" s="25" t="s">
        <v>141</v>
      </c>
      <c r="C16" s="32" t="s">
        <v>176</v>
      </c>
      <c r="D16" s="25" t="s">
        <v>141</v>
      </c>
      <c r="E16" s="32" t="s">
        <v>176</v>
      </c>
      <c r="F16" s="25" t="s">
        <v>141</v>
      </c>
    </row>
    <row r="17" spans="2:6" x14ac:dyDescent="0.2">
      <c r="B17" s="25" t="s">
        <v>141</v>
      </c>
      <c r="C17" s="32" t="s">
        <v>223</v>
      </c>
      <c r="D17" s="25" t="s">
        <v>141</v>
      </c>
      <c r="E17" s="32" t="s">
        <v>223</v>
      </c>
      <c r="F17" s="25" t="s">
        <v>141</v>
      </c>
    </row>
    <row r="18" spans="2:6" x14ac:dyDescent="0.2">
      <c r="B18" s="25" t="s">
        <v>141</v>
      </c>
      <c r="C18" s="27">
        <v>30</v>
      </c>
      <c r="D18" s="25">
        <v>2023</v>
      </c>
      <c r="E18" s="27">
        <v>30</v>
      </c>
      <c r="F18" s="25">
        <v>2022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5" t="s">
        <v>141</v>
      </c>
      <c r="D20" s="26">
        <v>30144</v>
      </c>
      <c r="E20" s="25" t="s">
        <v>141</v>
      </c>
      <c r="F20" s="26">
        <v>45122</v>
      </c>
    </row>
    <row r="21" spans="2:6" x14ac:dyDescent="0.2">
      <c r="B21" s="25" t="s">
        <v>221</v>
      </c>
    </row>
    <row r="22" spans="2:6" x14ac:dyDescent="0.2">
      <c r="B22" s="25" t="s">
        <v>247</v>
      </c>
    </row>
    <row r="23" spans="2:6" x14ac:dyDescent="0.2">
      <c r="B23" s="25" t="s">
        <v>311</v>
      </c>
      <c r="C23" s="25" t="s">
        <v>141</v>
      </c>
      <c r="D23" s="27">
        <v>50825</v>
      </c>
      <c r="E23" s="25" t="s">
        <v>141</v>
      </c>
      <c r="F23" s="27">
        <v>73835</v>
      </c>
    </row>
    <row r="24" spans="2:6" x14ac:dyDescent="0.2">
      <c r="B24" s="25" t="s">
        <v>168</v>
      </c>
      <c r="C24" s="25" t="s">
        <v>141</v>
      </c>
      <c r="D24" s="28">
        <v>0</v>
      </c>
      <c r="E24" s="25" t="s">
        <v>141</v>
      </c>
      <c r="F24" s="27">
        <v>4388</v>
      </c>
    </row>
    <row r="25" spans="2:6" x14ac:dyDescent="0.2">
      <c r="B25" s="25" t="s">
        <v>219</v>
      </c>
      <c r="C25" s="25" t="s">
        <v>141</v>
      </c>
      <c r="D25" s="27">
        <v>9029</v>
      </c>
      <c r="E25" s="25" t="s">
        <v>141</v>
      </c>
      <c r="F25" s="27">
        <v>-18404</v>
      </c>
    </row>
    <row r="26" spans="2:6" x14ac:dyDescent="0.2">
      <c r="B26" s="25" t="s">
        <v>218</v>
      </c>
    </row>
    <row r="27" spans="2:6" x14ac:dyDescent="0.2">
      <c r="B27" s="25" t="s">
        <v>217</v>
      </c>
      <c r="C27" s="25" t="s">
        <v>141</v>
      </c>
      <c r="D27" s="27">
        <v>-24241</v>
      </c>
      <c r="E27" s="25" t="s">
        <v>141</v>
      </c>
      <c r="F27" s="27">
        <v>-46399</v>
      </c>
    </row>
    <row r="28" spans="2:6" x14ac:dyDescent="0.2">
      <c r="B28" s="25" t="s">
        <v>216</v>
      </c>
      <c r="C28" s="25" t="s">
        <v>141</v>
      </c>
      <c r="D28" s="27">
        <v>2640</v>
      </c>
      <c r="E28" s="25" t="s">
        <v>141</v>
      </c>
      <c r="F28" s="27">
        <v>3479</v>
      </c>
    </row>
    <row r="29" spans="2:6" x14ac:dyDescent="0.2">
      <c r="B29" s="25" t="s">
        <v>213</v>
      </c>
      <c r="C29" s="25" t="s">
        <v>141</v>
      </c>
      <c r="D29" s="27">
        <v>-8880</v>
      </c>
      <c r="E29" s="25" t="s">
        <v>141</v>
      </c>
      <c r="F29" s="27">
        <v>-6501</v>
      </c>
    </row>
    <row r="30" spans="2:6" x14ac:dyDescent="0.2">
      <c r="B30" s="25" t="s">
        <v>212</v>
      </c>
      <c r="C30" s="25" t="s">
        <v>141</v>
      </c>
      <c r="D30" s="27">
        <v>83660</v>
      </c>
      <c r="E30" s="25" t="s">
        <v>141</v>
      </c>
      <c r="F30" s="27">
        <v>77179</v>
      </c>
    </row>
    <row r="31" spans="2:6" x14ac:dyDescent="0.2">
      <c r="B31" s="25" t="s">
        <v>211</v>
      </c>
      <c r="C31" s="25" t="s">
        <v>141</v>
      </c>
      <c r="D31" s="27">
        <v>-3300</v>
      </c>
      <c r="E31" s="25" t="s">
        <v>141</v>
      </c>
      <c r="F31" s="27">
        <v>-28054</v>
      </c>
    </row>
    <row r="32" spans="2:6" x14ac:dyDescent="0.2">
      <c r="B32" s="25" t="s">
        <v>206</v>
      </c>
      <c r="C32" s="25" t="s">
        <v>141</v>
      </c>
      <c r="D32" s="27">
        <v>1240</v>
      </c>
      <c r="E32" s="25" t="s">
        <v>141</v>
      </c>
      <c r="F32" s="27">
        <v>12463</v>
      </c>
    </row>
    <row r="33" spans="2:6" x14ac:dyDescent="0.2">
      <c r="B33" s="25" t="s">
        <v>210</v>
      </c>
    </row>
    <row r="34" spans="2:6" x14ac:dyDescent="0.2">
      <c r="B34" s="25" t="s">
        <v>209</v>
      </c>
      <c r="C34" s="25" t="s">
        <v>141</v>
      </c>
      <c r="D34" s="27">
        <v>-32759</v>
      </c>
      <c r="E34" s="25" t="s">
        <v>141</v>
      </c>
      <c r="F34" s="27">
        <v>-5176</v>
      </c>
    </row>
    <row r="35" spans="2:6" x14ac:dyDescent="0.2">
      <c r="B35" s="25" t="s">
        <v>134</v>
      </c>
      <c r="C35" s="25" t="s">
        <v>141</v>
      </c>
      <c r="D35" s="27">
        <v>-1784</v>
      </c>
      <c r="E35" s="25" t="s">
        <v>141</v>
      </c>
      <c r="F35" s="27">
        <v>20261</v>
      </c>
    </row>
    <row r="36" spans="2:6" x14ac:dyDescent="0.2">
      <c r="B36" s="25" t="s">
        <v>124</v>
      </c>
      <c r="C36" s="25" t="s">
        <v>141</v>
      </c>
      <c r="D36" s="27">
        <v>2464</v>
      </c>
      <c r="E36" s="25" t="s">
        <v>141</v>
      </c>
      <c r="F36" s="27">
        <v>-9841</v>
      </c>
    </row>
    <row r="37" spans="2:6" x14ac:dyDescent="0.2">
      <c r="B37" s="25" t="s">
        <v>123</v>
      </c>
      <c r="C37" s="25" t="s">
        <v>141</v>
      </c>
      <c r="D37" s="27">
        <v>3149</v>
      </c>
      <c r="E37" s="25" t="s">
        <v>141</v>
      </c>
      <c r="F37" s="27">
        <v>4679</v>
      </c>
    </row>
    <row r="38" spans="2:6" x14ac:dyDescent="0.2">
      <c r="B38" s="25" t="s">
        <v>208</v>
      </c>
      <c r="C38" s="25" t="s">
        <v>141</v>
      </c>
      <c r="D38" s="27">
        <v>1475</v>
      </c>
      <c r="E38" s="25" t="s">
        <v>141</v>
      </c>
      <c r="F38" s="27">
        <v>-7130</v>
      </c>
    </row>
    <row r="39" spans="2:6" x14ac:dyDescent="0.2">
      <c r="B39" s="25" t="s">
        <v>207</v>
      </c>
      <c r="C39" s="25" t="s">
        <v>141</v>
      </c>
      <c r="D39" s="27">
        <v>-2991</v>
      </c>
      <c r="E39" s="25" t="s">
        <v>141</v>
      </c>
      <c r="F39" s="27">
        <v>-3237</v>
      </c>
    </row>
    <row r="40" spans="2:6" x14ac:dyDescent="0.2">
      <c r="B40" s="25" t="s">
        <v>122</v>
      </c>
      <c r="C40" s="25" t="s">
        <v>141</v>
      </c>
      <c r="D40" s="27">
        <v>7664</v>
      </c>
      <c r="E40" s="25" t="s">
        <v>141</v>
      </c>
      <c r="F40" s="27">
        <v>-34880</v>
      </c>
    </row>
    <row r="41" spans="2:6" x14ac:dyDescent="0.2">
      <c r="B41" s="25" t="s">
        <v>206</v>
      </c>
      <c r="C41" s="25" t="s">
        <v>141</v>
      </c>
      <c r="D41" s="27">
        <v>334</v>
      </c>
      <c r="E41" s="25" t="s">
        <v>141</v>
      </c>
      <c r="F41" s="27">
        <v>-15</v>
      </c>
    </row>
    <row r="42" spans="2:6" x14ac:dyDescent="0.2">
      <c r="B42" s="25" t="s">
        <v>246</v>
      </c>
      <c r="C42" s="25" t="s">
        <v>141</v>
      </c>
      <c r="D42" s="27">
        <v>118669</v>
      </c>
      <c r="E42" s="25" t="s">
        <v>141</v>
      </c>
      <c r="F42" s="27">
        <v>81769</v>
      </c>
    </row>
    <row r="43" spans="2:6" x14ac:dyDescent="0.2">
      <c r="B43" s="25" t="s">
        <v>204</v>
      </c>
    </row>
    <row r="44" spans="2:6" x14ac:dyDescent="0.2">
      <c r="B44" s="25" t="s">
        <v>203</v>
      </c>
      <c r="C44" s="25" t="s">
        <v>141</v>
      </c>
      <c r="D44" s="27">
        <v>-12769</v>
      </c>
      <c r="E44" s="25" t="s">
        <v>141</v>
      </c>
      <c r="F44" s="27">
        <v>-11311</v>
      </c>
    </row>
    <row r="45" spans="2:6" x14ac:dyDescent="0.2">
      <c r="B45" s="25" t="s">
        <v>202</v>
      </c>
      <c r="C45" s="25" t="s">
        <v>141</v>
      </c>
      <c r="D45" s="27">
        <v>-9820</v>
      </c>
      <c r="E45" s="25" t="s">
        <v>141</v>
      </c>
      <c r="F45" s="27">
        <v>-69720</v>
      </c>
    </row>
    <row r="46" spans="2:6" x14ac:dyDescent="0.2">
      <c r="B46" s="25" t="s">
        <v>245</v>
      </c>
      <c r="C46" s="25" t="s">
        <v>141</v>
      </c>
      <c r="D46" s="27">
        <v>-22589</v>
      </c>
      <c r="E46" s="25" t="s">
        <v>141</v>
      </c>
      <c r="F46" s="27">
        <v>-81031</v>
      </c>
    </row>
    <row r="47" spans="2:6" x14ac:dyDescent="0.2">
      <c r="B47" s="25" t="s">
        <v>199</v>
      </c>
    </row>
    <row r="48" spans="2:6" x14ac:dyDescent="0.2">
      <c r="B48" s="25" t="s">
        <v>198</v>
      </c>
      <c r="C48" s="25" t="s">
        <v>141</v>
      </c>
      <c r="D48" s="27">
        <v>-4313</v>
      </c>
      <c r="E48" s="25" t="s">
        <v>141</v>
      </c>
      <c r="F48" s="27">
        <v>-4313</v>
      </c>
    </row>
    <row r="49" spans="2:6" x14ac:dyDescent="0.2">
      <c r="B49" s="25" t="s">
        <v>197</v>
      </c>
      <c r="C49" s="25" t="s">
        <v>141</v>
      </c>
      <c r="D49" s="27">
        <v>-19287</v>
      </c>
      <c r="E49" s="25" t="s">
        <v>141</v>
      </c>
      <c r="F49" s="28">
        <v>0</v>
      </c>
    </row>
    <row r="50" spans="2:6" x14ac:dyDescent="0.2">
      <c r="B50" s="25" t="s">
        <v>196</v>
      </c>
      <c r="C50" s="25" t="s">
        <v>141</v>
      </c>
      <c r="D50" s="27">
        <v>-20890</v>
      </c>
      <c r="E50" s="25" t="s">
        <v>141</v>
      </c>
      <c r="F50" s="28">
        <v>0</v>
      </c>
    </row>
    <row r="51" spans="2:6" x14ac:dyDescent="0.2">
      <c r="B51" s="25" t="s">
        <v>194</v>
      </c>
    </row>
    <row r="52" spans="2:6" x14ac:dyDescent="0.2">
      <c r="B52" s="25" t="s">
        <v>193</v>
      </c>
      <c r="C52" s="25" t="s">
        <v>141</v>
      </c>
      <c r="D52" s="27">
        <v>-13865</v>
      </c>
      <c r="E52" s="25" t="s">
        <v>141</v>
      </c>
      <c r="F52" s="27">
        <v>-7352</v>
      </c>
    </row>
    <row r="53" spans="2:6" x14ac:dyDescent="0.2">
      <c r="B53" s="25" t="s">
        <v>244</v>
      </c>
      <c r="C53" s="25" t="s">
        <v>141</v>
      </c>
      <c r="D53" s="27">
        <v>-58355</v>
      </c>
      <c r="E53" s="25" t="s">
        <v>141</v>
      </c>
      <c r="F53" s="27">
        <v>-11665</v>
      </c>
    </row>
    <row r="54" spans="2:6" x14ac:dyDescent="0.2">
      <c r="B54" s="25" t="s">
        <v>190</v>
      </c>
    </row>
    <row r="55" spans="2:6" x14ac:dyDescent="0.2">
      <c r="B55" s="25" t="s">
        <v>189</v>
      </c>
      <c r="C55" s="25" t="s">
        <v>141</v>
      </c>
      <c r="D55" s="27">
        <v>-2117</v>
      </c>
      <c r="E55" s="25" t="s">
        <v>141</v>
      </c>
      <c r="F55" s="27">
        <v>13641</v>
      </c>
    </row>
    <row r="56" spans="2:6" x14ac:dyDescent="0.2">
      <c r="B56" s="25" t="s">
        <v>188</v>
      </c>
    </row>
    <row r="57" spans="2:6" x14ac:dyDescent="0.2">
      <c r="B57" s="25" t="s">
        <v>187</v>
      </c>
      <c r="C57" s="25" t="s">
        <v>141</v>
      </c>
      <c r="D57" s="27">
        <v>35608</v>
      </c>
      <c r="E57" s="25" t="s">
        <v>141</v>
      </c>
      <c r="F57" s="27">
        <v>2714</v>
      </c>
    </row>
    <row r="58" spans="2:6" x14ac:dyDescent="0.2">
      <c r="B58" s="25" t="s">
        <v>186</v>
      </c>
    </row>
    <row r="59" spans="2:6" x14ac:dyDescent="0.2">
      <c r="B59" s="25" t="s">
        <v>185</v>
      </c>
      <c r="C59" s="25" t="s">
        <v>141</v>
      </c>
      <c r="D59" s="27">
        <v>407042</v>
      </c>
      <c r="E59" s="25" t="s">
        <v>141</v>
      </c>
      <c r="F59" s="27">
        <v>369175</v>
      </c>
    </row>
    <row r="60" spans="2:6" x14ac:dyDescent="0.2">
      <c r="B60" s="25" t="s">
        <v>184</v>
      </c>
    </row>
    <row r="61" spans="2:6" x14ac:dyDescent="0.2">
      <c r="B61" s="25" t="s">
        <v>183</v>
      </c>
      <c r="C61" s="25" t="s">
        <v>141</v>
      </c>
      <c r="D61" s="27">
        <v>442650</v>
      </c>
      <c r="E61" s="25" t="s">
        <v>141</v>
      </c>
      <c r="F61" s="27">
        <v>371889</v>
      </c>
    </row>
    <row r="62" spans="2:6" x14ac:dyDescent="0.2">
      <c r="B62" s="25" t="s">
        <v>182</v>
      </c>
      <c r="C62" s="25" t="s">
        <v>141</v>
      </c>
      <c r="D62" s="27">
        <v>-3466</v>
      </c>
      <c r="E62" s="25" t="s">
        <v>141</v>
      </c>
      <c r="F62" s="27">
        <v>-6784</v>
      </c>
    </row>
    <row r="63" spans="2:6" x14ac:dyDescent="0.2">
      <c r="B63" s="25" t="s">
        <v>181</v>
      </c>
      <c r="C63" s="25" t="s">
        <v>141</v>
      </c>
      <c r="D63" s="26">
        <v>439184</v>
      </c>
      <c r="E63" s="25" t="s">
        <v>141</v>
      </c>
      <c r="F63" s="26">
        <v>365105</v>
      </c>
    </row>
  </sheetData>
  <hyperlinks>
    <hyperlink ref="A8" location="Table_Of_Contents!A1" display="Table Of Contents" xr:uid="{FD9E05E9-6667-46D5-BB1C-2A1CA0A93AE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26BB-49F8-4D81-B3A6-E5B31940493F}">
  <dimension ref="A1:D64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7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323</v>
      </c>
    </row>
    <row r="7" spans="1:4" x14ac:dyDescent="0.2">
      <c r="A7" s="30" t="s">
        <v>322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7020</v>
      </c>
      <c r="D20" s="26">
        <v>18717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33698</v>
      </c>
      <c r="D23" s="27">
        <v>54080</v>
      </c>
    </row>
    <row r="24" spans="2:4" x14ac:dyDescent="0.2">
      <c r="B24" s="25" t="s">
        <v>168</v>
      </c>
      <c r="C24" s="28">
        <v>0</v>
      </c>
      <c r="D24" s="27">
        <v>4388</v>
      </c>
    </row>
    <row r="25" spans="2:4" x14ac:dyDescent="0.2">
      <c r="B25" s="25" t="s">
        <v>219</v>
      </c>
      <c r="C25" s="27">
        <v>5233</v>
      </c>
      <c r="D25" s="27">
        <v>-13630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-12933</v>
      </c>
      <c r="D27" s="27">
        <v>-19395</v>
      </c>
    </row>
    <row r="28" spans="2:4" x14ac:dyDescent="0.2">
      <c r="B28" s="25" t="s">
        <v>216</v>
      </c>
      <c r="C28" s="27">
        <v>1747</v>
      </c>
      <c r="D28" s="27">
        <v>2373</v>
      </c>
    </row>
    <row r="29" spans="2:4" x14ac:dyDescent="0.2">
      <c r="B29" s="25" t="s">
        <v>213</v>
      </c>
      <c r="C29" s="27">
        <v>-5516</v>
      </c>
      <c r="D29" s="27">
        <v>-3893</v>
      </c>
    </row>
    <row r="30" spans="2:4" x14ac:dyDescent="0.2">
      <c r="B30" s="25" t="s">
        <v>212</v>
      </c>
      <c r="C30" s="27">
        <v>62132</v>
      </c>
      <c r="D30" s="27">
        <v>40004</v>
      </c>
    </row>
    <row r="31" spans="2:4" x14ac:dyDescent="0.2">
      <c r="B31" s="25" t="s">
        <v>211</v>
      </c>
      <c r="C31" s="27">
        <v>-327</v>
      </c>
      <c r="D31" s="27">
        <v>-13162</v>
      </c>
    </row>
    <row r="32" spans="2:4" x14ac:dyDescent="0.2">
      <c r="B32" s="25" t="s">
        <v>326</v>
      </c>
      <c r="C32" s="27">
        <v>-593</v>
      </c>
      <c r="D32" s="27">
        <v>-625</v>
      </c>
    </row>
    <row r="33" spans="2:4" x14ac:dyDescent="0.2">
      <c r="B33" s="25" t="s">
        <v>206</v>
      </c>
      <c r="C33" s="27">
        <v>23293</v>
      </c>
      <c r="D33" s="27">
        <v>8655</v>
      </c>
    </row>
    <row r="34" spans="2:4" x14ac:dyDescent="0.2">
      <c r="B34" s="25" t="s">
        <v>210</v>
      </c>
    </row>
    <row r="35" spans="2:4" x14ac:dyDescent="0.2">
      <c r="B35" s="25" t="s">
        <v>209</v>
      </c>
      <c r="C35" s="27">
        <v>-30981</v>
      </c>
      <c r="D35" s="27">
        <v>-3743</v>
      </c>
    </row>
    <row r="36" spans="2:4" x14ac:dyDescent="0.2">
      <c r="B36" s="25" t="s">
        <v>134</v>
      </c>
      <c r="C36" s="27">
        <v>-2256</v>
      </c>
      <c r="D36" s="27">
        <v>21076</v>
      </c>
    </row>
    <row r="37" spans="2:4" x14ac:dyDescent="0.2">
      <c r="B37" s="25" t="s">
        <v>124</v>
      </c>
      <c r="C37" s="27">
        <v>5234</v>
      </c>
      <c r="D37" s="27">
        <v>-9157</v>
      </c>
    </row>
    <row r="38" spans="2:4" x14ac:dyDescent="0.2">
      <c r="B38" s="25" t="s">
        <v>123</v>
      </c>
      <c r="C38" s="27">
        <v>1954</v>
      </c>
      <c r="D38" s="27">
        <v>3897</v>
      </c>
    </row>
    <row r="39" spans="2:4" x14ac:dyDescent="0.2">
      <c r="B39" s="25" t="s">
        <v>208</v>
      </c>
      <c r="C39" s="27">
        <v>-18250</v>
      </c>
      <c r="D39" s="27">
        <v>-7418</v>
      </c>
    </row>
    <row r="40" spans="2:4" x14ac:dyDescent="0.2">
      <c r="B40" s="25" t="s">
        <v>207</v>
      </c>
      <c r="C40" s="27">
        <v>-1982</v>
      </c>
      <c r="D40" s="27">
        <v>-2342</v>
      </c>
    </row>
    <row r="41" spans="2:4" x14ac:dyDescent="0.2">
      <c r="B41" s="25" t="s">
        <v>122</v>
      </c>
      <c r="C41" s="27">
        <v>-11329</v>
      </c>
      <c r="D41" s="27">
        <v>-35065</v>
      </c>
    </row>
    <row r="42" spans="2:4" x14ac:dyDescent="0.2">
      <c r="B42" s="25" t="s">
        <v>206</v>
      </c>
      <c r="C42" s="27">
        <v>-44</v>
      </c>
      <c r="D42" s="27">
        <v>7</v>
      </c>
    </row>
    <row r="43" spans="2:4" x14ac:dyDescent="0.2">
      <c r="B43" s="25" t="s">
        <v>246</v>
      </c>
      <c r="C43" s="27">
        <v>56100</v>
      </c>
      <c r="D43" s="27">
        <v>44767</v>
      </c>
    </row>
    <row r="44" spans="2:4" x14ac:dyDescent="0.2">
      <c r="B44" s="25" t="s">
        <v>204</v>
      </c>
    </row>
    <row r="45" spans="2:4" x14ac:dyDescent="0.2">
      <c r="B45" s="25" t="s">
        <v>203</v>
      </c>
      <c r="C45" s="27">
        <v>-9210</v>
      </c>
      <c r="D45" s="27">
        <v>-8049</v>
      </c>
    </row>
    <row r="46" spans="2:4" x14ac:dyDescent="0.2">
      <c r="B46" s="25" t="s">
        <v>202</v>
      </c>
      <c r="C46" s="27">
        <v>-9877</v>
      </c>
      <c r="D46" s="27">
        <v>-69720</v>
      </c>
    </row>
    <row r="47" spans="2:4" x14ac:dyDescent="0.2">
      <c r="B47" s="25" t="s">
        <v>245</v>
      </c>
      <c r="C47" s="27">
        <v>-19087</v>
      </c>
      <c r="D47" s="27">
        <v>-77769</v>
      </c>
    </row>
    <row r="48" spans="2:4" x14ac:dyDescent="0.2">
      <c r="B48" s="25" t="s">
        <v>199</v>
      </c>
    </row>
    <row r="49" spans="2:4" x14ac:dyDescent="0.2">
      <c r="B49" s="25" t="s">
        <v>198</v>
      </c>
      <c r="C49" s="27">
        <v>-2875</v>
      </c>
      <c r="D49" s="27">
        <v>-2875</v>
      </c>
    </row>
    <row r="50" spans="2:4" x14ac:dyDescent="0.2">
      <c r="B50" s="25" t="s">
        <v>197</v>
      </c>
      <c r="C50" s="27">
        <v>-19241</v>
      </c>
      <c r="D50" s="28">
        <v>0</v>
      </c>
    </row>
    <row r="51" spans="2:4" x14ac:dyDescent="0.2">
      <c r="B51" s="25" t="s">
        <v>196</v>
      </c>
      <c r="C51" s="27">
        <v>-20890</v>
      </c>
      <c r="D51" s="28">
        <v>0</v>
      </c>
    </row>
    <row r="52" spans="2:4" x14ac:dyDescent="0.2">
      <c r="B52" s="25" t="s">
        <v>194</v>
      </c>
    </row>
    <row r="53" spans="2:4" x14ac:dyDescent="0.2">
      <c r="B53" s="25" t="s">
        <v>193</v>
      </c>
      <c r="C53" s="27">
        <v>-11694</v>
      </c>
      <c r="D53" s="27">
        <v>-6194</v>
      </c>
    </row>
    <row r="54" spans="2:4" x14ac:dyDescent="0.2">
      <c r="B54" s="25" t="s">
        <v>244</v>
      </c>
      <c r="C54" s="27">
        <v>-54700</v>
      </c>
      <c r="D54" s="27">
        <v>-9069</v>
      </c>
    </row>
    <row r="55" spans="2:4" x14ac:dyDescent="0.2">
      <c r="B55" s="25" t="s">
        <v>190</v>
      </c>
    </row>
    <row r="56" spans="2:4" x14ac:dyDescent="0.2">
      <c r="B56" s="25" t="s">
        <v>189</v>
      </c>
      <c r="C56" s="27">
        <v>-4536</v>
      </c>
      <c r="D56" s="27">
        <v>7541</v>
      </c>
    </row>
    <row r="57" spans="2:4" x14ac:dyDescent="0.2">
      <c r="B57" s="25" t="s">
        <v>188</v>
      </c>
    </row>
    <row r="58" spans="2:4" x14ac:dyDescent="0.2">
      <c r="B58" s="25" t="s">
        <v>187</v>
      </c>
      <c r="C58" s="27">
        <v>-22223</v>
      </c>
      <c r="D58" s="27">
        <v>-34530</v>
      </c>
    </row>
    <row r="59" spans="2:4" x14ac:dyDescent="0.2">
      <c r="B59" s="25" t="s">
        <v>186</v>
      </c>
    </row>
    <row r="60" spans="2:4" x14ac:dyDescent="0.2">
      <c r="B60" s="25" t="s">
        <v>185</v>
      </c>
      <c r="C60" s="27">
        <v>407042</v>
      </c>
      <c r="D60" s="27">
        <v>369175</v>
      </c>
    </row>
    <row r="61" spans="2:4" x14ac:dyDescent="0.2">
      <c r="B61" s="25" t="s">
        <v>184</v>
      </c>
    </row>
    <row r="62" spans="2:4" x14ac:dyDescent="0.2">
      <c r="B62" s="25" t="s">
        <v>183</v>
      </c>
      <c r="C62" s="27">
        <v>384819</v>
      </c>
      <c r="D62" s="27">
        <v>334645</v>
      </c>
    </row>
    <row r="63" spans="2:4" x14ac:dyDescent="0.2">
      <c r="B63" s="25" t="s">
        <v>182</v>
      </c>
      <c r="C63" s="27">
        <v>-3800</v>
      </c>
      <c r="D63" s="28">
        <v>0</v>
      </c>
    </row>
    <row r="64" spans="2:4" x14ac:dyDescent="0.2">
      <c r="B64" s="25" t="s">
        <v>181</v>
      </c>
      <c r="C64" s="26">
        <v>381019</v>
      </c>
      <c r="D64" s="26">
        <v>334645</v>
      </c>
    </row>
  </sheetData>
  <hyperlinks>
    <hyperlink ref="A8" location="Table_Of_Contents!A1" display="Table Of Contents" xr:uid="{0314995A-15A6-4DB6-BF9E-048904B6F143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6F9-76D0-4427-869B-20138AED7036}">
  <dimension ref="A1:D63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0" style="25" customWidth="1" outlineLevel="7"/>
    <col min="3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334</v>
      </c>
    </row>
    <row r="7" spans="1:4" x14ac:dyDescent="0.2">
      <c r="A7" s="30" t="s">
        <v>333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268</v>
      </c>
      <c r="D17" s="25" t="s">
        <v>268</v>
      </c>
    </row>
    <row r="18" spans="2:4" x14ac:dyDescent="0.2">
      <c r="B18" s="25" t="s">
        <v>141</v>
      </c>
      <c r="C18" s="25">
        <v>2023</v>
      </c>
      <c r="D18" s="25">
        <v>2022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-2329</v>
      </c>
      <c r="D20" s="26">
        <v>23748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16731</v>
      </c>
      <c r="D23" s="27">
        <v>26929</v>
      </c>
    </row>
    <row r="24" spans="2:4" x14ac:dyDescent="0.2">
      <c r="B24" s="25" t="s">
        <v>219</v>
      </c>
      <c r="C24" s="27">
        <v>4233</v>
      </c>
      <c r="D24" s="27">
        <v>-10817</v>
      </c>
    </row>
    <row r="25" spans="2:4" x14ac:dyDescent="0.2">
      <c r="B25" s="25" t="s">
        <v>218</v>
      </c>
    </row>
    <row r="26" spans="2:4" x14ac:dyDescent="0.2">
      <c r="B26" s="25" t="s">
        <v>217</v>
      </c>
      <c r="C26" s="27">
        <v>-646</v>
      </c>
      <c r="D26" s="27">
        <v>-20709</v>
      </c>
    </row>
    <row r="27" spans="2:4" x14ac:dyDescent="0.2">
      <c r="B27" s="25" t="s">
        <v>216</v>
      </c>
      <c r="C27" s="27">
        <v>862</v>
      </c>
      <c r="D27" s="27">
        <v>1169</v>
      </c>
    </row>
    <row r="28" spans="2:4" x14ac:dyDescent="0.2">
      <c r="B28" s="25" t="s">
        <v>213</v>
      </c>
      <c r="C28" s="27">
        <v>-2721</v>
      </c>
      <c r="D28" s="27">
        <v>-2479</v>
      </c>
    </row>
    <row r="29" spans="2:4" x14ac:dyDescent="0.2">
      <c r="B29" s="25" t="s">
        <v>212</v>
      </c>
      <c r="C29" s="27">
        <v>28584</v>
      </c>
      <c r="D29" s="27">
        <v>17557</v>
      </c>
    </row>
    <row r="30" spans="2:4" x14ac:dyDescent="0.2">
      <c r="B30" s="25" t="s">
        <v>211</v>
      </c>
      <c r="C30" s="27">
        <v>-1990</v>
      </c>
      <c r="D30" s="27">
        <v>-7822</v>
      </c>
    </row>
    <row r="31" spans="2:4" x14ac:dyDescent="0.2">
      <c r="B31" s="25" t="s">
        <v>326</v>
      </c>
      <c r="C31" s="27">
        <v>-292</v>
      </c>
      <c r="D31" s="27">
        <v>-323</v>
      </c>
    </row>
    <row r="32" spans="2:4" x14ac:dyDescent="0.2">
      <c r="B32" s="25" t="s">
        <v>206</v>
      </c>
      <c r="C32" s="27">
        <v>12147</v>
      </c>
      <c r="D32" s="27">
        <v>10513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-26034</v>
      </c>
      <c r="D34" s="27">
        <v>494</v>
      </c>
    </row>
    <row r="35" spans="2:4" x14ac:dyDescent="0.2">
      <c r="B35" s="25" t="s">
        <v>134</v>
      </c>
      <c r="C35" s="27">
        <v>-7060</v>
      </c>
      <c r="D35" s="27">
        <v>-5989</v>
      </c>
    </row>
    <row r="36" spans="2:4" x14ac:dyDescent="0.2">
      <c r="B36" s="25" t="s">
        <v>124</v>
      </c>
      <c r="C36" s="27">
        <v>6037</v>
      </c>
      <c r="D36" s="27">
        <v>-10355</v>
      </c>
    </row>
    <row r="37" spans="2:4" x14ac:dyDescent="0.2">
      <c r="B37" s="25" t="s">
        <v>123</v>
      </c>
      <c r="C37" s="27">
        <v>1021</v>
      </c>
      <c r="D37" s="27">
        <v>106</v>
      </c>
    </row>
    <row r="38" spans="2:4" x14ac:dyDescent="0.2">
      <c r="B38" s="25" t="s">
        <v>208</v>
      </c>
      <c r="C38" s="28">
        <v>0</v>
      </c>
      <c r="D38" s="27">
        <v>-750</v>
      </c>
    </row>
    <row r="39" spans="2:4" x14ac:dyDescent="0.2">
      <c r="B39" s="25" t="s">
        <v>207</v>
      </c>
      <c r="C39" s="27">
        <v>-959</v>
      </c>
      <c r="D39" s="27">
        <v>-1201</v>
      </c>
    </row>
    <row r="40" spans="2:4" x14ac:dyDescent="0.2">
      <c r="B40" s="25" t="s">
        <v>122</v>
      </c>
      <c r="C40" s="27">
        <v>-14164</v>
      </c>
      <c r="D40" s="27">
        <v>-718</v>
      </c>
    </row>
    <row r="41" spans="2:4" x14ac:dyDescent="0.2">
      <c r="B41" s="25" t="s">
        <v>206</v>
      </c>
      <c r="C41" s="27">
        <v>-31</v>
      </c>
      <c r="D41" s="27">
        <v>5</v>
      </c>
    </row>
    <row r="42" spans="2:4" x14ac:dyDescent="0.2">
      <c r="B42" s="25" t="s">
        <v>246</v>
      </c>
      <c r="C42" s="27">
        <v>13389</v>
      </c>
      <c r="D42" s="27">
        <v>19358</v>
      </c>
    </row>
    <row r="43" spans="2:4" x14ac:dyDescent="0.2">
      <c r="B43" s="25" t="s">
        <v>204</v>
      </c>
    </row>
    <row r="44" spans="2:4" x14ac:dyDescent="0.2">
      <c r="B44" s="25" t="s">
        <v>203</v>
      </c>
      <c r="C44" s="27">
        <v>-6811</v>
      </c>
      <c r="D44" s="27">
        <v>-4996</v>
      </c>
    </row>
    <row r="45" spans="2:4" x14ac:dyDescent="0.2">
      <c r="B45" s="25" t="s">
        <v>202</v>
      </c>
      <c r="C45" s="28">
        <v>0</v>
      </c>
      <c r="D45" s="27">
        <v>-69720</v>
      </c>
    </row>
    <row r="46" spans="2:4" x14ac:dyDescent="0.2">
      <c r="B46" s="25" t="s">
        <v>245</v>
      </c>
      <c r="C46" s="27">
        <v>-6811</v>
      </c>
      <c r="D46" s="27">
        <v>-74716</v>
      </c>
    </row>
    <row r="47" spans="2:4" x14ac:dyDescent="0.2">
      <c r="B47" s="25" t="s">
        <v>199</v>
      </c>
    </row>
    <row r="48" spans="2:4" x14ac:dyDescent="0.2">
      <c r="B48" s="25" t="s">
        <v>198</v>
      </c>
      <c r="C48" s="27">
        <v>-1438</v>
      </c>
      <c r="D48" s="27">
        <v>-1438</v>
      </c>
    </row>
    <row r="49" spans="2:4" x14ac:dyDescent="0.2">
      <c r="B49" s="25" t="s">
        <v>337</v>
      </c>
    </row>
    <row r="50" spans="2:4" x14ac:dyDescent="0.2">
      <c r="B50" s="25" t="s">
        <v>336</v>
      </c>
      <c r="C50" s="27">
        <v>-5409</v>
      </c>
      <c r="D50" s="28">
        <v>0</v>
      </c>
    </row>
    <row r="51" spans="2:4" x14ac:dyDescent="0.2">
      <c r="B51" s="25" t="s">
        <v>194</v>
      </c>
    </row>
    <row r="52" spans="2:4" x14ac:dyDescent="0.2">
      <c r="B52" s="25" t="s">
        <v>193</v>
      </c>
      <c r="C52" s="27">
        <v>-9321</v>
      </c>
      <c r="D52" s="27">
        <v>-5708</v>
      </c>
    </row>
    <row r="53" spans="2:4" x14ac:dyDescent="0.2">
      <c r="B53" s="25" t="s">
        <v>244</v>
      </c>
      <c r="C53" s="27">
        <v>-16168</v>
      </c>
      <c r="D53" s="27">
        <v>-7146</v>
      </c>
    </row>
    <row r="54" spans="2:4" x14ac:dyDescent="0.2">
      <c r="B54" s="25" t="s">
        <v>190</v>
      </c>
    </row>
    <row r="55" spans="2:4" x14ac:dyDescent="0.2">
      <c r="B55" s="25" t="s">
        <v>189</v>
      </c>
      <c r="C55" s="27">
        <v>-4261</v>
      </c>
      <c r="D55" s="27">
        <v>2117</v>
      </c>
    </row>
    <row r="56" spans="2:4" x14ac:dyDescent="0.2">
      <c r="B56" s="25" t="s">
        <v>188</v>
      </c>
    </row>
    <row r="57" spans="2:4" x14ac:dyDescent="0.2">
      <c r="B57" s="25" t="s">
        <v>187</v>
      </c>
      <c r="C57" s="27">
        <v>-13851</v>
      </c>
      <c r="D57" s="27">
        <v>-60387</v>
      </c>
    </row>
    <row r="58" spans="2:4" x14ac:dyDescent="0.2">
      <c r="B58" s="25" t="s">
        <v>186</v>
      </c>
    </row>
    <row r="59" spans="2:4" x14ac:dyDescent="0.2">
      <c r="B59" s="25" t="s">
        <v>185</v>
      </c>
      <c r="C59" s="27">
        <v>407042</v>
      </c>
      <c r="D59" s="27">
        <v>369175</v>
      </c>
    </row>
    <row r="60" spans="2:4" x14ac:dyDescent="0.2">
      <c r="B60" s="25" t="s">
        <v>184</v>
      </c>
    </row>
    <row r="61" spans="2:4" x14ac:dyDescent="0.2">
      <c r="B61" s="25" t="s">
        <v>183</v>
      </c>
      <c r="C61" s="27">
        <v>393191</v>
      </c>
      <c r="D61" s="27">
        <v>308788</v>
      </c>
    </row>
    <row r="62" spans="2:4" x14ac:dyDescent="0.2">
      <c r="B62" s="25" t="s">
        <v>182</v>
      </c>
      <c r="C62" s="27">
        <v>-4236</v>
      </c>
      <c r="D62" s="28">
        <v>0</v>
      </c>
    </row>
    <row r="63" spans="2:4" x14ac:dyDescent="0.2">
      <c r="B63" s="25" t="s">
        <v>181</v>
      </c>
      <c r="C63" s="26">
        <v>388955</v>
      </c>
      <c r="D63" s="26">
        <v>308788</v>
      </c>
    </row>
  </sheetData>
  <hyperlinks>
    <hyperlink ref="A8" location="Table_Of_Contents!A1" display="Table Of Contents" xr:uid="{EEFDB201-E800-4EE3-A836-49FD5130439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22C5-537D-4E9E-ABBC-62808C8416AF}">
  <dimension ref="A1:E6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1" style="25" customWidth="1" outlineLevel="7"/>
    <col min="4" max="4" width="17" style="25" customWidth="1" outlineLevel="7"/>
    <col min="5" max="5" width="20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149</v>
      </c>
    </row>
    <row r="6" spans="1:5" x14ac:dyDescent="0.2">
      <c r="A6" s="30" t="s">
        <v>356</v>
      </c>
    </row>
    <row r="7" spans="1:5" x14ac:dyDescent="0.2">
      <c r="A7" s="30" t="s">
        <v>355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225</v>
      </c>
      <c r="C11" s="25" t="s">
        <v>141</v>
      </c>
    </row>
    <row r="12" spans="1:5" x14ac:dyDescent="0.2">
      <c r="B12" s="32" t="s">
        <v>224</v>
      </c>
      <c r="C12" s="25" t="s">
        <v>141</v>
      </c>
    </row>
    <row r="13" spans="1:5" x14ac:dyDescent="0.2">
      <c r="B13" s="32" t="s">
        <v>143</v>
      </c>
      <c r="C13" s="25" t="s">
        <v>141</v>
      </c>
    </row>
    <row r="16" spans="1:5" x14ac:dyDescent="0.2">
      <c r="B16" s="25" t="s">
        <v>141</v>
      </c>
      <c r="C16" s="32" t="s">
        <v>176</v>
      </c>
      <c r="D16" s="25" t="s">
        <v>141</v>
      </c>
      <c r="E16" s="25" t="s">
        <v>176</v>
      </c>
    </row>
    <row r="17" spans="2:5" x14ac:dyDescent="0.2">
      <c r="B17" s="25" t="s">
        <v>141</v>
      </c>
      <c r="C17" s="32" t="s">
        <v>223</v>
      </c>
      <c r="D17" s="25" t="s">
        <v>141</v>
      </c>
      <c r="E17" s="25" t="s">
        <v>223</v>
      </c>
    </row>
    <row r="18" spans="2:5" x14ac:dyDescent="0.2">
      <c r="B18" s="25" t="s">
        <v>141</v>
      </c>
      <c r="C18" s="27">
        <v>30</v>
      </c>
      <c r="D18" s="25">
        <v>2022</v>
      </c>
      <c r="E18" s="25" t="s">
        <v>375</v>
      </c>
    </row>
    <row r="19" spans="2:5" x14ac:dyDescent="0.2">
      <c r="B19" s="25" t="s">
        <v>222</v>
      </c>
    </row>
    <row r="20" spans="2:5" x14ac:dyDescent="0.2">
      <c r="B20" s="25" t="s">
        <v>161</v>
      </c>
      <c r="C20" s="25" t="s">
        <v>141</v>
      </c>
      <c r="D20" s="26">
        <v>45122</v>
      </c>
      <c r="E20" s="26">
        <v>295654</v>
      </c>
    </row>
    <row r="21" spans="2:5" x14ac:dyDescent="0.2">
      <c r="B21" s="25" t="s">
        <v>221</v>
      </c>
    </row>
    <row r="22" spans="2:5" x14ac:dyDescent="0.2">
      <c r="B22" s="25" t="s">
        <v>247</v>
      </c>
    </row>
    <row r="23" spans="2:5" x14ac:dyDescent="0.2">
      <c r="B23" s="25" t="s">
        <v>311</v>
      </c>
      <c r="C23" s="25" t="s">
        <v>141</v>
      </c>
      <c r="D23" s="27">
        <v>73835</v>
      </c>
      <c r="E23" s="27">
        <v>80882</v>
      </c>
    </row>
    <row r="24" spans="2:5" x14ac:dyDescent="0.2">
      <c r="B24" s="25" t="s">
        <v>168</v>
      </c>
      <c r="C24" s="25" t="s">
        <v>141</v>
      </c>
      <c r="D24" s="27">
        <v>4388</v>
      </c>
      <c r="E24" s="28">
        <v>0</v>
      </c>
    </row>
    <row r="25" spans="2:5" x14ac:dyDescent="0.2">
      <c r="B25" s="25" t="s">
        <v>374</v>
      </c>
      <c r="C25" s="25" t="s">
        <v>141</v>
      </c>
      <c r="D25" s="28">
        <v>0</v>
      </c>
      <c r="E25" s="27">
        <v>3398</v>
      </c>
    </row>
    <row r="26" spans="2:5" x14ac:dyDescent="0.2">
      <c r="B26" s="25" t="s">
        <v>219</v>
      </c>
      <c r="C26" s="25" t="s">
        <v>141</v>
      </c>
      <c r="D26" s="27">
        <v>-18404</v>
      </c>
      <c r="E26" s="27">
        <v>-2789</v>
      </c>
    </row>
    <row r="27" spans="2:5" x14ac:dyDescent="0.2">
      <c r="B27" s="25" t="s">
        <v>218</v>
      </c>
    </row>
    <row r="28" spans="2:5" x14ac:dyDescent="0.2">
      <c r="B28" s="25" t="s">
        <v>217</v>
      </c>
      <c r="C28" s="25" t="s">
        <v>141</v>
      </c>
      <c r="D28" s="27">
        <v>-46399</v>
      </c>
      <c r="E28" s="27">
        <v>77659</v>
      </c>
    </row>
    <row r="29" spans="2:5" x14ac:dyDescent="0.2">
      <c r="B29" s="25" t="s">
        <v>373</v>
      </c>
    </row>
    <row r="30" spans="2:5" x14ac:dyDescent="0.2">
      <c r="B30" s="25" t="s">
        <v>372</v>
      </c>
      <c r="C30" s="25" t="s">
        <v>141</v>
      </c>
      <c r="D30" s="27">
        <v>-38</v>
      </c>
      <c r="E30" s="28">
        <v>0</v>
      </c>
    </row>
    <row r="31" spans="2:5" x14ac:dyDescent="0.2">
      <c r="B31" s="25" t="s">
        <v>216</v>
      </c>
      <c r="C31" s="25" t="s">
        <v>141</v>
      </c>
      <c r="D31" s="27">
        <v>3479</v>
      </c>
      <c r="E31" s="27">
        <v>4247</v>
      </c>
    </row>
    <row r="32" spans="2:5" x14ac:dyDescent="0.2">
      <c r="B32" s="25" t="s">
        <v>213</v>
      </c>
      <c r="C32" s="25" t="s">
        <v>141</v>
      </c>
      <c r="D32" s="27">
        <v>-6501</v>
      </c>
      <c r="E32" s="27">
        <v>-443096</v>
      </c>
    </row>
    <row r="33" spans="2:5" x14ac:dyDescent="0.2">
      <c r="B33" s="25" t="s">
        <v>212</v>
      </c>
      <c r="C33" s="25" t="s">
        <v>141</v>
      </c>
      <c r="D33" s="27">
        <v>77179</v>
      </c>
      <c r="E33" s="27">
        <v>99502</v>
      </c>
    </row>
    <row r="34" spans="2:5" x14ac:dyDescent="0.2">
      <c r="B34" s="25" t="s">
        <v>211</v>
      </c>
      <c r="C34" s="25" t="s">
        <v>141</v>
      </c>
      <c r="D34" s="27">
        <v>-14413</v>
      </c>
      <c r="E34" s="27">
        <v>-2257</v>
      </c>
    </row>
    <row r="35" spans="2:5" x14ac:dyDescent="0.2">
      <c r="B35" s="25" t="s">
        <v>206</v>
      </c>
      <c r="C35" s="25" t="s">
        <v>141</v>
      </c>
      <c r="D35" s="27">
        <v>-1140</v>
      </c>
      <c r="E35" s="27">
        <v>3727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5" t="s">
        <v>141</v>
      </c>
      <c r="D37" s="27">
        <v>-5176</v>
      </c>
      <c r="E37" s="27">
        <v>-4954</v>
      </c>
    </row>
    <row r="38" spans="2:5" x14ac:dyDescent="0.2">
      <c r="B38" s="25" t="s">
        <v>134</v>
      </c>
      <c r="C38" s="25" t="s">
        <v>141</v>
      </c>
      <c r="D38" s="27">
        <v>20261</v>
      </c>
      <c r="E38" s="27">
        <v>-5284</v>
      </c>
    </row>
    <row r="39" spans="2:5" x14ac:dyDescent="0.2">
      <c r="B39" s="25" t="s">
        <v>124</v>
      </c>
      <c r="C39" s="25" t="s">
        <v>141</v>
      </c>
      <c r="D39" s="27">
        <v>-9841</v>
      </c>
      <c r="E39" s="27">
        <v>-13124</v>
      </c>
    </row>
    <row r="40" spans="2:5" x14ac:dyDescent="0.2">
      <c r="B40" s="25" t="s">
        <v>123</v>
      </c>
      <c r="C40" s="25" t="s">
        <v>141</v>
      </c>
      <c r="D40" s="27">
        <v>4679</v>
      </c>
      <c r="E40" s="27">
        <v>7773</v>
      </c>
    </row>
    <row r="41" spans="2:5" x14ac:dyDescent="0.2">
      <c r="B41" s="25" t="s">
        <v>208</v>
      </c>
      <c r="C41" s="25" t="s">
        <v>141</v>
      </c>
      <c r="D41" s="27">
        <v>-7130</v>
      </c>
      <c r="E41" s="27">
        <v>-45631</v>
      </c>
    </row>
    <row r="42" spans="2:5" x14ac:dyDescent="0.2">
      <c r="B42" s="25" t="s">
        <v>122</v>
      </c>
      <c r="C42" s="25" t="s">
        <v>141</v>
      </c>
      <c r="D42" s="27">
        <v>-38088</v>
      </c>
      <c r="E42" s="27">
        <v>-35721</v>
      </c>
    </row>
    <row r="43" spans="2:5" x14ac:dyDescent="0.2">
      <c r="B43" s="25" t="s">
        <v>206</v>
      </c>
      <c r="C43" s="25" t="s">
        <v>141</v>
      </c>
      <c r="D43" s="27">
        <v>-44</v>
      </c>
      <c r="E43" s="27">
        <v>271</v>
      </c>
    </row>
    <row r="44" spans="2:5" x14ac:dyDescent="0.2">
      <c r="B44" s="25" t="s">
        <v>246</v>
      </c>
      <c r="C44" s="25" t="s">
        <v>141</v>
      </c>
      <c r="D44" s="27">
        <v>81769</v>
      </c>
      <c r="E44" s="27">
        <v>20257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5" t="s">
        <v>141</v>
      </c>
      <c r="D46" s="27">
        <v>-11311</v>
      </c>
      <c r="E46" s="27">
        <v>-9388</v>
      </c>
    </row>
    <row r="47" spans="2:5" x14ac:dyDescent="0.2">
      <c r="B47" s="25" t="s">
        <v>202</v>
      </c>
      <c r="C47" s="25" t="s">
        <v>141</v>
      </c>
      <c r="D47" s="27">
        <v>-69720</v>
      </c>
      <c r="E47" s="28">
        <v>0</v>
      </c>
    </row>
    <row r="48" spans="2:5" x14ac:dyDescent="0.2">
      <c r="B48" s="25" t="s">
        <v>206</v>
      </c>
      <c r="C48" s="25" t="s">
        <v>141</v>
      </c>
      <c r="D48" s="28">
        <v>0</v>
      </c>
      <c r="E48" s="27">
        <v>31</v>
      </c>
    </row>
    <row r="49" spans="2:5" x14ac:dyDescent="0.2">
      <c r="B49" s="25" t="s">
        <v>245</v>
      </c>
      <c r="C49" s="25" t="s">
        <v>141</v>
      </c>
      <c r="D49" s="27">
        <v>-81031</v>
      </c>
      <c r="E49" s="27">
        <v>-9357</v>
      </c>
    </row>
    <row r="50" spans="2:5" x14ac:dyDescent="0.2">
      <c r="B50" s="25" t="s">
        <v>199</v>
      </c>
    </row>
    <row r="51" spans="2:5" x14ac:dyDescent="0.2">
      <c r="B51" s="25" t="s">
        <v>371</v>
      </c>
    </row>
    <row r="52" spans="2:5" x14ac:dyDescent="0.2">
      <c r="B52" s="25" t="s">
        <v>370</v>
      </c>
      <c r="C52" s="25" t="s">
        <v>141</v>
      </c>
      <c r="D52" s="28">
        <v>0</v>
      </c>
      <c r="E52" s="27">
        <v>2358371</v>
      </c>
    </row>
    <row r="53" spans="2:5" x14ac:dyDescent="0.2">
      <c r="B53" s="25" t="s">
        <v>369</v>
      </c>
      <c r="C53" s="25" t="s">
        <v>141</v>
      </c>
      <c r="D53" s="28">
        <v>0</v>
      </c>
      <c r="E53" s="27">
        <v>-1018365</v>
      </c>
    </row>
    <row r="54" spans="2:5" x14ac:dyDescent="0.2">
      <c r="B54" s="25" t="s">
        <v>368</v>
      </c>
    </row>
    <row r="55" spans="2:5" x14ac:dyDescent="0.2">
      <c r="B55" s="25" t="s">
        <v>367</v>
      </c>
      <c r="C55" s="25" t="s">
        <v>141</v>
      </c>
      <c r="D55" s="28">
        <v>0</v>
      </c>
      <c r="E55" s="27">
        <v>-973289</v>
      </c>
    </row>
    <row r="56" spans="2:5" x14ac:dyDescent="0.2">
      <c r="B56" s="25" t="s">
        <v>194</v>
      </c>
    </row>
    <row r="57" spans="2:5" x14ac:dyDescent="0.2">
      <c r="B57" s="25" t="s">
        <v>193</v>
      </c>
      <c r="C57" s="25" t="s">
        <v>141</v>
      </c>
      <c r="D57" s="27">
        <v>-7352</v>
      </c>
      <c r="E57" s="27">
        <v>-9338</v>
      </c>
    </row>
    <row r="58" spans="2:5" x14ac:dyDescent="0.2">
      <c r="B58" s="25" t="s">
        <v>366</v>
      </c>
      <c r="C58" s="25" t="s">
        <v>141</v>
      </c>
      <c r="D58" s="28">
        <v>0</v>
      </c>
      <c r="E58" s="27">
        <v>545</v>
      </c>
    </row>
    <row r="59" spans="2:5" x14ac:dyDescent="0.2">
      <c r="B59" s="25" t="s">
        <v>198</v>
      </c>
      <c r="C59" s="25" t="s">
        <v>141</v>
      </c>
      <c r="D59" s="27">
        <v>-4313</v>
      </c>
      <c r="E59" s="27">
        <v>-205000</v>
      </c>
    </row>
    <row r="60" spans="2:5" x14ac:dyDescent="0.2">
      <c r="B60" s="25" t="s">
        <v>244</v>
      </c>
      <c r="C60" s="25" t="s">
        <v>141</v>
      </c>
      <c r="D60" s="27">
        <v>-11665</v>
      </c>
      <c r="E60" s="27">
        <v>152924</v>
      </c>
    </row>
    <row r="61" spans="2:5" x14ac:dyDescent="0.2">
      <c r="B61" s="25" t="s">
        <v>190</v>
      </c>
    </row>
    <row r="62" spans="2:5" x14ac:dyDescent="0.2">
      <c r="B62" s="25" t="s">
        <v>189</v>
      </c>
      <c r="C62" s="25" t="s">
        <v>141</v>
      </c>
      <c r="D62" s="27">
        <v>13641</v>
      </c>
      <c r="E62" s="27">
        <v>-535</v>
      </c>
    </row>
    <row r="63" spans="2:5" x14ac:dyDescent="0.2">
      <c r="B63" s="25" t="s">
        <v>188</v>
      </c>
      <c r="C63" s="25" t="s">
        <v>141</v>
      </c>
      <c r="D63" s="27">
        <v>2714</v>
      </c>
      <c r="E63" s="27">
        <v>163289</v>
      </c>
    </row>
    <row r="64" spans="2:5" x14ac:dyDescent="0.2">
      <c r="B64" s="25" t="s">
        <v>365</v>
      </c>
      <c r="C64" s="25" t="s">
        <v>141</v>
      </c>
      <c r="D64" s="27">
        <v>369175</v>
      </c>
      <c r="E64" s="27">
        <v>128286</v>
      </c>
    </row>
    <row r="65" spans="2:5" x14ac:dyDescent="0.2">
      <c r="B65" s="25" t="s">
        <v>184</v>
      </c>
    </row>
    <row r="66" spans="2:5" x14ac:dyDescent="0.2">
      <c r="B66" s="25" t="s">
        <v>183</v>
      </c>
      <c r="C66" s="25" t="s">
        <v>141</v>
      </c>
      <c r="D66" s="27">
        <v>371889</v>
      </c>
      <c r="E66" s="27">
        <v>291575</v>
      </c>
    </row>
    <row r="67" spans="2:5" x14ac:dyDescent="0.2">
      <c r="B67" s="25" t="s">
        <v>182</v>
      </c>
      <c r="C67" s="25" t="s">
        <v>141</v>
      </c>
      <c r="D67" s="27">
        <v>6784</v>
      </c>
      <c r="E67" s="28">
        <v>0</v>
      </c>
    </row>
    <row r="68" spans="2:5" x14ac:dyDescent="0.2">
      <c r="B68" s="25" t="s">
        <v>181</v>
      </c>
      <c r="C68" s="25" t="s">
        <v>141</v>
      </c>
      <c r="D68" s="26">
        <v>365105</v>
      </c>
      <c r="E68" s="26">
        <v>291575</v>
      </c>
    </row>
  </sheetData>
  <hyperlinks>
    <hyperlink ref="A8" location="Table_Of_Contents!A1" display="Table Of Contents" xr:uid="{23AACB3F-E102-44B8-9AA0-71F0FD28849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4998-EBAF-4BB3-81F2-8294A5E0FCDA}">
  <dimension ref="A1:D61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388</v>
      </c>
    </row>
    <row r="7" spans="1:4" x14ac:dyDescent="0.2">
      <c r="A7" s="30" t="s">
        <v>387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243</v>
      </c>
      <c r="D16" s="25" t="s">
        <v>243</v>
      </c>
    </row>
    <row r="17" spans="2:4" x14ac:dyDescent="0.2">
      <c r="B17" s="25" t="s">
        <v>141</v>
      </c>
      <c r="C17" s="25" t="s">
        <v>248</v>
      </c>
      <c r="D17" s="25" t="s">
        <v>248</v>
      </c>
    </row>
    <row r="18" spans="2:4" x14ac:dyDescent="0.2">
      <c r="B18" s="25" t="s">
        <v>141</v>
      </c>
      <c r="C18" s="25">
        <v>2022</v>
      </c>
      <c r="D18" s="25">
        <v>2021</v>
      </c>
    </row>
    <row r="19" spans="2:4" x14ac:dyDescent="0.2">
      <c r="B19" s="25" t="s">
        <v>222</v>
      </c>
    </row>
    <row r="20" spans="2:4" x14ac:dyDescent="0.2">
      <c r="B20" s="25" t="s">
        <v>161</v>
      </c>
      <c r="C20" s="26">
        <v>17515</v>
      </c>
      <c r="D20" s="26">
        <v>312295</v>
      </c>
    </row>
    <row r="21" spans="2:4" x14ac:dyDescent="0.2">
      <c r="B21" s="25" t="s">
        <v>221</v>
      </c>
    </row>
    <row r="22" spans="2:4" x14ac:dyDescent="0.2">
      <c r="B22" s="25" t="s">
        <v>247</v>
      </c>
    </row>
    <row r="23" spans="2:4" x14ac:dyDescent="0.2">
      <c r="B23" s="25" t="s">
        <v>311</v>
      </c>
      <c r="C23" s="27">
        <v>54080</v>
      </c>
      <c r="D23" s="27">
        <v>53860</v>
      </c>
    </row>
    <row r="24" spans="2:4" x14ac:dyDescent="0.2">
      <c r="B24" s="25" t="s">
        <v>168</v>
      </c>
      <c r="C24" s="27">
        <v>4388</v>
      </c>
      <c r="D24" s="28">
        <v>0</v>
      </c>
    </row>
    <row r="25" spans="2:4" x14ac:dyDescent="0.2">
      <c r="B25" s="25" t="s">
        <v>219</v>
      </c>
      <c r="C25" s="27">
        <v>-13630</v>
      </c>
      <c r="D25" s="27">
        <v>-2743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-19395</v>
      </c>
      <c r="D27" s="27">
        <v>72438</v>
      </c>
    </row>
    <row r="28" spans="2:4" x14ac:dyDescent="0.2">
      <c r="B28" s="25" t="s">
        <v>216</v>
      </c>
      <c r="C28" s="27">
        <v>2373</v>
      </c>
      <c r="D28" s="27">
        <v>2857</v>
      </c>
    </row>
    <row r="29" spans="2:4" x14ac:dyDescent="0.2">
      <c r="B29" s="25" t="s">
        <v>213</v>
      </c>
      <c r="C29" s="27">
        <v>-3275</v>
      </c>
      <c r="D29" s="27">
        <v>-441841</v>
      </c>
    </row>
    <row r="30" spans="2:4" x14ac:dyDescent="0.2">
      <c r="B30" s="25" t="s">
        <v>212</v>
      </c>
      <c r="C30" s="27">
        <v>40004</v>
      </c>
      <c r="D30" s="27">
        <v>75739</v>
      </c>
    </row>
    <row r="31" spans="2:4" x14ac:dyDescent="0.2">
      <c r="B31" s="25" t="s">
        <v>211</v>
      </c>
      <c r="C31" s="27">
        <v>-5535</v>
      </c>
      <c r="D31" s="27">
        <v>-7421</v>
      </c>
    </row>
    <row r="32" spans="2:4" x14ac:dyDescent="0.2">
      <c r="B32" s="25" t="s">
        <v>206</v>
      </c>
      <c r="C32" s="27">
        <v>689</v>
      </c>
      <c r="D32" s="27">
        <v>3875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-3743</v>
      </c>
      <c r="D34" s="27">
        <v>-25738</v>
      </c>
    </row>
    <row r="35" spans="2:4" x14ac:dyDescent="0.2">
      <c r="B35" s="25" t="s">
        <v>134</v>
      </c>
      <c r="C35" s="27">
        <v>21076</v>
      </c>
      <c r="D35" s="27">
        <v>-5439</v>
      </c>
    </row>
    <row r="36" spans="2:4" x14ac:dyDescent="0.2">
      <c r="B36" s="25" t="s">
        <v>124</v>
      </c>
      <c r="C36" s="27">
        <v>-9157</v>
      </c>
      <c r="D36" s="27">
        <v>-8616</v>
      </c>
    </row>
    <row r="37" spans="2:4" x14ac:dyDescent="0.2">
      <c r="B37" s="25" t="s">
        <v>123</v>
      </c>
      <c r="C37" s="27">
        <v>3897</v>
      </c>
      <c r="D37" s="27">
        <v>6060</v>
      </c>
    </row>
    <row r="38" spans="2:4" x14ac:dyDescent="0.2">
      <c r="B38" s="25" t="s">
        <v>208</v>
      </c>
      <c r="C38" s="27">
        <v>-7120</v>
      </c>
      <c r="D38" s="27">
        <v>-37627</v>
      </c>
    </row>
    <row r="39" spans="2:4" x14ac:dyDescent="0.2">
      <c r="B39" s="25" t="s">
        <v>122</v>
      </c>
      <c r="C39" s="27">
        <v>-37407</v>
      </c>
      <c r="D39" s="27">
        <v>-29092</v>
      </c>
    </row>
    <row r="40" spans="2:4" x14ac:dyDescent="0.2">
      <c r="B40" s="25" t="s">
        <v>206</v>
      </c>
      <c r="C40" s="27">
        <v>7</v>
      </c>
      <c r="D40" s="27">
        <v>-46</v>
      </c>
    </row>
    <row r="41" spans="2:4" x14ac:dyDescent="0.2">
      <c r="B41" s="25" t="s">
        <v>246</v>
      </c>
      <c r="C41" s="27">
        <v>44767</v>
      </c>
      <c r="D41" s="27">
        <v>-31439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-8049</v>
      </c>
      <c r="D43" s="27">
        <v>-5552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3</v>
      </c>
    </row>
    <row r="46" spans="2:4" x14ac:dyDescent="0.2">
      <c r="B46" s="25" t="s">
        <v>245</v>
      </c>
      <c r="C46" s="27">
        <v>-77769</v>
      </c>
      <c r="D46" s="27">
        <v>-5549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-6194</v>
      </c>
      <c r="D54" s="28">
        <v>0</v>
      </c>
    </row>
    <row r="55" spans="2:4" x14ac:dyDescent="0.2">
      <c r="B55" s="25" t="s">
        <v>198</v>
      </c>
      <c r="C55" s="27">
        <v>-2875</v>
      </c>
      <c r="D55" s="27">
        <v>-206096</v>
      </c>
    </row>
    <row r="56" spans="2:4" x14ac:dyDescent="0.2">
      <c r="B56" s="25" t="s">
        <v>244</v>
      </c>
      <c r="C56" s="27">
        <v>-9069</v>
      </c>
      <c r="D56" s="27">
        <v>160621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7541</v>
      </c>
      <c r="D58" s="27">
        <v>102</v>
      </c>
    </row>
    <row r="59" spans="2:4" x14ac:dyDescent="0.2">
      <c r="B59" s="25" t="s">
        <v>188</v>
      </c>
      <c r="C59" s="27">
        <v>-34530</v>
      </c>
      <c r="D59" s="27">
        <v>123735</v>
      </c>
    </row>
    <row r="60" spans="2:4" x14ac:dyDescent="0.2">
      <c r="B60" s="25" t="s">
        <v>365</v>
      </c>
      <c r="C60" s="27">
        <v>369175</v>
      </c>
      <c r="D60" s="27">
        <v>128286</v>
      </c>
    </row>
    <row r="61" spans="2:4" x14ac:dyDescent="0.2">
      <c r="B61" s="25" t="s">
        <v>181</v>
      </c>
      <c r="C61" s="26">
        <v>334645</v>
      </c>
      <c r="D61" s="26">
        <v>252021</v>
      </c>
    </row>
  </sheetData>
  <hyperlinks>
    <hyperlink ref="A8" location="Table_Of_Contents!A1" display="Table Of Contents" xr:uid="{CF0DD18A-872E-4DB5-9F71-271811BD52B7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3258-C06E-465F-AEE3-BD4DBA45214E}">
  <dimension ref="A1:D66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62" style="25" customWidth="1" outlineLevel="7"/>
    <col min="3" max="3" width="17" style="25" customWidth="1" outlineLevel="7"/>
    <col min="4" max="4" width="19" style="25" customWidth="1" outlineLevel="7"/>
    <col min="5" max="256" width="21.7109375" style="25" customWidth="1"/>
    <col min="257" max="16384" width="9.140625" style="25"/>
  </cols>
  <sheetData>
    <row r="1" spans="1:4" x14ac:dyDescent="0.2">
      <c r="A1" s="30" t="s">
        <v>152</v>
      </c>
    </row>
    <row r="2" spans="1:4" x14ac:dyDescent="0.2">
      <c r="A2" s="30" t="s">
        <v>141</v>
      </c>
    </row>
    <row r="3" spans="1:4" x14ac:dyDescent="0.2">
      <c r="A3" s="30" t="s">
        <v>151</v>
      </c>
    </row>
    <row r="4" spans="1:4" x14ac:dyDescent="0.2">
      <c r="A4" s="30" t="s">
        <v>226</v>
      </c>
    </row>
    <row r="5" spans="1:4" x14ac:dyDescent="0.2">
      <c r="A5" s="30" t="s">
        <v>149</v>
      </c>
    </row>
    <row r="6" spans="1:4" x14ac:dyDescent="0.2">
      <c r="A6" s="30" t="s">
        <v>400</v>
      </c>
    </row>
    <row r="7" spans="1:4" x14ac:dyDescent="0.2">
      <c r="A7" s="30" t="s">
        <v>399</v>
      </c>
    </row>
    <row r="8" spans="1:4" x14ac:dyDescent="0.2">
      <c r="A8" s="31" t="s">
        <v>146</v>
      </c>
    </row>
    <row r="9" spans="1:4" x14ac:dyDescent="0.2">
      <c r="A9" s="30" t="s">
        <v>141</v>
      </c>
    </row>
    <row r="10" spans="1:4" x14ac:dyDescent="0.2">
      <c r="B10" s="25" t="s">
        <v>48</v>
      </c>
    </row>
    <row r="11" spans="1:4" x14ac:dyDescent="0.2">
      <c r="B11" s="25" t="s">
        <v>225</v>
      </c>
    </row>
    <row r="12" spans="1:4" x14ac:dyDescent="0.2">
      <c r="B12" s="25" t="s">
        <v>224</v>
      </c>
    </row>
    <row r="13" spans="1:4" x14ac:dyDescent="0.2">
      <c r="B13" s="25" t="s">
        <v>143</v>
      </c>
    </row>
    <row r="16" spans="1:4" x14ac:dyDescent="0.2">
      <c r="B16" s="25" t="s">
        <v>141</v>
      </c>
      <c r="C16" s="25" t="s">
        <v>177</v>
      </c>
      <c r="D16" s="25" t="s">
        <v>177</v>
      </c>
    </row>
    <row r="17" spans="2:4" x14ac:dyDescent="0.2">
      <c r="B17" s="25" t="s">
        <v>141</v>
      </c>
      <c r="C17" s="25" t="s">
        <v>175</v>
      </c>
      <c r="D17" s="25" t="s">
        <v>175</v>
      </c>
    </row>
    <row r="18" spans="2:4" x14ac:dyDescent="0.2">
      <c r="B18" s="25" t="s">
        <v>141</v>
      </c>
      <c r="C18" s="25" t="s">
        <v>404</v>
      </c>
      <c r="D18" s="25" t="s">
        <v>404</v>
      </c>
    </row>
    <row r="19" spans="2:4" x14ac:dyDescent="0.2">
      <c r="B19" s="25" t="s">
        <v>141</v>
      </c>
      <c r="C19" s="25">
        <v>2022</v>
      </c>
      <c r="D19" s="25">
        <v>2021</v>
      </c>
    </row>
    <row r="20" spans="2:4" x14ac:dyDescent="0.2">
      <c r="B20" s="25" t="s">
        <v>222</v>
      </c>
    </row>
    <row r="21" spans="2:4" x14ac:dyDescent="0.2">
      <c r="B21" s="25" t="s">
        <v>161</v>
      </c>
      <c r="C21" s="26">
        <v>23938</v>
      </c>
      <c r="D21" s="26">
        <v>323442</v>
      </c>
    </row>
    <row r="22" spans="2:4" x14ac:dyDescent="0.2">
      <c r="B22" s="25" t="s">
        <v>221</v>
      </c>
    </row>
    <row r="23" spans="2:4" x14ac:dyDescent="0.2">
      <c r="B23" s="25" t="s">
        <v>247</v>
      </c>
    </row>
    <row r="24" spans="2:4" x14ac:dyDescent="0.2">
      <c r="B24" s="25" t="s">
        <v>311</v>
      </c>
      <c r="C24" s="27">
        <v>26929</v>
      </c>
      <c r="D24" s="27">
        <v>26955</v>
      </c>
    </row>
    <row r="25" spans="2:4" x14ac:dyDescent="0.2">
      <c r="B25" s="25" t="s">
        <v>219</v>
      </c>
      <c r="C25" s="27">
        <v>-10817</v>
      </c>
      <c r="D25" s="27">
        <v>-2944</v>
      </c>
    </row>
    <row r="26" spans="2:4" x14ac:dyDescent="0.2">
      <c r="B26" s="25" t="s">
        <v>218</v>
      </c>
    </row>
    <row r="27" spans="2:4" x14ac:dyDescent="0.2">
      <c r="B27" s="25" t="s">
        <v>217</v>
      </c>
      <c r="C27" s="27">
        <v>-20709</v>
      </c>
      <c r="D27" s="27">
        <v>71954</v>
      </c>
    </row>
    <row r="28" spans="2:4" x14ac:dyDescent="0.2">
      <c r="B28" s="25" t="s">
        <v>216</v>
      </c>
      <c r="C28" s="27">
        <v>1169</v>
      </c>
      <c r="D28" s="27">
        <v>1429</v>
      </c>
    </row>
    <row r="29" spans="2:4" x14ac:dyDescent="0.2">
      <c r="B29" s="25" t="s">
        <v>213</v>
      </c>
      <c r="C29" s="27">
        <v>-2961</v>
      </c>
      <c r="D29" s="27">
        <v>-441682</v>
      </c>
    </row>
    <row r="30" spans="2:4" x14ac:dyDescent="0.2">
      <c r="B30" s="25" t="s">
        <v>212</v>
      </c>
      <c r="C30" s="27">
        <v>17557</v>
      </c>
      <c r="D30" s="27">
        <v>45823</v>
      </c>
    </row>
    <row r="31" spans="2:4" x14ac:dyDescent="0.2">
      <c r="B31" s="25" t="s">
        <v>211</v>
      </c>
      <c r="C31" s="27">
        <v>-5705</v>
      </c>
      <c r="D31" s="27">
        <v>-2307</v>
      </c>
    </row>
    <row r="32" spans="2:4" x14ac:dyDescent="0.2">
      <c r="B32" s="25" t="s">
        <v>206</v>
      </c>
      <c r="C32" s="27">
        <v>8365</v>
      </c>
      <c r="D32" s="27">
        <v>2787</v>
      </c>
    </row>
    <row r="33" spans="2:4" x14ac:dyDescent="0.2">
      <c r="B33" s="25" t="s">
        <v>210</v>
      </c>
    </row>
    <row r="34" spans="2:4" x14ac:dyDescent="0.2">
      <c r="B34" s="25" t="s">
        <v>209</v>
      </c>
      <c r="C34" s="27">
        <v>494</v>
      </c>
      <c r="D34" s="27">
        <v>-21075</v>
      </c>
    </row>
    <row r="35" spans="2:4" x14ac:dyDescent="0.2">
      <c r="B35" s="25" t="s">
        <v>134</v>
      </c>
      <c r="C35" s="27">
        <v>-5989</v>
      </c>
      <c r="D35" s="27">
        <v>-7234</v>
      </c>
    </row>
    <row r="36" spans="2:4" x14ac:dyDescent="0.2">
      <c r="B36" s="25" t="s">
        <v>124</v>
      </c>
      <c r="C36" s="27">
        <v>-10355</v>
      </c>
      <c r="D36" s="27">
        <v>-9194</v>
      </c>
    </row>
    <row r="37" spans="2:4" x14ac:dyDescent="0.2">
      <c r="B37" s="25" t="s">
        <v>123</v>
      </c>
      <c r="C37" s="27">
        <v>106</v>
      </c>
      <c r="D37" s="27">
        <v>2101</v>
      </c>
    </row>
    <row r="38" spans="2:4" x14ac:dyDescent="0.2">
      <c r="B38" s="25" t="s">
        <v>208</v>
      </c>
      <c r="C38" s="27">
        <v>-750</v>
      </c>
      <c r="D38" s="27">
        <v>-30243</v>
      </c>
    </row>
    <row r="39" spans="2:4" x14ac:dyDescent="0.2">
      <c r="B39" s="25" t="s">
        <v>122</v>
      </c>
      <c r="C39" s="27">
        <v>-1919</v>
      </c>
      <c r="D39" s="27">
        <v>-5907</v>
      </c>
    </row>
    <row r="40" spans="2:4" x14ac:dyDescent="0.2">
      <c r="B40" s="25" t="s">
        <v>206</v>
      </c>
      <c r="C40" s="27">
        <v>5</v>
      </c>
      <c r="D40" s="27">
        <v>513</v>
      </c>
    </row>
    <row r="41" spans="2:4" x14ac:dyDescent="0.2">
      <c r="B41" s="25" t="s">
        <v>246</v>
      </c>
      <c r="C41" s="27">
        <v>19358</v>
      </c>
      <c r="D41" s="27">
        <v>-45582</v>
      </c>
    </row>
    <row r="42" spans="2:4" x14ac:dyDescent="0.2">
      <c r="B42" s="25" t="s">
        <v>204</v>
      </c>
    </row>
    <row r="43" spans="2:4" x14ac:dyDescent="0.2">
      <c r="B43" s="25" t="s">
        <v>203</v>
      </c>
      <c r="C43" s="27">
        <v>-4996</v>
      </c>
      <c r="D43" s="27">
        <v>-2712</v>
      </c>
    </row>
    <row r="44" spans="2:4" x14ac:dyDescent="0.2">
      <c r="B44" s="25" t="s">
        <v>202</v>
      </c>
      <c r="C44" s="27">
        <v>-69720</v>
      </c>
      <c r="D44" s="28">
        <v>0</v>
      </c>
    </row>
    <row r="45" spans="2:4" x14ac:dyDescent="0.2">
      <c r="B45" s="25" t="s">
        <v>206</v>
      </c>
      <c r="C45" s="28">
        <v>0</v>
      </c>
      <c r="D45" s="27">
        <v>-31</v>
      </c>
    </row>
    <row r="46" spans="2:4" x14ac:dyDescent="0.2">
      <c r="B46" s="25" t="s">
        <v>245</v>
      </c>
      <c r="C46" s="27">
        <v>-74716</v>
      </c>
      <c r="D46" s="27">
        <v>-2743</v>
      </c>
    </row>
    <row r="47" spans="2:4" x14ac:dyDescent="0.2">
      <c r="B47" s="25" t="s">
        <v>199</v>
      </c>
    </row>
    <row r="48" spans="2:4" x14ac:dyDescent="0.2">
      <c r="B48" s="25" t="s">
        <v>371</v>
      </c>
    </row>
    <row r="49" spans="2:4" x14ac:dyDescent="0.2">
      <c r="B49" s="25" t="s">
        <v>370</v>
      </c>
      <c r="C49" s="28">
        <v>0</v>
      </c>
      <c r="D49" s="27">
        <v>2358371</v>
      </c>
    </row>
    <row r="50" spans="2:4" x14ac:dyDescent="0.2">
      <c r="B50" s="25" t="s">
        <v>369</v>
      </c>
      <c r="C50" s="28">
        <v>0</v>
      </c>
      <c r="D50" s="27">
        <v>-1018365</v>
      </c>
    </row>
    <row r="51" spans="2:4" x14ac:dyDescent="0.2">
      <c r="B51" s="25" t="s">
        <v>368</v>
      </c>
    </row>
    <row r="52" spans="2:4" x14ac:dyDescent="0.2">
      <c r="B52" s="25" t="s">
        <v>367</v>
      </c>
      <c r="C52" s="28">
        <v>0</v>
      </c>
      <c r="D52" s="27">
        <v>-973289</v>
      </c>
    </row>
    <row r="53" spans="2:4" x14ac:dyDescent="0.2">
      <c r="B53" s="25" t="s">
        <v>194</v>
      </c>
    </row>
    <row r="54" spans="2:4" x14ac:dyDescent="0.2">
      <c r="B54" s="25" t="s">
        <v>193</v>
      </c>
      <c r="C54" s="27">
        <v>-5708</v>
      </c>
      <c r="D54" s="28">
        <v>0</v>
      </c>
    </row>
    <row r="55" spans="2:4" x14ac:dyDescent="0.2">
      <c r="B55" s="25" t="s">
        <v>198</v>
      </c>
      <c r="C55" s="27">
        <v>-1438</v>
      </c>
      <c r="D55" s="27">
        <v>-200000</v>
      </c>
    </row>
    <row r="56" spans="2:4" x14ac:dyDescent="0.2">
      <c r="B56" s="25" t="s">
        <v>244</v>
      </c>
      <c r="C56" s="27">
        <v>-7146</v>
      </c>
      <c r="D56" s="27">
        <v>166717</v>
      </c>
    </row>
    <row r="57" spans="2:4" x14ac:dyDescent="0.2">
      <c r="B57" s="25" t="s">
        <v>190</v>
      </c>
    </row>
    <row r="58" spans="2:4" x14ac:dyDescent="0.2">
      <c r="B58" s="25" t="s">
        <v>189</v>
      </c>
      <c r="C58" s="27">
        <v>2117</v>
      </c>
      <c r="D58" s="27">
        <v>-162</v>
      </c>
    </row>
    <row r="59" spans="2:4" x14ac:dyDescent="0.2">
      <c r="B59" s="25" t="s">
        <v>188</v>
      </c>
    </row>
    <row r="60" spans="2:4" x14ac:dyDescent="0.2">
      <c r="B60" s="25" t="s">
        <v>187</v>
      </c>
      <c r="C60" s="27">
        <v>-60387</v>
      </c>
      <c r="D60" s="27">
        <v>118230</v>
      </c>
    </row>
    <row r="61" spans="2:4" x14ac:dyDescent="0.2">
      <c r="B61" s="25" t="s">
        <v>186</v>
      </c>
    </row>
    <row r="62" spans="2:4" x14ac:dyDescent="0.2">
      <c r="B62" s="25" t="s">
        <v>185</v>
      </c>
      <c r="C62" s="27">
        <v>369175</v>
      </c>
      <c r="D62" s="27">
        <v>128029</v>
      </c>
    </row>
    <row r="63" spans="2:4" x14ac:dyDescent="0.2">
      <c r="B63" s="25" t="s">
        <v>184</v>
      </c>
    </row>
    <row r="64" spans="2:4" x14ac:dyDescent="0.2">
      <c r="B64" s="25" t="s">
        <v>183</v>
      </c>
      <c r="C64" s="27">
        <v>308788</v>
      </c>
      <c r="D64" s="27">
        <v>246259</v>
      </c>
    </row>
    <row r="65" spans="2:4" x14ac:dyDescent="0.2">
      <c r="B65" s="25" t="s">
        <v>182</v>
      </c>
      <c r="C65" s="28">
        <v>0</v>
      </c>
      <c r="D65" s="27">
        <v>257</v>
      </c>
    </row>
    <row r="66" spans="2:4" x14ac:dyDescent="0.2">
      <c r="B66" s="25" t="s">
        <v>181</v>
      </c>
      <c r="C66" s="26">
        <v>308788</v>
      </c>
      <c r="D66" s="26">
        <v>246002</v>
      </c>
    </row>
  </sheetData>
  <hyperlinks>
    <hyperlink ref="A8" location="Table_Of_Contents!A1" display="Table Of Contents" xr:uid="{261D1753-CF09-4B6A-8289-7B1A0C0E037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B075-7594-4752-9A7F-3E7C16C39857}">
  <dimension ref="A1:F88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47" style="25" customWidth="1" outlineLevel="7"/>
    <col min="3" max="4" width="19" style="25" customWidth="1" outlineLevel="7"/>
    <col min="5" max="5" width="16" style="25" customWidth="1" outlineLevel="7"/>
    <col min="6" max="6" width="17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409</v>
      </c>
    </row>
    <row r="7" spans="1:6" x14ac:dyDescent="0.2">
      <c r="A7" s="30" t="s">
        <v>408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426</v>
      </c>
      <c r="D13" s="25" t="s">
        <v>141</v>
      </c>
      <c r="E13" s="25" t="s">
        <v>425</v>
      </c>
    </row>
    <row r="14" spans="1:6" x14ac:dyDescent="0.2">
      <c r="B14" s="25" t="s">
        <v>141</v>
      </c>
      <c r="C14" s="25" t="s">
        <v>141</v>
      </c>
      <c r="D14" s="25" t="s">
        <v>424</v>
      </c>
      <c r="E14" s="25" t="s">
        <v>424</v>
      </c>
    </row>
    <row r="15" spans="1:6" x14ac:dyDescent="0.2">
      <c r="B15" s="25" t="s">
        <v>141</v>
      </c>
      <c r="C15" s="25" t="s">
        <v>421</v>
      </c>
      <c r="D15" s="25" t="s">
        <v>423</v>
      </c>
      <c r="E15" s="25" t="s">
        <v>422</v>
      </c>
      <c r="F15" s="25" t="s">
        <v>421</v>
      </c>
    </row>
    <row r="16" spans="1:6" x14ac:dyDescent="0.2">
      <c r="B16" s="25" t="s">
        <v>141</v>
      </c>
      <c r="C16" s="25" t="s">
        <v>175</v>
      </c>
      <c r="D16" s="25" t="s">
        <v>420</v>
      </c>
      <c r="E16" s="25" t="s">
        <v>420</v>
      </c>
      <c r="F16" s="25" t="s">
        <v>175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419</v>
      </c>
      <c r="F17" s="25" t="s">
        <v>386</v>
      </c>
    </row>
    <row r="18" spans="2:6" x14ac:dyDescent="0.2">
      <c r="B18" s="25" t="s">
        <v>141</v>
      </c>
      <c r="C18" s="25">
        <v>2021</v>
      </c>
      <c r="D18" s="25">
        <v>2020</v>
      </c>
      <c r="E18" s="25">
        <v>2020</v>
      </c>
      <c r="F18" s="25">
        <v>2019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286945</v>
      </c>
      <c r="D20" s="26">
        <v>-110186</v>
      </c>
      <c r="E20" s="26">
        <v>-32556</v>
      </c>
      <c r="F20" s="26">
        <v>85844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107056</v>
      </c>
      <c r="D24" s="27">
        <v>91767</v>
      </c>
      <c r="E24" s="27">
        <v>408</v>
      </c>
      <c r="F24" s="27">
        <v>6734</v>
      </c>
    </row>
    <row r="25" spans="2:6" x14ac:dyDescent="0.2">
      <c r="B25" s="25" t="s">
        <v>168</v>
      </c>
      <c r="C25" s="27">
        <v>26431</v>
      </c>
      <c r="D25" s="28">
        <v>0</v>
      </c>
      <c r="E25" s="28">
        <v>0</v>
      </c>
      <c r="F25" s="28">
        <v>0</v>
      </c>
    </row>
    <row r="26" spans="2:6" x14ac:dyDescent="0.2">
      <c r="B26" s="25" t="s">
        <v>466</v>
      </c>
      <c r="C26" s="27">
        <v>-6593</v>
      </c>
      <c r="D26" s="27">
        <v>1586</v>
      </c>
      <c r="E26" s="25" t="s">
        <v>141</v>
      </c>
      <c r="F26" s="28">
        <v>0</v>
      </c>
    </row>
    <row r="27" spans="2:6" x14ac:dyDescent="0.2">
      <c r="B27" s="25" t="s">
        <v>465</v>
      </c>
      <c r="C27" s="25" t="s">
        <v>141</v>
      </c>
      <c r="D27" s="25" t="s">
        <v>141</v>
      </c>
      <c r="E27" s="28">
        <v>0</v>
      </c>
    </row>
    <row r="28" spans="2:6" x14ac:dyDescent="0.2">
      <c r="B28" s="25" t="s">
        <v>464</v>
      </c>
      <c r="C28" s="27">
        <v>55900</v>
      </c>
      <c r="D28" s="27">
        <v>27800</v>
      </c>
      <c r="E28" s="28">
        <v>0</v>
      </c>
      <c r="F28" s="28">
        <v>0</v>
      </c>
    </row>
    <row r="29" spans="2:6" x14ac:dyDescent="0.2">
      <c r="B29" s="25" t="s">
        <v>463</v>
      </c>
    </row>
    <row r="30" spans="2:6" x14ac:dyDescent="0.2">
      <c r="B30" s="25" t="s">
        <v>216</v>
      </c>
      <c r="C30" s="27">
        <v>5438</v>
      </c>
      <c r="D30" s="27">
        <v>-109</v>
      </c>
      <c r="E30" s="27">
        <v>-226</v>
      </c>
      <c r="F30" s="27">
        <v>952</v>
      </c>
    </row>
    <row r="31" spans="2:6" x14ac:dyDescent="0.2">
      <c r="B31" s="25" t="s">
        <v>213</v>
      </c>
      <c r="C31" s="27">
        <v>-446629</v>
      </c>
      <c r="D31" s="27">
        <v>-789</v>
      </c>
      <c r="E31" s="27">
        <v>26</v>
      </c>
      <c r="F31" s="27">
        <v>201</v>
      </c>
    </row>
    <row r="32" spans="2:6" x14ac:dyDescent="0.2">
      <c r="B32" s="25" t="s">
        <v>212</v>
      </c>
      <c r="C32" s="27">
        <v>123910</v>
      </c>
      <c r="D32" s="27">
        <v>27468</v>
      </c>
      <c r="E32" s="27">
        <v>4156</v>
      </c>
      <c r="F32" s="27">
        <v>2160</v>
      </c>
    </row>
    <row r="33" spans="2:6" x14ac:dyDescent="0.2">
      <c r="B33" s="25" t="s">
        <v>211</v>
      </c>
      <c r="C33" s="27">
        <v>4084</v>
      </c>
      <c r="D33" s="27">
        <v>6945</v>
      </c>
      <c r="E33" s="27">
        <v>-198</v>
      </c>
      <c r="F33" s="27">
        <v>600</v>
      </c>
    </row>
    <row r="34" spans="2:6" x14ac:dyDescent="0.2">
      <c r="B34" s="25" t="s">
        <v>326</v>
      </c>
      <c r="C34" s="27">
        <v>-1322</v>
      </c>
      <c r="D34" s="27">
        <v>-1211</v>
      </c>
      <c r="E34" s="28">
        <v>0</v>
      </c>
      <c r="F34" s="27">
        <v>-2374</v>
      </c>
    </row>
    <row r="35" spans="2:6" x14ac:dyDescent="0.2">
      <c r="B35" s="25" t="s">
        <v>206</v>
      </c>
      <c r="C35" s="27">
        <v>6093</v>
      </c>
      <c r="D35" s="27">
        <v>3604</v>
      </c>
      <c r="E35" s="27">
        <v>31</v>
      </c>
      <c r="F35" s="27">
        <v>201</v>
      </c>
    </row>
    <row r="36" spans="2:6" x14ac:dyDescent="0.2">
      <c r="B36" s="25" t="s">
        <v>210</v>
      </c>
    </row>
    <row r="37" spans="2:6" x14ac:dyDescent="0.2">
      <c r="B37" s="25" t="s">
        <v>209</v>
      </c>
      <c r="C37" s="27">
        <v>-9953</v>
      </c>
      <c r="D37" s="27">
        <v>10737</v>
      </c>
      <c r="E37" s="27">
        <v>-17599</v>
      </c>
      <c r="F37" s="27">
        <v>-5971</v>
      </c>
    </row>
    <row r="38" spans="2:6" x14ac:dyDescent="0.2">
      <c r="B38" s="25" t="s">
        <v>134</v>
      </c>
      <c r="C38" s="27">
        <v>24328</v>
      </c>
      <c r="D38" s="27">
        <v>-46949</v>
      </c>
      <c r="E38" s="27">
        <v>-2175</v>
      </c>
      <c r="F38" s="27">
        <v>-21144</v>
      </c>
    </row>
    <row r="39" spans="2:6" x14ac:dyDescent="0.2">
      <c r="B39" s="25" t="s">
        <v>124</v>
      </c>
      <c r="C39" s="27">
        <v>-3531</v>
      </c>
      <c r="D39" s="27">
        <v>2970</v>
      </c>
      <c r="E39" s="27">
        <v>12984</v>
      </c>
      <c r="F39" s="27">
        <v>-252</v>
      </c>
    </row>
    <row r="40" spans="2:6" x14ac:dyDescent="0.2">
      <c r="B40" s="25" t="s">
        <v>123</v>
      </c>
      <c r="C40" s="27">
        <v>8654</v>
      </c>
      <c r="D40" s="27">
        <v>22169</v>
      </c>
      <c r="E40" s="27">
        <v>289</v>
      </c>
      <c r="F40" s="27">
        <v>1360</v>
      </c>
    </row>
    <row r="41" spans="2:6" x14ac:dyDescent="0.2">
      <c r="B41" s="25" t="s">
        <v>208</v>
      </c>
      <c r="C41" s="27">
        <v>-46377</v>
      </c>
      <c r="D41" s="27">
        <v>-18374</v>
      </c>
      <c r="E41" s="27">
        <v>-521</v>
      </c>
      <c r="F41" s="27">
        <v>-1811</v>
      </c>
    </row>
    <row r="42" spans="2:6" x14ac:dyDescent="0.2">
      <c r="B42" s="25" t="s">
        <v>462</v>
      </c>
      <c r="C42" s="27">
        <v>-30545</v>
      </c>
      <c r="D42" s="27">
        <v>38806</v>
      </c>
      <c r="E42" s="25" t="s">
        <v>141</v>
      </c>
      <c r="F42" s="27">
        <v>34523</v>
      </c>
    </row>
    <row r="43" spans="2:6" x14ac:dyDescent="0.2">
      <c r="B43" s="25" t="s">
        <v>461</v>
      </c>
      <c r="C43" s="25" t="s">
        <v>141</v>
      </c>
      <c r="D43" s="25" t="s">
        <v>141</v>
      </c>
      <c r="E43" s="27">
        <v>32075</v>
      </c>
    </row>
    <row r="44" spans="2:6" x14ac:dyDescent="0.2">
      <c r="B44" s="25" t="s">
        <v>206</v>
      </c>
      <c r="C44" s="27">
        <v>948</v>
      </c>
      <c r="D44" s="27">
        <v>27</v>
      </c>
      <c r="E44" s="28">
        <v>0</v>
      </c>
      <c r="F44" s="27">
        <v>369</v>
      </c>
    </row>
    <row r="45" spans="2:6" x14ac:dyDescent="0.2">
      <c r="B45" s="25" t="s">
        <v>439</v>
      </c>
    </row>
    <row r="46" spans="2:6" x14ac:dyDescent="0.2">
      <c r="B46" s="25" t="s">
        <v>460</v>
      </c>
      <c r="C46" s="27">
        <v>104837</v>
      </c>
      <c r="D46" s="27">
        <v>56261</v>
      </c>
      <c r="E46" s="27">
        <v>-3306</v>
      </c>
      <c r="F46" s="27">
        <v>101392</v>
      </c>
    </row>
    <row r="47" spans="2:6" x14ac:dyDescent="0.2">
      <c r="B47" s="25" t="s">
        <v>204</v>
      </c>
    </row>
    <row r="48" spans="2:6" x14ac:dyDescent="0.2">
      <c r="B48" s="25" t="s">
        <v>203</v>
      </c>
      <c r="C48" s="27">
        <v>-13653</v>
      </c>
      <c r="D48" s="27">
        <v>-10632</v>
      </c>
      <c r="E48" s="27">
        <v>-1045</v>
      </c>
      <c r="F48" s="27">
        <v>-9674</v>
      </c>
    </row>
    <row r="49" spans="2:6" x14ac:dyDescent="0.2">
      <c r="B49" s="25" t="s">
        <v>459</v>
      </c>
      <c r="C49" s="28">
        <v>0</v>
      </c>
      <c r="D49" s="27">
        <v>-2837706</v>
      </c>
    </row>
    <row r="50" spans="2:6" x14ac:dyDescent="0.2">
      <c r="B50" s="25" t="s">
        <v>458</v>
      </c>
      <c r="C50" s="25" t="s">
        <v>141</v>
      </c>
      <c r="D50" s="25" t="s">
        <v>141</v>
      </c>
      <c r="E50" s="28">
        <v>0</v>
      </c>
      <c r="F50" s="28">
        <v>0</v>
      </c>
    </row>
    <row r="51" spans="2:6" x14ac:dyDescent="0.2">
      <c r="B51" s="25" t="s">
        <v>206</v>
      </c>
      <c r="C51" s="27">
        <v>1169</v>
      </c>
      <c r="D51" s="27">
        <v>-2313</v>
      </c>
      <c r="E51" s="27">
        <v>16</v>
      </c>
      <c r="F51" s="27">
        <v>-1722</v>
      </c>
    </row>
    <row r="52" spans="2:6" x14ac:dyDescent="0.2">
      <c r="B52" s="25" t="s">
        <v>200</v>
      </c>
      <c r="C52" s="27">
        <v>-12484</v>
      </c>
      <c r="D52" s="27">
        <v>-2850651</v>
      </c>
      <c r="E52" s="27">
        <v>-1029</v>
      </c>
      <c r="F52" s="27">
        <v>-11396</v>
      </c>
    </row>
    <row r="53" spans="2:6" x14ac:dyDescent="0.2">
      <c r="B53" s="25" t="s">
        <v>199</v>
      </c>
    </row>
    <row r="54" spans="2:6" x14ac:dyDescent="0.2">
      <c r="B54" s="25" t="s">
        <v>457</v>
      </c>
    </row>
    <row r="55" spans="2:6" x14ac:dyDescent="0.2">
      <c r="B55" s="25" t="s">
        <v>456</v>
      </c>
    </row>
    <row r="56" spans="2:6" x14ac:dyDescent="0.2">
      <c r="B56" s="25" t="s">
        <v>455</v>
      </c>
      <c r="C56" s="27">
        <v>2358371</v>
      </c>
      <c r="D56" s="28">
        <v>0</v>
      </c>
      <c r="E56" s="28">
        <v>0</v>
      </c>
      <c r="F56" s="28">
        <v>0</v>
      </c>
    </row>
    <row r="57" spans="2:6" x14ac:dyDescent="0.2">
      <c r="B57" s="25" t="s">
        <v>454</v>
      </c>
    </row>
    <row r="58" spans="2:6" x14ac:dyDescent="0.2">
      <c r="B58" s="25" t="s">
        <v>453</v>
      </c>
      <c r="C58" s="27">
        <v>-1018365</v>
      </c>
      <c r="D58" s="28">
        <v>0</v>
      </c>
      <c r="E58" s="28">
        <v>0</v>
      </c>
      <c r="F58" s="28">
        <v>0</v>
      </c>
    </row>
    <row r="59" spans="2:6" x14ac:dyDescent="0.2">
      <c r="B59" s="25" t="s">
        <v>452</v>
      </c>
    </row>
    <row r="60" spans="2:6" x14ac:dyDescent="0.2">
      <c r="B60" s="25" t="s">
        <v>451</v>
      </c>
    </row>
    <row r="61" spans="2:6" x14ac:dyDescent="0.2">
      <c r="B61" s="25" t="s">
        <v>450</v>
      </c>
      <c r="C61" s="27">
        <v>-973289</v>
      </c>
      <c r="D61" s="28">
        <v>0</v>
      </c>
      <c r="E61" s="28">
        <v>0</v>
      </c>
      <c r="F61" s="28">
        <v>0</v>
      </c>
    </row>
    <row r="62" spans="2:6" x14ac:dyDescent="0.2">
      <c r="B62" s="25" t="s">
        <v>366</v>
      </c>
      <c r="C62" s="27">
        <v>545</v>
      </c>
      <c r="D62" s="28">
        <v>0</v>
      </c>
      <c r="E62" s="28">
        <v>0</v>
      </c>
      <c r="F62" s="28">
        <v>0</v>
      </c>
    </row>
    <row r="63" spans="2:6" x14ac:dyDescent="0.2">
      <c r="B63" s="25" t="s">
        <v>449</v>
      </c>
      <c r="C63" s="28">
        <v>0</v>
      </c>
      <c r="D63" s="27">
        <v>41929</v>
      </c>
    </row>
    <row r="64" spans="2:6" x14ac:dyDescent="0.2">
      <c r="B64" s="25" t="s">
        <v>448</v>
      </c>
      <c r="C64" s="25" t="s">
        <v>141</v>
      </c>
      <c r="D64" s="25" t="s">
        <v>141</v>
      </c>
      <c r="E64" s="28">
        <v>0</v>
      </c>
      <c r="F64" s="28">
        <v>0</v>
      </c>
    </row>
    <row r="65" spans="2:6" x14ac:dyDescent="0.2">
      <c r="B65" s="25" t="s">
        <v>447</v>
      </c>
      <c r="C65" s="28">
        <v>0</v>
      </c>
      <c r="D65" s="27">
        <v>-21105</v>
      </c>
      <c r="E65" s="28">
        <v>0</v>
      </c>
      <c r="F65" s="28">
        <v>0</v>
      </c>
    </row>
    <row r="66" spans="2:6" x14ac:dyDescent="0.2">
      <c r="B66" s="25" t="s">
        <v>446</v>
      </c>
      <c r="C66" s="28">
        <v>0</v>
      </c>
      <c r="D66" s="27">
        <v>2360412</v>
      </c>
      <c r="E66" s="28">
        <v>0</v>
      </c>
      <c r="F66" s="28">
        <v>0</v>
      </c>
    </row>
    <row r="67" spans="2:6" x14ac:dyDescent="0.2">
      <c r="B67" s="25" t="s">
        <v>445</v>
      </c>
      <c r="C67" s="28">
        <v>0</v>
      </c>
      <c r="D67" s="27">
        <v>850000</v>
      </c>
      <c r="E67" s="28">
        <v>0</v>
      </c>
      <c r="F67" s="28">
        <v>0</v>
      </c>
    </row>
    <row r="68" spans="2:6" x14ac:dyDescent="0.2">
      <c r="B68" s="25" t="s">
        <v>198</v>
      </c>
      <c r="C68" s="27">
        <v>-206438</v>
      </c>
      <c r="D68" s="27">
        <v>-5000</v>
      </c>
      <c r="E68" s="28">
        <v>0</v>
      </c>
      <c r="F68" s="28">
        <v>0</v>
      </c>
    </row>
    <row r="69" spans="2:6" x14ac:dyDescent="0.2">
      <c r="B69" s="25" t="s">
        <v>444</v>
      </c>
      <c r="C69" s="28">
        <v>0</v>
      </c>
      <c r="D69" s="28">
        <v>0</v>
      </c>
      <c r="E69" s="28">
        <v>0</v>
      </c>
      <c r="F69" s="27">
        <v>-41965</v>
      </c>
    </row>
    <row r="70" spans="2:6" x14ac:dyDescent="0.2">
      <c r="B70" s="25" t="s">
        <v>443</v>
      </c>
      <c r="C70" s="28">
        <v>0</v>
      </c>
      <c r="D70" s="28">
        <v>0</v>
      </c>
      <c r="E70" s="28">
        <v>0</v>
      </c>
      <c r="F70" s="27">
        <v>104</v>
      </c>
    </row>
    <row r="71" spans="2:6" x14ac:dyDescent="0.2">
      <c r="B71" s="25" t="s">
        <v>442</v>
      </c>
      <c r="C71" s="28">
        <v>0</v>
      </c>
      <c r="D71" s="27">
        <v>-360000</v>
      </c>
      <c r="E71" s="28">
        <v>0</v>
      </c>
      <c r="F71" s="27">
        <v>-23359</v>
      </c>
    </row>
    <row r="72" spans="2:6" x14ac:dyDescent="0.2">
      <c r="B72" s="25" t="s">
        <v>441</v>
      </c>
      <c r="C72" s="27">
        <v>-9338</v>
      </c>
      <c r="D72" s="28">
        <v>0</v>
      </c>
    </row>
    <row r="73" spans="2:6" x14ac:dyDescent="0.2">
      <c r="B73" s="25" t="s">
        <v>440</v>
      </c>
      <c r="C73" s="25" t="s">
        <v>141</v>
      </c>
      <c r="D73" s="25" t="s">
        <v>141</v>
      </c>
      <c r="E73" s="28">
        <v>0</v>
      </c>
      <c r="F73" s="27">
        <v>0</v>
      </c>
    </row>
    <row r="74" spans="2:6" x14ac:dyDescent="0.2">
      <c r="B74" s="25" t="s">
        <v>206</v>
      </c>
      <c r="C74" s="28">
        <v>0</v>
      </c>
      <c r="D74" s="28">
        <v>0</v>
      </c>
      <c r="E74" s="28">
        <v>0</v>
      </c>
      <c r="F74" s="27">
        <v>24</v>
      </c>
    </row>
    <row r="75" spans="2:6" x14ac:dyDescent="0.2">
      <c r="B75" s="25" t="s">
        <v>439</v>
      </c>
    </row>
    <row r="76" spans="2:6" x14ac:dyDescent="0.2">
      <c r="B76" s="25" t="s">
        <v>438</v>
      </c>
      <c r="C76" s="27">
        <v>151486</v>
      </c>
      <c r="D76" s="27">
        <v>2866236</v>
      </c>
      <c r="E76" s="28">
        <v>0</v>
      </c>
      <c r="F76" s="27">
        <v>-65196</v>
      </c>
    </row>
    <row r="77" spans="2:6" x14ac:dyDescent="0.2">
      <c r="B77" s="25" t="s">
        <v>437</v>
      </c>
      <c r="C77" s="27">
        <v>-2950</v>
      </c>
      <c r="D77" s="27">
        <v>2513</v>
      </c>
    </row>
    <row r="78" spans="2:6" x14ac:dyDescent="0.2">
      <c r="B78" s="25" t="s">
        <v>436</v>
      </c>
      <c r="C78" s="25" t="s">
        <v>141</v>
      </c>
      <c r="D78" s="25" t="s">
        <v>141</v>
      </c>
      <c r="E78" s="27">
        <v>813</v>
      </c>
      <c r="F78" s="27">
        <v>-640</v>
      </c>
    </row>
    <row r="79" spans="2:6" x14ac:dyDescent="0.2">
      <c r="B79" s="25" t="s">
        <v>435</v>
      </c>
    </row>
    <row r="80" spans="2:6" x14ac:dyDescent="0.2">
      <c r="B80" s="25" t="s">
        <v>434</v>
      </c>
      <c r="C80" s="27">
        <v>240889</v>
      </c>
      <c r="D80" s="27">
        <v>74359</v>
      </c>
      <c r="E80" s="27">
        <v>-3522</v>
      </c>
      <c r="F80" s="27">
        <v>24160</v>
      </c>
    </row>
    <row r="81" spans="2:6" x14ac:dyDescent="0.2">
      <c r="B81" s="25" t="s">
        <v>432</v>
      </c>
    </row>
    <row r="82" spans="2:6" x14ac:dyDescent="0.2">
      <c r="B82" s="25" t="s">
        <v>433</v>
      </c>
      <c r="C82" s="27">
        <v>128286</v>
      </c>
      <c r="D82" s="27">
        <v>53927</v>
      </c>
    </row>
    <row r="83" spans="2:6" x14ac:dyDescent="0.2">
      <c r="B83" s="25" t="s">
        <v>429</v>
      </c>
      <c r="C83" s="25" t="s">
        <v>141</v>
      </c>
      <c r="D83" s="25" t="s">
        <v>141</v>
      </c>
      <c r="E83" s="27">
        <v>57449</v>
      </c>
      <c r="F83" s="27">
        <v>33289</v>
      </c>
    </row>
    <row r="84" spans="2:6" x14ac:dyDescent="0.2">
      <c r="B84" s="25" t="s">
        <v>432</v>
      </c>
    </row>
    <row r="85" spans="2:6" x14ac:dyDescent="0.2">
      <c r="B85" s="25" t="s">
        <v>431</v>
      </c>
      <c r="C85" s="26">
        <v>369175</v>
      </c>
      <c r="D85" s="26">
        <v>128286</v>
      </c>
      <c r="E85" s="26">
        <v>53927</v>
      </c>
      <c r="F85" s="26">
        <v>57449</v>
      </c>
    </row>
    <row r="86" spans="2:6" x14ac:dyDescent="0.2">
      <c r="B86" s="25" t="s">
        <v>182</v>
      </c>
      <c r="C86" s="28">
        <v>0</v>
      </c>
      <c r="D86" s="27">
        <v>257</v>
      </c>
      <c r="E86" s="28">
        <v>0</v>
      </c>
      <c r="F86" s="28">
        <v>0</v>
      </c>
    </row>
    <row r="87" spans="2:6" x14ac:dyDescent="0.2">
      <c r="B87" s="25" t="s">
        <v>430</v>
      </c>
    </row>
    <row r="88" spans="2:6" x14ac:dyDescent="0.2">
      <c r="B88" s="25" t="s">
        <v>429</v>
      </c>
      <c r="C88" s="26">
        <v>369175</v>
      </c>
      <c r="D88" s="26">
        <v>128029</v>
      </c>
      <c r="E88" s="26">
        <v>53927</v>
      </c>
      <c r="F88" s="26">
        <v>57449</v>
      </c>
    </row>
  </sheetData>
  <hyperlinks>
    <hyperlink ref="A8" location="Table_Of_Contents!A1" display="Table Of Contents" xr:uid="{B88DBEB8-212A-4793-B72F-3C6A3869455D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7C6A-634F-4766-9A55-A029BE433927}">
  <dimension ref="A1:F89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0" style="25" customWidth="1" outlineLevel="7"/>
    <col min="3" max="3" width="17" style="25" customWidth="1" outlineLevel="7"/>
    <col min="4" max="5" width="19" style="25" customWidth="1" outlineLevel="7"/>
    <col min="6" max="6" width="16" style="25" customWidth="1" outlineLevel="7"/>
    <col min="7" max="256" width="21.7109375" style="25" customWidth="1"/>
    <col min="257" max="16384" width="9.140625" style="25"/>
  </cols>
  <sheetData>
    <row r="1" spans="1:6" x14ac:dyDescent="0.2">
      <c r="A1" s="30" t="s">
        <v>152</v>
      </c>
    </row>
    <row r="2" spans="1:6" x14ac:dyDescent="0.2">
      <c r="A2" s="30" t="s">
        <v>141</v>
      </c>
    </row>
    <row r="3" spans="1:6" x14ac:dyDescent="0.2">
      <c r="A3" s="30" t="s">
        <v>151</v>
      </c>
    </row>
    <row r="4" spans="1:6" x14ac:dyDescent="0.2">
      <c r="A4" s="30" t="s">
        <v>226</v>
      </c>
    </row>
    <row r="5" spans="1:6" x14ac:dyDescent="0.2">
      <c r="A5" s="30" t="s">
        <v>410</v>
      </c>
    </row>
    <row r="6" spans="1:6" x14ac:dyDescent="0.2">
      <c r="A6" s="30" t="s">
        <v>479</v>
      </c>
    </row>
    <row r="7" spans="1:6" x14ac:dyDescent="0.2">
      <c r="A7" s="30" t="s">
        <v>478</v>
      </c>
    </row>
    <row r="8" spans="1:6" x14ac:dyDescent="0.2">
      <c r="A8" s="31" t="s">
        <v>146</v>
      </c>
    </row>
    <row r="9" spans="1:6" x14ac:dyDescent="0.2">
      <c r="A9" s="30" t="s">
        <v>141</v>
      </c>
    </row>
    <row r="10" spans="1:6" x14ac:dyDescent="0.2">
      <c r="B10" s="32" t="s">
        <v>48</v>
      </c>
      <c r="C10" s="25" t="s">
        <v>141</v>
      </c>
    </row>
    <row r="11" spans="1:6" x14ac:dyDescent="0.2">
      <c r="B11" s="32" t="s">
        <v>471</v>
      </c>
      <c r="C11" s="25" t="s">
        <v>141</v>
      </c>
    </row>
    <row r="12" spans="1:6" x14ac:dyDescent="0.2">
      <c r="B12" s="32" t="s">
        <v>470</v>
      </c>
      <c r="C12" s="25" t="s">
        <v>141</v>
      </c>
    </row>
    <row r="13" spans="1:6" x14ac:dyDescent="0.2">
      <c r="B13" s="25" t="s">
        <v>141</v>
      </c>
      <c r="C13" s="25" t="s">
        <v>141</v>
      </c>
      <c r="D13" s="25" t="s">
        <v>426</v>
      </c>
      <c r="E13" s="25" t="s">
        <v>141</v>
      </c>
      <c r="F13" s="25" t="s">
        <v>425</v>
      </c>
    </row>
    <row r="14" spans="1:6" x14ac:dyDescent="0.2">
      <c r="B14" s="25" t="s">
        <v>141</v>
      </c>
      <c r="C14" s="25" t="s">
        <v>141</v>
      </c>
      <c r="D14" s="25" t="s">
        <v>141</v>
      </c>
      <c r="E14" s="25" t="s">
        <v>424</v>
      </c>
      <c r="F14" s="25" t="s">
        <v>424</v>
      </c>
    </row>
    <row r="15" spans="1:6" x14ac:dyDescent="0.2">
      <c r="B15" s="25" t="s">
        <v>141</v>
      </c>
      <c r="C15" s="25" t="s">
        <v>421</v>
      </c>
      <c r="D15" s="25" t="s">
        <v>421</v>
      </c>
      <c r="E15" s="25" t="s">
        <v>423</v>
      </c>
      <c r="F15" s="25" t="s">
        <v>422</v>
      </c>
    </row>
    <row r="16" spans="1:6" x14ac:dyDescent="0.2">
      <c r="B16" s="25" t="s">
        <v>141</v>
      </c>
      <c r="C16" s="25" t="s">
        <v>175</v>
      </c>
      <c r="D16" s="25" t="s">
        <v>175</v>
      </c>
      <c r="E16" s="25" t="s">
        <v>420</v>
      </c>
      <c r="F16" s="25" t="s">
        <v>420</v>
      </c>
    </row>
    <row r="17" spans="2:6" x14ac:dyDescent="0.2">
      <c r="B17" s="25" t="s">
        <v>141</v>
      </c>
      <c r="C17" s="25" t="s">
        <v>386</v>
      </c>
      <c r="D17" s="25" t="s">
        <v>386</v>
      </c>
      <c r="E17" s="25" t="s">
        <v>386</v>
      </c>
      <c r="F17" s="25" t="s">
        <v>419</v>
      </c>
    </row>
    <row r="18" spans="2:6" x14ac:dyDescent="0.2">
      <c r="B18" s="25" t="s">
        <v>141</v>
      </c>
      <c r="C18" s="25">
        <v>2022</v>
      </c>
      <c r="D18" s="25">
        <v>2021</v>
      </c>
      <c r="E18" s="25">
        <v>2020</v>
      </c>
      <c r="F18" s="25">
        <v>2020</v>
      </c>
    </row>
    <row r="19" spans="2:6" x14ac:dyDescent="0.2">
      <c r="B19" s="25" t="s">
        <v>222</v>
      </c>
    </row>
    <row r="20" spans="2:6" x14ac:dyDescent="0.2">
      <c r="B20" s="25" t="s">
        <v>161</v>
      </c>
      <c r="C20" s="26">
        <v>-114124</v>
      </c>
      <c r="D20" s="26">
        <v>281740</v>
      </c>
      <c r="E20" s="26">
        <v>-109493</v>
      </c>
      <c r="F20" s="26">
        <v>-32556</v>
      </c>
    </row>
    <row r="21" spans="2:6" x14ac:dyDescent="0.2">
      <c r="B21" s="25" t="s">
        <v>469</v>
      </c>
    </row>
    <row r="22" spans="2:6" x14ac:dyDescent="0.2">
      <c r="B22" s="25" t="s">
        <v>468</v>
      </c>
    </row>
    <row r="23" spans="2:6" x14ac:dyDescent="0.2">
      <c r="B23" s="25" t="s">
        <v>467</v>
      </c>
    </row>
    <row r="24" spans="2:6" x14ac:dyDescent="0.2">
      <c r="B24" s="25" t="s">
        <v>311</v>
      </c>
      <c r="C24" s="27">
        <v>89713</v>
      </c>
      <c r="D24" s="27">
        <v>107056</v>
      </c>
      <c r="E24" s="27">
        <v>91767</v>
      </c>
      <c r="F24" s="27">
        <v>408</v>
      </c>
    </row>
    <row r="25" spans="2:6" x14ac:dyDescent="0.2">
      <c r="B25" s="25" t="s">
        <v>168</v>
      </c>
      <c r="C25" s="27">
        <v>145388</v>
      </c>
      <c r="D25" s="27">
        <v>26431</v>
      </c>
      <c r="E25" s="28">
        <v>0</v>
      </c>
      <c r="F25" s="28">
        <v>0</v>
      </c>
    </row>
    <row r="26" spans="2:6" x14ac:dyDescent="0.2">
      <c r="B26" s="25" t="s">
        <v>497</v>
      </c>
      <c r="C26" s="27">
        <v>-2140</v>
      </c>
      <c r="D26" s="28">
        <v>0</v>
      </c>
      <c r="E26" s="28">
        <v>0</v>
      </c>
      <c r="F26" s="28">
        <v>0</v>
      </c>
    </row>
    <row r="27" spans="2:6" x14ac:dyDescent="0.2">
      <c r="B27" s="25" t="s">
        <v>374</v>
      </c>
      <c r="C27" s="28">
        <v>0</v>
      </c>
      <c r="D27" s="27">
        <v>3398</v>
      </c>
      <c r="E27" s="28">
        <v>0</v>
      </c>
      <c r="F27" s="28">
        <v>0</v>
      </c>
    </row>
    <row r="28" spans="2:6" x14ac:dyDescent="0.2">
      <c r="B28" s="25" t="s">
        <v>466</v>
      </c>
      <c r="C28" s="27">
        <v>-17086</v>
      </c>
      <c r="D28" s="27">
        <v>-6593</v>
      </c>
      <c r="E28" s="27">
        <v>1586</v>
      </c>
    </row>
    <row r="29" spans="2:6" x14ac:dyDescent="0.2">
      <c r="B29" s="25" t="s">
        <v>465</v>
      </c>
      <c r="C29" s="25" t="s">
        <v>141</v>
      </c>
      <c r="D29" s="25" t="s">
        <v>141</v>
      </c>
      <c r="E29" s="25" t="s">
        <v>141</v>
      </c>
      <c r="F29" s="28">
        <v>0</v>
      </c>
    </row>
    <row r="30" spans="2:6" x14ac:dyDescent="0.2">
      <c r="B30" s="25" t="s">
        <v>464</v>
      </c>
      <c r="C30" s="27">
        <v>-47134</v>
      </c>
      <c r="D30" s="27">
        <v>55900</v>
      </c>
      <c r="E30" s="27">
        <v>27800</v>
      </c>
      <c r="F30" s="28">
        <v>0</v>
      </c>
    </row>
    <row r="31" spans="2:6" x14ac:dyDescent="0.2">
      <c r="B31" s="25" t="s">
        <v>463</v>
      </c>
    </row>
    <row r="32" spans="2:6" x14ac:dyDescent="0.2">
      <c r="B32" s="25" t="s">
        <v>496</v>
      </c>
      <c r="C32" s="27">
        <v>5332</v>
      </c>
      <c r="D32" s="27">
        <v>1112</v>
      </c>
      <c r="E32" s="28">
        <v>0</v>
      </c>
      <c r="F32" s="28">
        <v>0</v>
      </c>
    </row>
    <row r="33" spans="2:6" x14ac:dyDescent="0.2">
      <c r="B33" s="25" t="s">
        <v>495</v>
      </c>
    </row>
    <row r="34" spans="2:6" x14ac:dyDescent="0.2">
      <c r="B34" s="25" t="s">
        <v>216</v>
      </c>
      <c r="C34" s="27">
        <v>4539</v>
      </c>
      <c r="D34" s="27">
        <v>5438</v>
      </c>
      <c r="E34" s="27">
        <v>-109</v>
      </c>
      <c r="F34" s="27">
        <v>-226</v>
      </c>
    </row>
    <row r="35" spans="2:6" x14ac:dyDescent="0.2">
      <c r="B35" s="25" t="s">
        <v>213</v>
      </c>
      <c r="C35" s="27">
        <v>-5454</v>
      </c>
      <c r="D35" s="27">
        <v>-448395</v>
      </c>
      <c r="E35" s="27">
        <v>496</v>
      </c>
      <c r="F35" s="27">
        <v>26</v>
      </c>
    </row>
    <row r="36" spans="2:6" x14ac:dyDescent="0.2">
      <c r="B36" s="25" t="s">
        <v>212</v>
      </c>
      <c r="C36" s="27">
        <v>111008</v>
      </c>
      <c r="D36" s="27">
        <v>123910</v>
      </c>
      <c r="E36" s="27">
        <v>27468</v>
      </c>
      <c r="F36" s="27">
        <v>4156</v>
      </c>
    </row>
    <row r="37" spans="2:6" x14ac:dyDescent="0.2">
      <c r="B37" s="25" t="s">
        <v>211</v>
      </c>
      <c r="C37" s="27">
        <v>2571</v>
      </c>
      <c r="D37" s="27">
        <v>8692</v>
      </c>
      <c r="E37" s="27">
        <v>2337</v>
      </c>
      <c r="F37" s="27">
        <v>-198</v>
      </c>
    </row>
    <row r="38" spans="2:6" x14ac:dyDescent="0.2">
      <c r="B38" s="25" t="s">
        <v>326</v>
      </c>
      <c r="C38" s="27">
        <v>-1191</v>
      </c>
      <c r="D38" s="27">
        <v>-1322</v>
      </c>
      <c r="E38" s="27">
        <v>-1211</v>
      </c>
      <c r="F38" s="28">
        <v>0</v>
      </c>
    </row>
    <row r="39" spans="2:6" x14ac:dyDescent="0.2">
      <c r="B39" s="25" t="s">
        <v>206</v>
      </c>
      <c r="C39" s="27">
        <v>-3553</v>
      </c>
      <c r="D39" s="27">
        <v>3946</v>
      </c>
      <c r="E39" s="27">
        <v>3397</v>
      </c>
      <c r="F39" s="27">
        <v>31</v>
      </c>
    </row>
    <row r="40" spans="2:6" x14ac:dyDescent="0.2">
      <c r="B40" s="25" t="s">
        <v>210</v>
      </c>
    </row>
    <row r="41" spans="2:6" x14ac:dyDescent="0.2">
      <c r="B41" s="25" t="s">
        <v>209</v>
      </c>
      <c r="C41" s="27">
        <v>-20723</v>
      </c>
      <c r="D41" s="27">
        <v>-9953</v>
      </c>
      <c r="E41" s="27">
        <v>10737</v>
      </c>
      <c r="F41" s="27">
        <v>-17599</v>
      </c>
    </row>
    <row r="42" spans="2:6" x14ac:dyDescent="0.2">
      <c r="B42" s="25" t="s">
        <v>134</v>
      </c>
      <c r="C42" s="27">
        <v>22964</v>
      </c>
      <c r="D42" s="27">
        <v>24328</v>
      </c>
      <c r="E42" s="27">
        <v>-46949</v>
      </c>
      <c r="F42" s="27">
        <v>-2175</v>
      </c>
    </row>
    <row r="43" spans="2:6" x14ac:dyDescent="0.2">
      <c r="B43" s="25" t="s">
        <v>124</v>
      </c>
      <c r="C43" s="27">
        <v>-13997</v>
      </c>
      <c r="D43" s="27">
        <v>-3531</v>
      </c>
      <c r="E43" s="27">
        <v>2970</v>
      </c>
      <c r="F43" s="27">
        <v>12984</v>
      </c>
    </row>
    <row r="44" spans="2:6" x14ac:dyDescent="0.2">
      <c r="B44" s="25" t="s">
        <v>123</v>
      </c>
      <c r="C44" s="27">
        <v>5889</v>
      </c>
      <c r="D44" s="27">
        <v>8654</v>
      </c>
      <c r="E44" s="27">
        <v>21814</v>
      </c>
      <c r="F44" s="27">
        <v>289</v>
      </c>
    </row>
    <row r="45" spans="2:6" x14ac:dyDescent="0.2">
      <c r="B45" s="25" t="s">
        <v>208</v>
      </c>
      <c r="C45" s="27">
        <v>11995</v>
      </c>
      <c r="D45" s="27">
        <v>-46377</v>
      </c>
      <c r="E45" s="27">
        <v>-18374</v>
      </c>
      <c r="F45" s="27">
        <v>-521</v>
      </c>
    </row>
    <row r="46" spans="2:6" x14ac:dyDescent="0.2">
      <c r="B46" s="25" t="s">
        <v>207</v>
      </c>
      <c r="C46" s="27">
        <v>-5984</v>
      </c>
      <c r="D46" s="27">
        <v>-5464</v>
      </c>
      <c r="E46" s="27">
        <v>-5575</v>
      </c>
      <c r="F46" s="27">
        <v>-636</v>
      </c>
    </row>
    <row r="47" spans="2:6" x14ac:dyDescent="0.2">
      <c r="B47" s="25" t="s">
        <v>462</v>
      </c>
      <c r="C47" s="27">
        <v>-34991</v>
      </c>
      <c r="D47" s="27">
        <v>-25081</v>
      </c>
      <c r="E47" s="27">
        <v>44381</v>
      </c>
    </row>
    <row r="48" spans="2:6" x14ac:dyDescent="0.2">
      <c r="B48" s="25" t="s">
        <v>461</v>
      </c>
      <c r="C48" s="25" t="s">
        <v>141</v>
      </c>
      <c r="D48" s="25" t="s">
        <v>141</v>
      </c>
      <c r="E48" s="25" t="s">
        <v>141</v>
      </c>
      <c r="F48" s="27">
        <v>32711</v>
      </c>
    </row>
    <row r="49" spans="2:6" x14ac:dyDescent="0.2">
      <c r="B49" s="25" t="s">
        <v>206</v>
      </c>
      <c r="C49" s="27">
        <v>-81</v>
      </c>
      <c r="D49" s="27">
        <v>948</v>
      </c>
      <c r="E49" s="27">
        <v>27</v>
      </c>
      <c r="F49" s="28">
        <v>0</v>
      </c>
    </row>
    <row r="50" spans="2:6" x14ac:dyDescent="0.2">
      <c r="B50" s="25" t="s">
        <v>494</v>
      </c>
    </row>
    <row r="51" spans="2:6" x14ac:dyDescent="0.2">
      <c r="B51" s="25" t="s">
        <v>489</v>
      </c>
      <c r="C51" s="27">
        <v>132941</v>
      </c>
      <c r="D51" s="27">
        <v>104837</v>
      </c>
      <c r="E51" s="27">
        <v>53069</v>
      </c>
      <c r="F51" s="27">
        <v>-3306</v>
      </c>
    </row>
    <row r="52" spans="2:6" x14ac:dyDescent="0.2">
      <c r="B52" s="25" t="s">
        <v>204</v>
      </c>
    </row>
    <row r="53" spans="2:6" x14ac:dyDescent="0.2">
      <c r="B53" s="25" t="s">
        <v>203</v>
      </c>
      <c r="C53" s="27">
        <v>-16333</v>
      </c>
      <c r="D53" s="27">
        <v>-13653</v>
      </c>
      <c r="E53" s="27">
        <v>-10632</v>
      </c>
      <c r="F53" s="27">
        <v>-1045</v>
      </c>
    </row>
    <row r="54" spans="2:6" x14ac:dyDescent="0.2">
      <c r="B54" s="25" t="s">
        <v>459</v>
      </c>
      <c r="C54" s="27">
        <v>-69720</v>
      </c>
      <c r="D54" s="28">
        <v>0</v>
      </c>
      <c r="E54" s="27">
        <v>-2837706</v>
      </c>
    </row>
    <row r="55" spans="2:6" x14ac:dyDescent="0.2">
      <c r="B55" s="25" t="s">
        <v>458</v>
      </c>
      <c r="C55" s="25" t="s">
        <v>141</v>
      </c>
      <c r="D55" s="25" t="s">
        <v>141</v>
      </c>
      <c r="E55" s="25" t="s">
        <v>141</v>
      </c>
      <c r="F55" s="28">
        <v>0</v>
      </c>
    </row>
    <row r="56" spans="2:6" x14ac:dyDescent="0.2">
      <c r="B56" s="25" t="s">
        <v>206</v>
      </c>
      <c r="C56" s="28">
        <v>0</v>
      </c>
      <c r="D56" s="27">
        <v>1169</v>
      </c>
      <c r="E56" s="27">
        <v>-2313</v>
      </c>
      <c r="F56" s="27">
        <v>16</v>
      </c>
    </row>
    <row r="57" spans="2:6" x14ac:dyDescent="0.2">
      <c r="B57" s="25" t="s">
        <v>200</v>
      </c>
      <c r="C57" s="27">
        <v>-86053</v>
      </c>
      <c r="D57" s="27">
        <v>-12484</v>
      </c>
      <c r="E57" s="27">
        <v>-2850651</v>
      </c>
      <c r="F57" s="27">
        <v>-1029</v>
      </c>
    </row>
    <row r="58" spans="2:6" x14ac:dyDescent="0.2">
      <c r="B58" s="25" t="s">
        <v>199</v>
      </c>
    </row>
    <row r="59" spans="2:6" x14ac:dyDescent="0.2">
      <c r="B59" s="25" t="s">
        <v>493</v>
      </c>
    </row>
    <row r="60" spans="2:6" x14ac:dyDescent="0.2">
      <c r="B60" s="25" t="s">
        <v>492</v>
      </c>
    </row>
    <row r="61" spans="2:6" x14ac:dyDescent="0.2">
      <c r="B61" s="25" t="s">
        <v>491</v>
      </c>
      <c r="C61" s="28">
        <v>0</v>
      </c>
      <c r="D61" s="27">
        <v>2358371</v>
      </c>
      <c r="E61" s="28">
        <v>0</v>
      </c>
      <c r="F61" s="28">
        <v>0</v>
      </c>
    </row>
    <row r="62" spans="2:6" x14ac:dyDescent="0.2">
      <c r="B62" s="25" t="s">
        <v>454</v>
      </c>
    </row>
    <row r="63" spans="2:6" x14ac:dyDescent="0.2">
      <c r="B63" s="25" t="s">
        <v>453</v>
      </c>
      <c r="C63" s="28">
        <v>0</v>
      </c>
      <c r="D63" s="27">
        <v>-1018365</v>
      </c>
      <c r="E63" s="28">
        <v>0</v>
      </c>
      <c r="F63" s="28">
        <v>0</v>
      </c>
    </row>
    <row r="64" spans="2:6" x14ac:dyDescent="0.2">
      <c r="B64" s="25" t="s">
        <v>452</v>
      </c>
    </row>
    <row r="65" spans="2:6" x14ac:dyDescent="0.2">
      <c r="B65" s="25" t="s">
        <v>451</v>
      </c>
    </row>
    <row r="66" spans="2:6" x14ac:dyDescent="0.2">
      <c r="B66" s="25" t="s">
        <v>450</v>
      </c>
      <c r="C66" s="28">
        <v>0</v>
      </c>
      <c r="D66" s="27">
        <v>-973289</v>
      </c>
      <c r="E66" s="28">
        <v>0</v>
      </c>
      <c r="F66" s="28">
        <v>0</v>
      </c>
    </row>
    <row r="67" spans="2:6" x14ac:dyDescent="0.2">
      <c r="B67" s="25" t="s">
        <v>366</v>
      </c>
      <c r="C67" s="28">
        <v>0</v>
      </c>
      <c r="D67" s="27">
        <v>545</v>
      </c>
      <c r="E67" s="28">
        <v>0</v>
      </c>
      <c r="F67" s="28">
        <v>0</v>
      </c>
    </row>
    <row r="68" spans="2:6" x14ac:dyDescent="0.2">
      <c r="B68" s="25" t="s">
        <v>449</v>
      </c>
      <c r="C68" s="28">
        <v>0</v>
      </c>
      <c r="D68" s="28">
        <v>0</v>
      </c>
      <c r="E68" s="27">
        <v>41929</v>
      </c>
    </row>
    <row r="69" spans="2:6" x14ac:dyDescent="0.2">
      <c r="B69" s="25" t="s">
        <v>448</v>
      </c>
      <c r="C69" s="25" t="s">
        <v>141</v>
      </c>
      <c r="D69" s="25" t="s">
        <v>141</v>
      </c>
      <c r="E69" s="25" t="s">
        <v>141</v>
      </c>
      <c r="F69" s="28">
        <v>0</v>
      </c>
    </row>
    <row r="70" spans="2:6" x14ac:dyDescent="0.2">
      <c r="B70" s="25" t="s">
        <v>447</v>
      </c>
      <c r="C70" s="28">
        <v>0</v>
      </c>
      <c r="D70" s="28">
        <v>0</v>
      </c>
      <c r="E70" s="27">
        <v>-17913</v>
      </c>
      <c r="F70" s="28">
        <v>0</v>
      </c>
    </row>
    <row r="71" spans="2:6" x14ac:dyDescent="0.2">
      <c r="B71" s="25" t="s">
        <v>446</v>
      </c>
      <c r="C71" s="28">
        <v>0</v>
      </c>
      <c r="D71" s="28">
        <v>0</v>
      </c>
      <c r="E71" s="27">
        <v>2360412</v>
      </c>
      <c r="F71" s="28">
        <v>0</v>
      </c>
    </row>
    <row r="72" spans="2:6" x14ac:dyDescent="0.2">
      <c r="B72" s="25" t="s">
        <v>445</v>
      </c>
      <c r="C72" s="28">
        <v>0</v>
      </c>
      <c r="D72" s="28">
        <v>0</v>
      </c>
      <c r="E72" s="27">
        <v>850000</v>
      </c>
      <c r="F72" s="28">
        <v>0</v>
      </c>
    </row>
    <row r="73" spans="2:6" x14ac:dyDescent="0.2">
      <c r="B73" s="25" t="s">
        <v>198</v>
      </c>
      <c r="C73" s="27">
        <v>-5750</v>
      </c>
      <c r="D73" s="27">
        <v>-206438</v>
      </c>
      <c r="E73" s="27">
        <v>-5000</v>
      </c>
      <c r="F73" s="28">
        <v>0</v>
      </c>
    </row>
    <row r="74" spans="2:6" x14ac:dyDescent="0.2">
      <c r="B74" s="25" t="s">
        <v>442</v>
      </c>
      <c r="C74" s="28">
        <v>0</v>
      </c>
      <c r="D74" s="28">
        <v>0</v>
      </c>
      <c r="E74" s="27">
        <v>-360000</v>
      </c>
      <c r="F74" s="28">
        <v>0</v>
      </c>
    </row>
    <row r="75" spans="2:6" x14ac:dyDescent="0.2">
      <c r="B75" s="25" t="s">
        <v>441</v>
      </c>
      <c r="C75" s="27">
        <v>-9204</v>
      </c>
      <c r="D75" s="27">
        <v>-9338</v>
      </c>
      <c r="E75" s="28">
        <v>0</v>
      </c>
    </row>
    <row r="76" spans="2:6" x14ac:dyDescent="0.2">
      <c r="B76" s="25" t="s">
        <v>440</v>
      </c>
      <c r="C76" s="25" t="s">
        <v>141</v>
      </c>
      <c r="D76" s="25" t="s">
        <v>141</v>
      </c>
      <c r="E76" s="25" t="s">
        <v>141</v>
      </c>
      <c r="F76" s="28">
        <v>0</v>
      </c>
    </row>
    <row r="77" spans="2:6" x14ac:dyDescent="0.2">
      <c r="B77" s="25" t="s">
        <v>490</v>
      </c>
    </row>
    <row r="78" spans="2:6" x14ac:dyDescent="0.2">
      <c r="B78" s="25" t="s">
        <v>489</v>
      </c>
      <c r="C78" s="27">
        <v>-14954</v>
      </c>
      <c r="D78" s="27">
        <v>151486</v>
      </c>
      <c r="E78" s="27">
        <v>2869428</v>
      </c>
      <c r="F78" s="28">
        <v>0</v>
      </c>
    </row>
    <row r="79" spans="2:6" x14ac:dyDescent="0.2">
      <c r="B79" s="25" t="s">
        <v>488</v>
      </c>
      <c r="C79" s="27">
        <v>5933</v>
      </c>
      <c r="D79" s="27">
        <v>-2950</v>
      </c>
      <c r="E79" s="27">
        <v>2513</v>
      </c>
    </row>
    <row r="80" spans="2:6" x14ac:dyDescent="0.2">
      <c r="B80" s="25" t="s">
        <v>487</v>
      </c>
      <c r="C80" s="25" t="s">
        <v>141</v>
      </c>
      <c r="D80" s="25" t="s">
        <v>141</v>
      </c>
      <c r="E80" s="25" t="s">
        <v>141</v>
      </c>
      <c r="F80" s="27">
        <v>813</v>
      </c>
    </row>
    <row r="81" spans="2:6" x14ac:dyDescent="0.2">
      <c r="B81" s="25" t="s">
        <v>486</v>
      </c>
    </row>
    <row r="82" spans="2:6" x14ac:dyDescent="0.2">
      <c r="B82" s="25" t="s">
        <v>485</v>
      </c>
      <c r="C82" s="27">
        <v>37867</v>
      </c>
      <c r="D82" s="27">
        <v>240889</v>
      </c>
      <c r="E82" s="27">
        <v>74359</v>
      </c>
      <c r="F82" s="27">
        <v>-3522</v>
      </c>
    </row>
    <row r="83" spans="2:6" x14ac:dyDescent="0.2">
      <c r="B83" s="25" t="s">
        <v>483</v>
      </c>
      <c r="C83" s="27">
        <v>369175</v>
      </c>
      <c r="D83" s="27">
        <v>128286</v>
      </c>
      <c r="E83" s="27">
        <v>53927</v>
      </c>
    </row>
    <row r="84" spans="2:6" x14ac:dyDescent="0.2">
      <c r="B84" s="25" t="s">
        <v>484</v>
      </c>
      <c r="C84" s="25" t="s">
        <v>141</v>
      </c>
      <c r="D84" s="25" t="s">
        <v>141</v>
      </c>
      <c r="E84" s="25" t="s">
        <v>141</v>
      </c>
      <c r="F84" s="27">
        <v>57449</v>
      </c>
    </row>
    <row r="85" spans="2:6" x14ac:dyDescent="0.2">
      <c r="B85" s="25" t="s">
        <v>483</v>
      </c>
    </row>
    <row r="86" spans="2:6" x14ac:dyDescent="0.2">
      <c r="B86" s="25" t="s">
        <v>482</v>
      </c>
      <c r="C86" s="26">
        <v>407042</v>
      </c>
      <c r="D86" s="26">
        <v>369175</v>
      </c>
      <c r="E86" s="26">
        <v>128286</v>
      </c>
      <c r="F86" s="26">
        <v>53927</v>
      </c>
    </row>
    <row r="87" spans="2:6" x14ac:dyDescent="0.2">
      <c r="B87" s="25" t="s">
        <v>182</v>
      </c>
      <c r="C87" s="27">
        <v>-4483</v>
      </c>
      <c r="D87" s="28">
        <v>0</v>
      </c>
      <c r="E87" s="27">
        <v>-257</v>
      </c>
      <c r="F87" s="28">
        <v>0</v>
      </c>
    </row>
    <row r="88" spans="2:6" x14ac:dyDescent="0.2">
      <c r="B88" s="25" t="s">
        <v>430</v>
      </c>
    </row>
    <row r="89" spans="2:6" x14ac:dyDescent="0.2">
      <c r="B89" s="25" t="s">
        <v>429</v>
      </c>
      <c r="C89" s="26">
        <v>402559</v>
      </c>
      <c r="D89" s="26">
        <v>369175</v>
      </c>
      <c r="E89" s="26">
        <v>128029</v>
      </c>
      <c r="F89" s="26">
        <v>53927</v>
      </c>
    </row>
  </sheetData>
  <hyperlinks>
    <hyperlink ref="A8" location="Table_Of_Contents!A1" display="Table Of Contents" xr:uid="{4F24C9BE-D476-406E-B928-2DE3B757FA8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7F77-F142-4A1A-BDAA-9387992F7622}">
  <dimension ref="A1:E8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7" style="25" customWidth="1" outlineLevel="7"/>
    <col min="3" max="4" width="17" style="25" customWidth="1" outlineLevel="7"/>
    <col min="5" max="5" width="19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509</v>
      </c>
    </row>
    <row r="7" spans="1:5" x14ac:dyDescent="0.2">
      <c r="A7" s="30" t="s">
        <v>508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25" t="s">
        <v>48</v>
      </c>
    </row>
    <row r="11" spans="1:5" x14ac:dyDescent="0.2">
      <c r="B11" s="25" t="s">
        <v>471</v>
      </c>
    </row>
    <row r="12" spans="1:5" x14ac:dyDescent="0.2">
      <c r="B12" s="25" t="s">
        <v>470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2023</v>
      </c>
      <c r="D16" s="25">
        <v>2022</v>
      </c>
      <c r="E16" s="25">
        <v>2021</v>
      </c>
    </row>
    <row r="17" spans="2:5" x14ac:dyDescent="0.2">
      <c r="B17" s="25" t="s">
        <v>222</v>
      </c>
    </row>
    <row r="18" spans="2:5" x14ac:dyDescent="0.2">
      <c r="B18" s="25" t="s">
        <v>161</v>
      </c>
      <c r="C18" s="26">
        <v>-1868</v>
      </c>
      <c r="D18" s="26">
        <v>-114124</v>
      </c>
      <c r="E18" s="26">
        <v>281740</v>
      </c>
    </row>
    <row r="19" spans="2:5" x14ac:dyDescent="0.2">
      <c r="B19" s="25" t="s">
        <v>525</v>
      </c>
    </row>
    <row r="20" spans="2:5" x14ac:dyDescent="0.2">
      <c r="B20" s="25" t="s">
        <v>524</v>
      </c>
    </row>
    <row r="21" spans="2:5" x14ac:dyDescent="0.2">
      <c r="B21" s="25" t="s">
        <v>467</v>
      </c>
    </row>
    <row r="22" spans="2:5" x14ac:dyDescent="0.2">
      <c r="B22" s="25" t="s">
        <v>169</v>
      </c>
      <c r="C22" s="27">
        <v>68028</v>
      </c>
      <c r="D22" s="27">
        <v>89713</v>
      </c>
      <c r="E22" s="27">
        <v>107056</v>
      </c>
    </row>
    <row r="23" spans="2:5" x14ac:dyDescent="0.2">
      <c r="B23" s="25" t="s">
        <v>168</v>
      </c>
      <c r="C23" s="28">
        <v>0</v>
      </c>
      <c r="D23" s="27">
        <v>145388</v>
      </c>
      <c r="E23" s="27">
        <v>26431</v>
      </c>
    </row>
    <row r="24" spans="2:5" x14ac:dyDescent="0.2">
      <c r="B24" s="25" t="s">
        <v>497</v>
      </c>
      <c r="C24" s="28">
        <v>0</v>
      </c>
      <c r="D24" s="27">
        <v>-2140</v>
      </c>
      <c r="E24" s="28">
        <v>0</v>
      </c>
    </row>
    <row r="25" spans="2:5" x14ac:dyDescent="0.2">
      <c r="B25" s="25" t="s">
        <v>374</v>
      </c>
      <c r="C25" s="28">
        <v>0</v>
      </c>
      <c r="D25" s="28">
        <v>0</v>
      </c>
      <c r="E25" s="27">
        <v>3398</v>
      </c>
    </row>
    <row r="26" spans="2:5" x14ac:dyDescent="0.2">
      <c r="B26" s="25" t="s">
        <v>523</v>
      </c>
      <c r="C26" s="27">
        <v>13806</v>
      </c>
      <c r="D26" s="27">
        <v>-17086</v>
      </c>
      <c r="E26" s="27">
        <v>-6593</v>
      </c>
    </row>
    <row r="27" spans="2:5" x14ac:dyDescent="0.2">
      <c r="B27" s="25" t="s">
        <v>218</v>
      </c>
      <c r="C27" s="27">
        <v>-29569</v>
      </c>
      <c r="D27" s="27">
        <v>-47134</v>
      </c>
      <c r="E27" s="27">
        <v>55900</v>
      </c>
    </row>
    <row r="28" spans="2:5" x14ac:dyDescent="0.2">
      <c r="B28" s="25" t="s">
        <v>217</v>
      </c>
    </row>
    <row r="29" spans="2:5" x14ac:dyDescent="0.2">
      <c r="B29" s="25" t="s">
        <v>496</v>
      </c>
      <c r="C29" s="27">
        <v>10341</v>
      </c>
      <c r="D29" s="27">
        <v>5332</v>
      </c>
      <c r="E29" s="27">
        <v>1112</v>
      </c>
    </row>
    <row r="30" spans="2:5" x14ac:dyDescent="0.2">
      <c r="B30" s="25" t="s">
        <v>495</v>
      </c>
    </row>
    <row r="31" spans="2:5" x14ac:dyDescent="0.2">
      <c r="B31" s="25" t="s">
        <v>216</v>
      </c>
      <c r="C31" s="27">
        <v>3518</v>
      </c>
      <c r="D31" s="27">
        <v>4539</v>
      </c>
      <c r="E31" s="27">
        <v>5438</v>
      </c>
    </row>
    <row r="32" spans="2:5" x14ac:dyDescent="0.2">
      <c r="B32" s="25" t="s">
        <v>213</v>
      </c>
      <c r="C32" s="27">
        <v>-7166</v>
      </c>
      <c r="D32" s="27">
        <v>-5454</v>
      </c>
      <c r="E32" s="27">
        <v>-448395</v>
      </c>
    </row>
    <row r="33" spans="2:5" x14ac:dyDescent="0.2">
      <c r="B33" s="25" t="s">
        <v>212</v>
      </c>
      <c r="C33" s="27">
        <v>104338</v>
      </c>
      <c r="D33" s="27">
        <v>111008</v>
      </c>
      <c r="E33" s="27">
        <v>123910</v>
      </c>
    </row>
    <row r="34" spans="2:5" x14ac:dyDescent="0.2">
      <c r="B34" s="25" t="s">
        <v>211</v>
      </c>
      <c r="C34" s="27">
        <v>923</v>
      </c>
      <c r="D34" s="27">
        <v>-3362</v>
      </c>
      <c r="E34" s="27">
        <v>11642</v>
      </c>
    </row>
    <row r="35" spans="2:5" x14ac:dyDescent="0.2">
      <c r="B35" s="25" t="s">
        <v>206</v>
      </c>
      <c r="C35" s="27">
        <v>11065</v>
      </c>
      <c r="D35" s="27">
        <v>1189</v>
      </c>
      <c r="E35" s="27">
        <v>-326</v>
      </c>
    </row>
    <row r="36" spans="2:5" x14ac:dyDescent="0.2">
      <c r="B36" s="25" t="s">
        <v>210</v>
      </c>
    </row>
    <row r="37" spans="2:5" x14ac:dyDescent="0.2">
      <c r="B37" s="25" t="s">
        <v>209</v>
      </c>
      <c r="C37" s="27">
        <v>-36031</v>
      </c>
      <c r="D37" s="27">
        <v>-20723</v>
      </c>
      <c r="E37" s="27">
        <v>-9953</v>
      </c>
    </row>
    <row r="38" spans="2:5" x14ac:dyDescent="0.2">
      <c r="B38" s="25" t="s">
        <v>134</v>
      </c>
      <c r="C38" s="27">
        <v>-2920</v>
      </c>
      <c r="D38" s="27">
        <v>22964</v>
      </c>
      <c r="E38" s="27">
        <v>24328</v>
      </c>
    </row>
    <row r="39" spans="2:5" x14ac:dyDescent="0.2">
      <c r="B39" s="25" t="s">
        <v>124</v>
      </c>
      <c r="C39" s="27">
        <v>1775</v>
      </c>
      <c r="D39" s="27">
        <v>-13997</v>
      </c>
      <c r="E39" s="27">
        <v>-3531</v>
      </c>
    </row>
    <row r="40" spans="2:5" x14ac:dyDescent="0.2">
      <c r="B40" s="25" t="s">
        <v>123</v>
      </c>
      <c r="C40" s="27">
        <v>2593</v>
      </c>
      <c r="D40" s="27">
        <v>5889</v>
      </c>
      <c r="E40" s="27">
        <v>8654</v>
      </c>
    </row>
    <row r="41" spans="2:5" x14ac:dyDescent="0.2">
      <c r="B41" s="25" t="s">
        <v>208</v>
      </c>
      <c r="C41" s="27">
        <v>45240</v>
      </c>
      <c r="D41" s="27">
        <v>11995</v>
      </c>
      <c r="E41" s="27">
        <v>-46377</v>
      </c>
    </row>
    <row r="42" spans="2:5" x14ac:dyDescent="0.2">
      <c r="B42" s="25" t="s">
        <v>207</v>
      </c>
      <c r="C42" s="27">
        <v>-3930</v>
      </c>
      <c r="D42" s="27">
        <v>-5984</v>
      </c>
      <c r="E42" s="27">
        <v>-5464</v>
      </c>
    </row>
    <row r="43" spans="2:5" x14ac:dyDescent="0.2">
      <c r="B43" s="25" t="s">
        <v>122</v>
      </c>
      <c r="C43" s="27">
        <v>1485</v>
      </c>
      <c r="D43" s="27">
        <v>-34991</v>
      </c>
      <c r="E43" s="27">
        <v>-25081</v>
      </c>
    </row>
    <row r="44" spans="2:5" x14ac:dyDescent="0.2">
      <c r="B44" s="25" t="s">
        <v>206</v>
      </c>
      <c r="C44" s="27">
        <v>458</v>
      </c>
      <c r="D44" s="27">
        <v>-81</v>
      </c>
      <c r="E44" s="27">
        <v>948</v>
      </c>
    </row>
    <row r="45" spans="2:5" x14ac:dyDescent="0.2">
      <c r="B45" s="25" t="s">
        <v>494</v>
      </c>
    </row>
    <row r="46" spans="2:5" x14ac:dyDescent="0.2">
      <c r="B46" s="25" t="s">
        <v>489</v>
      </c>
      <c r="C46" s="27">
        <v>182086</v>
      </c>
      <c r="D46" s="27">
        <v>132941</v>
      </c>
      <c r="E46" s="27">
        <v>104837</v>
      </c>
    </row>
    <row r="47" spans="2:5" x14ac:dyDescent="0.2">
      <c r="B47" s="25" t="s">
        <v>204</v>
      </c>
    </row>
    <row r="48" spans="2:5" x14ac:dyDescent="0.2">
      <c r="B48" s="25" t="s">
        <v>203</v>
      </c>
      <c r="C48" s="27">
        <v>-14935</v>
      </c>
      <c r="D48" s="27">
        <v>-16333</v>
      </c>
      <c r="E48" s="27">
        <v>-13653</v>
      </c>
    </row>
    <row r="49" spans="2:5" x14ac:dyDescent="0.2">
      <c r="B49" s="25" t="s">
        <v>202</v>
      </c>
      <c r="C49" s="27">
        <v>-9820</v>
      </c>
      <c r="D49" s="27">
        <v>-69720</v>
      </c>
      <c r="E49" s="28">
        <v>0</v>
      </c>
    </row>
    <row r="50" spans="2:5" x14ac:dyDescent="0.2">
      <c r="B50" s="25" t="s">
        <v>206</v>
      </c>
      <c r="C50" s="28">
        <v>0</v>
      </c>
      <c r="D50" s="28">
        <v>0</v>
      </c>
      <c r="E50" s="27">
        <v>1169</v>
      </c>
    </row>
    <row r="51" spans="2:5" x14ac:dyDescent="0.2">
      <c r="B51" s="25" t="s">
        <v>522</v>
      </c>
    </row>
    <row r="52" spans="2:5" x14ac:dyDescent="0.2">
      <c r="B52" s="25" t="s">
        <v>489</v>
      </c>
      <c r="C52" s="27">
        <v>-24755</v>
      </c>
      <c r="D52" s="27">
        <v>-86053</v>
      </c>
      <c r="E52" s="27">
        <v>-12484</v>
      </c>
    </row>
    <row r="53" spans="2:5" x14ac:dyDescent="0.2">
      <c r="B53" s="25" t="s">
        <v>199</v>
      </c>
    </row>
    <row r="54" spans="2:5" x14ac:dyDescent="0.2">
      <c r="B54" s="25" t="s">
        <v>521</v>
      </c>
    </row>
    <row r="55" spans="2:5" x14ac:dyDescent="0.2">
      <c r="B55" s="25" t="s">
        <v>520</v>
      </c>
      <c r="C55" s="28">
        <v>0</v>
      </c>
    </row>
    <row r="56" spans="2:5" x14ac:dyDescent="0.2">
      <c r="B56" s="25" t="s">
        <v>519</v>
      </c>
      <c r="C56" s="25" t="s">
        <v>141</v>
      </c>
      <c r="D56" s="28">
        <v>0</v>
      </c>
      <c r="E56" s="27">
        <v>2358371</v>
      </c>
    </row>
    <row r="57" spans="2:5" x14ac:dyDescent="0.2">
      <c r="B57" s="25" t="s">
        <v>369</v>
      </c>
      <c r="C57" s="28">
        <v>0</v>
      </c>
      <c r="D57" s="28">
        <v>0</v>
      </c>
      <c r="E57" s="27">
        <v>-1018365</v>
      </c>
    </row>
    <row r="58" spans="2:5" x14ac:dyDescent="0.2">
      <c r="B58" s="25" t="s">
        <v>368</v>
      </c>
    </row>
    <row r="59" spans="2:5" x14ac:dyDescent="0.2">
      <c r="B59" s="25" t="s">
        <v>518</v>
      </c>
      <c r="C59" s="28">
        <v>0</v>
      </c>
    </row>
    <row r="60" spans="2:5" x14ac:dyDescent="0.2">
      <c r="B60" s="25" t="s">
        <v>450</v>
      </c>
      <c r="C60" s="25" t="s">
        <v>141</v>
      </c>
      <c r="D60" s="28">
        <v>0</v>
      </c>
      <c r="E60" s="27">
        <v>-973289</v>
      </c>
    </row>
    <row r="61" spans="2:5" x14ac:dyDescent="0.2">
      <c r="B61" s="25" t="s">
        <v>366</v>
      </c>
      <c r="C61" s="28">
        <v>0</v>
      </c>
      <c r="D61" s="28">
        <v>0</v>
      </c>
      <c r="E61" s="27">
        <v>545</v>
      </c>
    </row>
    <row r="62" spans="2:5" x14ac:dyDescent="0.2">
      <c r="B62" s="25" t="s">
        <v>198</v>
      </c>
      <c r="C62" s="27">
        <v>-5750</v>
      </c>
      <c r="D62" s="27">
        <v>-5750</v>
      </c>
      <c r="E62" s="27">
        <v>-206438</v>
      </c>
    </row>
    <row r="63" spans="2:5" x14ac:dyDescent="0.2">
      <c r="B63" s="25" t="s">
        <v>517</v>
      </c>
      <c r="C63" s="27">
        <v>-19310</v>
      </c>
      <c r="D63" s="28">
        <v>0</v>
      </c>
      <c r="E63" s="28">
        <v>0</v>
      </c>
    </row>
    <row r="64" spans="2:5" x14ac:dyDescent="0.2">
      <c r="B64" s="25" t="s">
        <v>336</v>
      </c>
    </row>
    <row r="65" spans="2:5" x14ac:dyDescent="0.2">
      <c r="B65" s="25" t="s">
        <v>196</v>
      </c>
      <c r="C65" s="27">
        <v>-112830</v>
      </c>
      <c r="D65" s="28">
        <v>0</v>
      </c>
      <c r="E65" s="28">
        <v>0</v>
      </c>
    </row>
    <row r="66" spans="2:5" x14ac:dyDescent="0.2">
      <c r="B66" s="25" t="s">
        <v>195</v>
      </c>
      <c r="C66" s="27">
        <v>-44309</v>
      </c>
      <c r="D66" s="28">
        <v>0</v>
      </c>
      <c r="E66" s="28">
        <v>0</v>
      </c>
    </row>
    <row r="67" spans="2:5" x14ac:dyDescent="0.2">
      <c r="B67" s="25" t="s">
        <v>194</v>
      </c>
      <c r="C67" s="27">
        <v>-16692</v>
      </c>
      <c r="D67" s="27">
        <v>-9204</v>
      </c>
      <c r="E67" s="27">
        <v>-9338</v>
      </c>
    </row>
    <row r="68" spans="2:5" x14ac:dyDescent="0.2">
      <c r="B68" s="25" t="s">
        <v>193</v>
      </c>
    </row>
    <row r="69" spans="2:5" x14ac:dyDescent="0.2">
      <c r="B69" s="25" t="s">
        <v>490</v>
      </c>
    </row>
    <row r="70" spans="2:5" x14ac:dyDescent="0.2">
      <c r="B70" s="25" t="s">
        <v>489</v>
      </c>
      <c r="C70" s="27">
        <v>-198891</v>
      </c>
      <c r="D70" s="27">
        <v>-14954</v>
      </c>
      <c r="E70" s="27">
        <v>151486</v>
      </c>
    </row>
    <row r="71" spans="2:5" x14ac:dyDescent="0.2">
      <c r="B71" s="25" t="s">
        <v>516</v>
      </c>
      <c r="C71" s="27">
        <v>-6280</v>
      </c>
      <c r="D71" s="27">
        <v>5933</v>
      </c>
      <c r="E71" s="27">
        <v>-2950</v>
      </c>
    </row>
    <row r="72" spans="2:5" x14ac:dyDescent="0.2">
      <c r="B72" s="25" t="s">
        <v>515</v>
      </c>
    </row>
    <row r="73" spans="2:5" x14ac:dyDescent="0.2">
      <c r="B73" s="25" t="s">
        <v>486</v>
      </c>
    </row>
    <row r="74" spans="2:5" x14ac:dyDescent="0.2">
      <c r="B74" s="25" t="s">
        <v>485</v>
      </c>
      <c r="C74" s="27">
        <v>-47840</v>
      </c>
      <c r="D74" s="27">
        <v>37867</v>
      </c>
      <c r="E74" s="27">
        <v>240889</v>
      </c>
    </row>
    <row r="75" spans="2:5" x14ac:dyDescent="0.2">
      <c r="B75" s="25" t="s">
        <v>186</v>
      </c>
      <c r="C75" s="27">
        <v>407042</v>
      </c>
      <c r="D75" s="27">
        <v>369175</v>
      </c>
      <c r="E75" s="27">
        <v>128286</v>
      </c>
    </row>
    <row r="76" spans="2:5" x14ac:dyDescent="0.2">
      <c r="B76" s="25" t="s">
        <v>185</v>
      </c>
    </row>
    <row r="77" spans="2:5" x14ac:dyDescent="0.2">
      <c r="B77" s="25" t="s">
        <v>186</v>
      </c>
    </row>
    <row r="78" spans="2:5" x14ac:dyDescent="0.2">
      <c r="B78" s="25" t="s">
        <v>514</v>
      </c>
      <c r="C78" s="26">
        <v>359202</v>
      </c>
      <c r="D78" s="26">
        <v>407042</v>
      </c>
      <c r="E78" s="26">
        <v>369175</v>
      </c>
    </row>
    <row r="79" spans="2:5" x14ac:dyDescent="0.2">
      <c r="B79" s="25" t="s">
        <v>182</v>
      </c>
      <c r="C79" s="27">
        <v>-3560</v>
      </c>
      <c r="D79" s="27">
        <v>-4483</v>
      </c>
      <c r="E79" s="28">
        <v>0</v>
      </c>
    </row>
    <row r="80" spans="2:5" x14ac:dyDescent="0.2">
      <c r="B80" s="25" t="s">
        <v>181</v>
      </c>
      <c r="C80" s="26">
        <v>355642</v>
      </c>
      <c r="D80" s="26">
        <v>402559</v>
      </c>
      <c r="E80" s="26">
        <v>369175</v>
      </c>
    </row>
  </sheetData>
  <hyperlinks>
    <hyperlink ref="A8" location="Table_Of_Contents!A1" display="Table Of Contents" xr:uid="{A3EA7A8F-1845-4BD0-897C-B198B4E0F11D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F6C2-E262-41A7-9FCB-5BD1843D3931}">
  <dimension ref="A1:E70"/>
  <sheetViews>
    <sheetView workbookViewId="0">
      <selection sqref="A1:XFD1048576"/>
    </sheetView>
  </sheetViews>
  <sheetFormatPr defaultRowHeight="12.75" outlineLevelCol="7" x14ac:dyDescent="0.2"/>
  <cols>
    <col min="1" max="1" width="3" style="25" customWidth="1" outlineLevel="7"/>
    <col min="2" max="2" width="53" style="25" customWidth="1" outlineLevel="7"/>
    <col min="3" max="5" width="17" style="25" customWidth="1" outlineLevel="7"/>
    <col min="6" max="256" width="21.7109375" style="25" customWidth="1"/>
    <col min="257" max="16384" width="9.140625" style="25"/>
  </cols>
  <sheetData>
    <row r="1" spans="1:5" x14ac:dyDescent="0.2">
      <c r="A1" s="30" t="s">
        <v>152</v>
      </c>
    </row>
    <row r="2" spans="1:5" x14ac:dyDescent="0.2">
      <c r="A2" s="30" t="s">
        <v>141</v>
      </c>
    </row>
    <row r="3" spans="1:5" x14ac:dyDescent="0.2">
      <c r="A3" s="30" t="s">
        <v>151</v>
      </c>
    </row>
    <row r="4" spans="1:5" x14ac:dyDescent="0.2">
      <c r="A4" s="30" t="s">
        <v>226</v>
      </c>
    </row>
    <row r="5" spans="1:5" x14ac:dyDescent="0.2">
      <c r="A5" s="30" t="s">
        <v>410</v>
      </c>
    </row>
    <row r="6" spans="1:5" x14ac:dyDescent="0.2">
      <c r="A6" s="30" t="s">
        <v>538</v>
      </c>
    </row>
    <row r="7" spans="1:5" x14ac:dyDescent="0.2">
      <c r="A7" s="30" t="s">
        <v>537</v>
      </c>
    </row>
    <row r="8" spans="1:5" x14ac:dyDescent="0.2">
      <c r="A8" s="31" t="s">
        <v>146</v>
      </c>
    </row>
    <row r="9" spans="1:5" x14ac:dyDescent="0.2">
      <c r="A9" s="30" t="s">
        <v>141</v>
      </c>
    </row>
    <row r="10" spans="1:5" x14ac:dyDescent="0.2">
      <c r="B10" s="32" t="s">
        <v>48</v>
      </c>
      <c r="C10" s="25" t="s">
        <v>141</v>
      </c>
    </row>
    <row r="11" spans="1:5" x14ac:dyDescent="0.2">
      <c r="B11" s="32" t="s">
        <v>471</v>
      </c>
      <c r="C11" s="25" t="s">
        <v>141</v>
      </c>
    </row>
    <row r="12" spans="1:5" x14ac:dyDescent="0.2">
      <c r="B12" s="32" t="s">
        <v>470</v>
      </c>
      <c r="C12" s="25" t="s">
        <v>141</v>
      </c>
    </row>
    <row r="14" spans="1:5" x14ac:dyDescent="0.2">
      <c r="B14" s="25" t="s">
        <v>141</v>
      </c>
      <c r="C14" s="25" t="s">
        <v>512</v>
      </c>
      <c r="D14" s="25" t="s">
        <v>512</v>
      </c>
      <c r="E14" s="25" t="s">
        <v>512</v>
      </c>
    </row>
    <row r="15" spans="1:5" x14ac:dyDescent="0.2">
      <c r="B15" s="25" t="s">
        <v>141</v>
      </c>
      <c r="C15" s="25" t="s">
        <v>386</v>
      </c>
      <c r="D15" s="25" t="s">
        <v>386</v>
      </c>
      <c r="E15" s="25" t="s">
        <v>386</v>
      </c>
    </row>
    <row r="16" spans="1:5" x14ac:dyDescent="0.2">
      <c r="B16" s="25" t="s">
        <v>141</v>
      </c>
      <c r="C16" s="25">
        <v>2024</v>
      </c>
      <c r="D16" s="25">
        <v>2023</v>
      </c>
      <c r="E16" s="25">
        <v>2022</v>
      </c>
    </row>
    <row r="17" spans="2:5" x14ac:dyDescent="0.2">
      <c r="B17" s="25" t="s">
        <v>222</v>
      </c>
    </row>
    <row r="18" spans="2:5" x14ac:dyDescent="0.2">
      <c r="B18" s="25" t="s">
        <v>542</v>
      </c>
      <c r="C18" s="26">
        <v>-768374</v>
      </c>
      <c r="D18" s="26">
        <v>-1868</v>
      </c>
      <c r="E18" s="26">
        <v>-114124</v>
      </c>
    </row>
    <row r="19" spans="2:5" x14ac:dyDescent="0.2">
      <c r="B19" s="25" t="s">
        <v>545</v>
      </c>
    </row>
    <row r="20" spans="2:5" x14ac:dyDescent="0.2">
      <c r="B20" s="25" t="s">
        <v>544</v>
      </c>
    </row>
    <row r="21" spans="2:5" x14ac:dyDescent="0.2">
      <c r="B21" s="25" t="s">
        <v>543</v>
      </c>
    </row>
    <row r="22" spans="2:5" x14ac:dyDescent="0.2">
      <c r="B22" s="25" t="s">
        <v>168</v>
      </c>
      <c r="C22" s="27">
        <v>892248</v>
      </c>
      <c r="D22" s="28">
        <v>0</v>
      </c>
      <c r="E22" s="27">
        <v>145388</v>
      </c>
    </row>
    <row r="23" spans="2:5" x14ac:dyDescent="0.2">
      <c r="B23" s="25" t="s">
        <v>169</v>
      </c>
      <c r="C23" s="27">
        <v>70616</v>
      </c>
      <c r="D23" s="27">
        <v>68028</v>
      </c>
      <c r="E23" s="27">
        <v>89713</v>
      </c>
    </row>
    <row r="24" spans="2:5" x14ac:dyDescent="0.2">
      <c r="B24" s="25" t="s">
        <v>497</v>
      </c>
      <c r="C24" s="28">
        <v>0</v>
      </c>
      <c r="D24" s="28">
        <v>0</v>
      </c>
      <c r="E24" s="27">
        <v>-2140</v>
      </c>
    </row>
    <row r="25" spans="2:5" x14ac:dyDescent="0.2">
      <c r="B25" s="25" t="s">
        <v>523</v>
      </c>
      <c r="C25" s="27">
        <v>2436</v>
      </c>
      <c r="D25" s="27">
        <v>13806</v>
      </c>
      <c r="E25" s="27">
        <v>-17086</v>
      </c>
    </row>
    <row r="26" spans="2:5" x14ac:dyDescent="0.2">
      <c r="B26" s="25" t="s">
        <v>218</v>
      </c>
      <c r="C26" s="27">
        <v>-20208</v>
      </c>
      <c r="D26" s="27">
        <v>-29569</v>
      </c>
      <c r="E26" s="27">
        <v>-47134</v>
      </c>
    </row>
    <row r="27" spans="2:5" x14ac:dyDescent="0.2">
      <c r="B27" s="25" t="s">
        <v>217</v>
      </c>
    </row>
    <row r="28" spans="2:5" x14ac:dyDescent="0.2">
      <c r="B28" s="25" t="s">
        <v>216</v>
      </c>
      <c r="C28" s="27">
        <v>3402</v>
      </c>
      <c r="D28" s="27">
        <v>3518</v>
      </c>
      <c r="E28" s="27">
        <v>4539</v>
      </c>
    </row>
    <row r="29" spans="2:5" x14ac:dyDescent="0.2">
      <c r="B29" s="25" t="s">
        <v>496</v>
      </c>
      <c r="C29" s="27">
        <v>8341</v>
      </c>
      <c r="D29" s="27">
        <v>10341</v>
      </c>
      <c r="E29" s="27">
        <v>5332</v>
      </c>
    </row>
    <row r="30" spans="2:5" x14ac:dyDescent="0.2">
      <c r="B30" s="25" t="s">
        <v>495</v>
      </c>
    </row>
    <row r="31" spans="2:5" x14ac:dyDescent="0.2">
      <c r="B31" s="25" t="s">
        <v>213</v>
      </c>
      <c r="C31" s="27">
        <v>5022</v>
      </c>
      <c r="D31" s="27">
        <v>-7166</v>
      </c>
      <c r="E31" s="27">
        <v>-5454</v>
      </c>
    </row>
    <row r="32" spans="2:5" x14ac:dyDescent="0.2">
      <c r="B32" s="25" t="s">
        <v>212</v>
      </c>
      <c r="C32" s="27">
        <v>26245</v>
      </c>
      <c r="D32" s="27">
        <v>104338</v>
      </c>
      <c r="E32" s="27">
        <v>111008</v>
      </c>
    </row>
    <row r="33" spans="2:5" x14ac:dyDescent="0.2">
      <c r="B33" s="25" t="s">
        <v>211</v>
      </c>
      <c r="C33" s="27">
        <v>-12645</v>
      </c>
      <c r="D33" s="27">
        <v>923</v>
      </c>
      <c r="E33" s="27">
        <v>-3362</v>
      </c>
    </row>
    <row r="34" spans="2:5" x14ac:dyDescent="0.2">
      <c r="B34" s="25" t="s">
        <v>206</v>
      </c>
      <c r="C34" s="27">
        <v>3746</v>
      </c>
      <c r="D34" s="27">
        <v>11065</v>
      </c>
      <c r="E34" s="27">
        <v>1189</v>
      </c>
    </row>
    <row r="35" spans="2:5" x14ac:dyDescent="0.2">
      <c r="B35" s="25" t="s">
        <v>210</v>
      </c>
    </row>
    <row r="36" spans="2:5" x14ac:dyDescent="0.2">
      <c r="B36" s="25" t="s">
        <v>209</v>
      </c>
      <c r="C36" s="27">
        <v>5788</v>
      </c>
      <c r="D36" s="27">
        <v>-36031</v>
      </c>
      <c r="E36" s="27">
        <v>-20723</v>
      </c>
    </row>
    <row r="37" spans="2:5" x14ac:dyDescent="0.2">
      <c r="B37" s="25" t="s">
        <v>134</v>
      </c>
      <c r="C37" s="27">
        <v>-4732</v>
      </c>
      <c r="D37" s="27">
        <v>-2920</v>
      </c>
      <c r="E37" s="27">
        <v>22964</v>
      </c>
    </row>
    <row r="38" spans="2:5" x14ac:dyDescent="0.2">
      <c r="B38" s="25" t="s">
        <v>124</v>
      </c>
      <c r="C38" s="27">
        <v>1932</v>
      </c>
      <c r="D38" s="27">
        <v>1775</v>
      </c>
      <c r="E38" s="27">
        <v>-13997</v>
      </c>
    </row>
    <row r="39" spans="2:5" x14ac:dyDescent="0.2">
      <c r="B39" s="25" t="s">
        <v>123</v>
      </c>
      <c r="C39" s="27">
        <v>-5338</v>
      </c>
      <c r="D39" s="27">
        <v>2593</v>
      </c>
      <c r="E39" s="27">
        <v>5889</v>
      </c>
    </row>
    <row r="40" spans="2:5" x14ac:dyDescent="0.2">
      <c r="B40" s="25" t="s">
        <v>208</v>
      </c>
      <c r="C40" s="27">
        <v>-65763</v>
      </c>
      <c r="D40" s="27">
        <v>45240</v>
      </c>
      <c r="E40" s="27">
        <v>11995</v>
      </c>
    </row>
    <row r="41" spans="2:5" x14ac:dyDescent="0.2">
      <c r="B41" s="25" t="s">
        <v>207</v>
      </c>
      <c r="C41" s="27">
        <v>-1213</v>
      </c>
      <c r="D41" s="27">
        <v>-3930</v>
      </c>
      <c r="E41" s="27">
        <v>-5984</v>
      </c>
    </row>
    <row r="42" spans="2:5" x14ac:dyDescent="0.2">
      <c r="B42" s="25" t="s">
        <v>122</v>
      </c>
      <c r="C42" s="27">
        <v>-19011</v>
      </c>
      <c r="D42" s="27">
        <v>1485</v>
      </c>
      <c r="E42" s="27">
        <v>-34991</v>
      </c>
    </row>
    <row r="43" spans="2:5" x14ac:dyDescent="0.2">
      <c r="B43" s="25" t="s">
        <v>206</v>
      </c>
      <c r="C43" s="27">
        <v>949</v>
      </c>
      <c r="D43" s="27">
        <v>458</v>
      </c>
      <c r="E43" s="27">
        <v>-81</v>
      </c>
    </row>
    <row r="44" spans="2:5" x14ac:dyDescent="0.2">
      <c r="B44" s="25" t="s">
        <v>205</v>
      </c>
      <c r="C44" s="27">
        <v>123441</v>
      </c>
      <c r="D44" s="27">
        <v>182086</v>
      </c>
      <c r="E44" s="27">
        <v>132941</v>
      </c>
    </row>
    <row r="45" spans="2:5" x14ac:dyDescent="0.2">
      <c r="B45" s="25" t="s">
        <v>204</v>
      </c>
    </row>
    <row r="46" spans="2:5" x14ac:dyDescent="0.2">
      <c r="B46" s="25" t="s">
        <v>203</v>
      </c>
      <c r="C46" s="27">
        <v>-9319</v>
      </c>
      <c r="D46" s="27">
        <v>-14935</v>
      </c>
      <c r="E46" s="27">
        <v>-16333</v>
      </c>
    </row>
    <row r="47" spans="2:5" x14ac:dyDescent="0.2">
      <c r="B47" s="25" t="s">
        <v>202</v>
      </c>
      <c r="C47" s="28">
        <v>0</v>
      </c>
      <c r="D47" s="27">
        <v>-9820</v>
      </c>
      <c r="E47" s="27">
        <v>-69720</v>
      </c>
    </row>
    <row r="48" spans="2:5" x14ac:dyDescent="0.2">
      <c r="B48" s="25" t="s">
        <v>201</v>
      </c>
      <c r="C48" s="27">
        <v>-17435</v>
      </c>
      <c r="D48" s="28">
        <v>0</v>
      </c>
      <c r="E48" s="28">
        <v>0</v>
      </c>
    </row>
    <row r="49" spans="2:5" x14ac:dyDescent="0.2">
      <c r="B49" s="25" t="s">
        <v>200</v>
      </c>
      <c r="C49" s="27">
        <v>-26754</v>
      </c>
      <c r="D49" s="27">
        <v>-24755</v>
      </c>
      <c r="E49" s="27">
        <v>-86053</v>
      </c>
    </row>
    <row r="50" spans="2:5" x14ac:dyDescent="0.2">
      <c r="B50" s="25" t="s">
        <v>199</v>
      </c>
    </row>
    <row r="51" spans="2:5" x14ac:dyDescent="0.2">
      <c r="B51" s="25" t="s">
        <v>198</v>
      </c>
      <c r="C51" s="27">
        <v>-5750</v>
      </c>
      <c r="D51" s="27">
        <v>-5750</v>
      </c>
      <c r="E51" s="27">
        <v>-5750</v>
      </c>
    </row>
    <row r="52" spans="2:5" x14ac:dyDescent="0.2">
      <c r="B52" s="25" t="s">
        <v>447</v>
      </c>
      <c r="C52" s="27">
        <v>-189</v>
      </c>
      <c r="D52" s="28">
        <v>0</v>
      </c>
      <c r="E52" s="28">
        <v>0</v>
      </c>
    </row>
    <row r="53" spans="2:5" x14ac:dyDescent="0.2">
      <c r="B53" s="25" t="s">
        <v>517</v>
      </c>
      <c r="C53" s="27">
        <v>-7918</v>
      </c>
      <c r="D53" s="27">
        <v>-19310</v>
      </c>
      <c r="E53" s="28">
        <v>0</v>
      </c>
    </row>
    <row r="54" spans="2:5" x14ac:dyDescent="0.2">
      <c r="B54" s="25" t="s">
        <v>336</v>
      </c>
    </row>
    <row r="55" spans="2:5" x14ac:dyDescent="0.2">
      <c r="B55" s="25" t="s">
        <v>196</v>
      </c>
      <c r="C55" s="27">
        <v>-192113</v>
      </c>
      <c r="D55" s="27">
        <v>-112830</v>
      </c>
      <c r="E55" s="28">
        <v>0</v>
      </c>
    </row>
    <row r="56" spans="2:5" x14ac:dyDescent="0.2">
      <c r="B56" s="25" t="s">
        <v>195</v>
      </c>
      <c r="C56" s="27">
        <v>-22184</v>
      </c>
      <c r="D56" s="27">
        <v>-44309</v>
      </c>
      <c r="E56" s="28">
        <v>0</v>
      </c>
    </row>
    <row r="57" spans="2:5" x14ac:dyDescent="0.2">
      <c r="B57" s="25" t="s">
        <v>194</v>
      </c>
      <c r="C57" s="27">
        <v>-10732</v>
      </c>
      <c r="D57" s="27">
        <v>-16692</v>
      </c>
      <c r="E57" s="27">
        <v>-9204</v>
      </c>
    </row>
    <row r="58" spans="2:5" x14ac:dyDescent="0.2">
      <c r="B58" s="25" t="s">
        <v>193</v>
      </c>
    </row>
    <row r="59" spans="2:5" x14ac:dyDescent="0.2">
      <c r="B59" s="25" t="s">
        <v>192</v>
      </c>
      <c r="C59" s="27">
        <v>-11942</v>
      </c>
      <c r="D59" s="28">
        <v>0</v>
      </c>
      <c r="E59" s="28">
        <v>0</v>
      </c>
    </row>
    <row r="60" spans="2:5" x14ac:dyDescent="0.2">
      <c r="B60" s="25" t="s">
        <v>191</v>
      </c>
      <c r="C60" s="27">
        <v>-250828</v>
      </c>
      <c r="D60" s="27">
        <v>-198891</v>
      </c>
      <c r="E60" s="27">
        <v>-14954</v>
      </c>
    </row>
    <row r="61" spans="2:5" x14ac:dyDescent="0.2">
      <c r="B61" s="25" t="s">
        <v>516</v>
      </c>
      <c r="C61" s="27">
        <v>2001</v>
      </c>
      <c r="D61" s="27">
        <v>-6280</v>
      </c>
      <c r="E61" s="27">
        <v>5933</v>
      </c>
    </row>
    <row r="62" spans="2:5" x14ac:dyDescent="0.2">
      <c r="B62" s="25" t="s">
        <v>515</v>
      </c>
    </row>
    <row r="63" spans="2:5" x14ac:dyDescent="0.2">
      <c r="B63" s="25" t="s">
        <v>486</v>
      </c>
    </row>
    <row r="64" spans="2:5" x14ac:dyDescent="0.2">
      <c r="B64" s="25" t="s">
        <v>485</v>
      </c>
      <c r="C64" s="27">
        <v>-152140</v>
      </c>
      <c r="D64" s="27">
        <v>-47840</v>
      </c>
      <c r="E64" s="27">
        <v>37867</v>
      </c>
    </row>
    <row r="65" spans="2:5" x14ac:dyDescent="0.2">
      <c r="B65" s="25" t="s">
        <v>186</v>
      </c>
      <c r="C65" s="27">
        <v>359202</v>
      </c>
      <c r="D65" s="27">
        <v>407042</v>
      </c>
      <c r="E65" s="27">
        <v>369175</v>
      </c>
    </row>
    <row r="66" spans="2:5" x14ac:dyDescent="0.2">
      <c r="B66" s="25" t="s">
        <v>185</v>
      </c>
    </row>
    <row r="67" spans="2:5" x14ac:dyDescent="0.2">
      <c r="B67" s="25" t="s">
        <v>186</v>
      </c>
    </row>
    <row r="68" spans="2:5" x14ac:dyDescent="0.2">
      <c r="B68" s="25" t="s">
        <v>514</v>
      </c>
      <c r="C68" s="26">
        <v>207062</v>
      </c>
      <c r="D68" s="26">
        <v>359202</v>
      </c>
      <c r="E68" s="26">
        <v>407042</v>
      </c>
    </row>
    <row r="69" spans="2:5" x14ac:dyDescent="0.2">
      <c r="B69" s="25" t="s">
        <v>182</v>
      </c>
      <c r="C69" s="27">
        <v>-2743</v>
      </c>
      <c r="D69" s="27">
        <v>-3560</v>
      </c>
      <c r="E69" s="27">
        <v>-4483</v>
      </c>
    </row>
    <row r="70" spans="2:5" x14ac:dyDescent="0.2">
      <c r="B70" s="25" t="s">
        <v>181</v>
      </c>
      <c r="C70" s="26">
        <v>204319</v>
      </c>
      <c r="D70" s="26">
        <v>355642</v>
      </c>
      <c r="E70" s="26">
        <v>402559</v>
      </c>
    </row>
  </sheetData>
  <hyperlinks>
    <hyperlink ref="A8" location="Table_Of_Contents!A1" display="Table Of Contents" xr:uid="{090A7E6F-99A4-4012-8F77-E2ED1D4CDD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Disclaimer</vt:lpstr>
      <vt:lpstr>Input</vt:lpstr>
      <vt:lpstr>WORKINGS&gt;&gt;</vt:lpstr>
      <vt:lpstr>Main</vt:lpstr>
      <vt:lpstr>INPUT&gt;&gt;</vt:lpstr>
      <vt:lpstr>IS&gt;</vt:lpstr>
      <vt:lpstr>is_q125</vt:lpstr>
      <vt:lpstr>is_q324</vt:lpstr>
      <vt:lpstr>is_q224</vt:lpstr>
      <vt:lpstr>is_q124</vt:lpstr>
      <vt:lpstr>is_q323</vt:lpstr>
      <vt:lpstr>is_q223</vt:lpstr>
      <vt:lpstr>is_q123</vt:lpstr>
      <vt:lpstr>is_q322</vt:lpstr>
      <vt:lpstr>is_q222</vt:lpstr>
      <vt:lpstr>is_q122</vt:lpstr>
      <vt:lpstr>is_fy21</vt:lpstr>
      <vt:lpstr>is_fy22</vt:lpstr>
      <vt:lpstr>is_fy23</vt:lpstr>
      <vt:lpstr>is_fy24</vt:lpstr>
      <vt:lpstr>BS&gt;</vt:lpstr>
      <vt:lpstr>bs_q125</vt:lpstr>
      <vt:lpstr>bs_q324</vt:lpstr>
      <vt:lpstr>bs_q224</vt:lpstr>
      <vt:lpstr>bs_q124</vt:lpstr>
      <vt:lpstr>bs_q323</vt:lpstr>
      <vt:lpstr>bs_q223</vt:lpstr>
      <vt:lpstr>bs_q123</vt:lpstr>
      <vt:lpstr>bs_q322</vt:lpstr>
      <vt:lpstr>bs_q222</vt:lpstr>
      <vt:lpstr>bs_q122</vt:lpstr>
      <vt:lpstr>bs_fy21</vt:lpstr>
      <vt:lpstr>bs_fy22</vt:lpstr>
      <vt:lpstr>bs_fy23</vt:lpstr>
      <vt:lpstr>bs_fy24</vt:lpstr>
      <vt:lpstr>CF&gt;</vt:lpstr>
      <vt:lpstr>cf_q125</vt:lpstr>
      <vt:lpstr>cf_q324</vt:lpstr>
      <vt:lpstr>cf_q224</vt:lpstr>
      <vt:lpstr>cf_q124</vt:lpstr>
      <vt:lpstr>cf_q323</vt:lpstr>
      <vt:lpstr>cf_q223</vt:lpstr>
      <vt:lpstr>cf_q123</vt:lpstr>
      <vt:lpstr>cf_q322</vt:lpstr>
      <vt:lpstr>cf_q222</vt:lpstr>
      <vt:lpstr>cf_q122</vt:lpstr>
      <vt:lpstr>cf_fy21</vt:lpstr>
      <vt:lpstr>cf_fy22</vt:lpstr>
      <vt:lpstr>cf_fy23</vt:lpstr>
      <vt:lpstr>cf_fy24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2025-08-07T10:48:55Z</dcterms:modified>
</cp:coreProperties>
</file>