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A37A6AB1-BC41-4F04-962E-3AA2BCC0D501}" xr6:coauthVersionLast="47" xr6:coauthVersionMax="47" xr10:uidLastSave="{00000000-0000-0000-0000-000000000000}"/>
  <bookViews>
    <workbookView xWindow="-105" yWindow="0" windowWidth="26010" windowHeight="20985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2" r:id="rId6"/>
    <sheet name="Historical" sheetId="10" r:id="rId7"/>
    <sheet name="INPUT&gt;&gt;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1" i="10" l="1"/>
  <c r="N19" i="10"/>
  <c r="N18" i="10"/>
  <c r="N17" i="10"/>
  <c r="N16" i="10"/>
  <c r="N15" i="10"/>
  <c r="N13" i="10"/>
  <c r="N12" i="10"/>
  <c r="N11" i="10"/>
  <c r="R21" i="10"/>
  <c r="R19" i="10"/>
  <c r="R18" i="10"/>
  <c r="R17" i="10"/>
  <c r="R16" i="10"/>
  <c r="R15" i="10"/>
  <c r="R13" i="10"/>
  <c r="R12" i="10"/>
  <c r="R11" i="10"/>
  <c r="U18" i="10"/>
  <c r="Q20" i="10"/>
  <c r="U21" i="10"/>
  <c r="U19" i="10"/>
  <c r="U17" i="10"/>
  <c r="U16" i="10"/>
  <c r="U15" i="10"/>
  <c r="U13" i="10"/>
  <c r="U12" i="10"/>
  <c r="P20" i="10"/>
  <c r="O20" i="10"/>
  <c r="M20" i="10"/>
  <c r="L20" i="10"/>
  <c r="K20" i="10"/>
  <c r="I20" i="10"/>
  <c r="H20" i="10"/>
  <c r="G20" i="10"/>
  <c r="F20" i="10"/>
  <c r="S20" i="10"/>
  <c r="I14" i="10"/>
  <c r="H14" i="10"/>
  <c r="G14" i="10"/>
  <c r="F14" i="10"/>
  <c r="Q14" i="10"/>
  <c r="P14" i="10"/>
  <c r="O14" i="10"/>
  <c r="M14" i="10"/>
  <c r="L14" i="10"/>
  <c r="K14" i="10"/>
  <c r="S14" i="10"/>
  <c r="U11" i="10"/>
  <c r="D5" i="12"/>
  <c r="E20" i="12"/>
  <c r="D4" i="12"/>
  <c r="K30" i="12"/>
  <c r="O22" i="10" l="1"/>
  <c r="I22" i="10"/>
  <c r="K22" i="10"/>
  <c r="G22" i="10"/>
  <c r="M22" i="10"/>
  <c r="S22" i="10"/>
  <c r="F22" i="10"/>
  <c r="P22" i="10"/>
  <c r="Q22" i="10"/>
  <c r="H22" i="10"/>
  <c r="L22" i="10"/>
  <c r="U14" i="10"/>
  <c r="N20" i="10"/>
  <c r="N14" i="10"/>
  <c r="R20" i="10"/>
  <c r="R14" i="10"/>
  <c r="U20" i="10"/>
  <c r="F28" i="12"/>
  <c r="F27" i="12"/>
  <c r="G27" i="12" s="1"/>
  <c r="H27" i="12" s="1"/>
  <c r="I27" i="12" s="1"/>
  <c r="J27" i="12" s="1"/>
  <c r="K27" i="12" s="1"/>
  <c r="F26" i="12"/>
  <c r="G26" i="12"/>
  <c r="F25" i="12"/>
  <c r="G25" i="12" s="1"/>
  <c r="H25" i="12" s="1"/>
  <c r="I25" i="12" s="1"/>
  <c r="J25" i="12" s="1"/>
  <c r="K25" i="12" s="1"/>
  <c r="E8" i="12"/>
  <c r="F17" i="12"/>
  <c r="F13" i="12"/>
  <c r="E19" i="12"/>
  <c r="E9" i="12"/>
  <c r="H24" i="12"/>
  <c r="G24" i="12"/>
  <c r="F24" i="12"/>
  <c r="K24" i="12"/>
  <c r="J24" i="12"/>
  <c r="I24" i="12"/>
  <c r="D3" i="12"/>
  <c r="B2" i="12"/>
  <c r="R22" i="10" l="1"/>
  <c r="N22" i="10"/>
  <c r="F29" i="12"/>
  <c r="F31" i="12" s="1"/>
  <c r="F32" i="12" s="1"/>
  <c r="F33" i="12" s="1"/>
  <c r="G29" i="12"/>
  <c r="G31" i="12" s="1"/>
  <c r="G28" i="12"/>
  <c r="H28" i="12" s="1"/>
  <c r="I28" i="12" s="1"/>
  <c r="J28" i="12" s="1"/>
  <c r="K28" i="12" s="1"/>
  <c r="H26" i="12"/>
  <c r="G32" i="12" l="1"/>
  <c r="G33" i="12" s="1"/>
  <c r="I26" i="12"/>
  <c r="H29" i="12"/>
  <c r="H31" i="12" s="1"/>
  <c r="H32" i="12" s="1"/>
  <c r="H33" i="12" l="1"/>
  <c r="I29" i="12"/>
  <c r="I31" i="12" s="1"/>
  <c r="I32" i="12" s="1"/>
  <c r="J26" i="12"/>
  <c r="I33" i="12" l="1"/>
  <c r="K26" i="12"/>
  <c r="K29" i="12" s="1"/>
  <c r="K31" i="12" s="1"/>
  <c r="J29" i="12"/>
  <c r="J31" i="12" s="1"/>
  <c r="J32" i="12" s="1"/>
  <c r="K32" i="12" l="1"/>
  <c r="K33" i="12" s="1"/>
  <c r="J33" i="12"/>
  <c r="F34" i="12" l="1"/>
  <c r="S47" i="10"/>
  <c r="Q47" i="10"/>
  <c r="P47" i="10"/>
  <c r="O47" i="10"/>
  <c r="M47" i="10"/>
  <c r="L47" i="10"/>
  <c r="K47" i="10"/>
  <c r="I47" i="10"/>
  <c r="H47" i="10"/>
  <c r="G47" i="10"/>
  <c r="F47" i="10"/>
  <c r="P86" i="10"/>
  <c r="Q86" i="10" s="1"/>
  <c r="R86" i="10" s="1"/>
  <c r="P84" i="10"/>
  <c r="Q84" i="10" s="1"/>
  <c r="P83" i="10"/>
  <c r="Q83" i="10" s="1"/>
  <c r="R83" i="10" s="1"/>
  <c r="N54" i="10"/>
  <c r="R54" i="10"/>
  <c r="Q46" i="10"/>
  <c r="P46" i="10"/>
  <c r="M46" i="10"/>
  <c r="L46" i="10"/>
  <c r="K46" i="10"/>
  <c r="N37" i="10"/>
  <c r="N35" i="10"/>
  <c r="N34" i="10"/>
  <c r="N32" i="10"/>
  <c r="N30" i="10"/>
  <c r="N29" i="10"/>
  <c r="N28" i="10"/>
  <c r="N27" i="10"/>
  <c r="N26" i="10"/>
  <c r="N25" i="10"/>
  <c r="N24" i="10"/>
  <c r="N23" i="10"/>
  <c r="N46" i="10"/>
  <c r="R37" i="10"/>
  <c r="R35" i="10"/>
  <c r="R34" i="10"/>
  <c r="R32" i="10"/>
  <c r="R30" i="10"/>
  <c r="R29" i="10"/>
  <c r="R28" i="10"/>
  <c r="R27" i="10"/>
  <c r="R26" i="10"/>
  <c r="R25" i="10"/>
  <c r="R24" i="10"/>
  <c r="R23" i="10"/>
  <c r="S46" i="10"/>
  <c r="M86" i="10"/>
  <c r="N86" i="10" s="1"/>
  <c r="M84" i="10"/>
  <c r="N84" i="10" s="1"/>
  <c r="M83" i="10"/>
  <c r="N83" i="10" s="1"/>
  <c r="K85" i="10"/>
  <c r="K74" i="10"/>
  <c r="K75" i="10" s="1"/>
  <c r="K69" i="10"/>
  <c r="K63" i="10"/>
  <c r="K31" i="10"/>
  <c r="L85" i="10"/>
  <c r="O85" i="10"/>
  <c r="S85" i="10"/>
  <c r="R73" i="10"/>
  <c r="N73" i="10"/>
  <c r="N66" i="10"/>
  <c r="N65" i="10"/>
  <c r="N64" i="10"/>
  <c r="N60" i="10"/>
  <c r="S74" i="10"/>
  <c r="Q74" i="10"/>
  <c r="Q75" i="10" s="1"/>
  <c r="P74" i="10"/>
  <c r="P75" i="10" s="1"/>
  <c r="O74" i="10"/>
  <c r="O75" i="10" s="1"/>
  <c r="M74" i="10"/>
  <c r="M75" i="10" s="1"/>
  <c r="L74" i="10"/>
  <c r="L75" i="10" s="1"/>
  <c r="I74" i="10"/>
  <c r="I75" i="10" s="1"/>
  <c r="H74" i="10"/>
  <c r="H75" i="10" s="1"/>
  <c r="G74" i="10"/>
  <c r="G75" i="10" s="1"/>
  <c r="F74" i="10"/>
  <c r="F75" i="10" s="1"/>
  <c r="N77" i="10"/>
  <c r="R77" i="10"/>
  <c r="S62" i="10"/>
  <c r="S63" i="10" s="1"/>
  <c r="I62" i="10"/>
  <c r="R62" i="10" s="1"/>
  <c r="I61" i="10"/>
  <c r="R61" i="10" s="1"/>
  <c r="H62" i="10"/>
  <c r="N62" i="10" s="1"/>
  <c r="H61" i="10"/>
  <c r="N61" i="10" s="1"/>
  <c r="G62" i="10"/>
  <c r="G61" i="10"/>
  <c r="F62" i="10"/>
  <c r="F61" i="10"/>
  <c r="S67" i="10"/>
  <c r="S68" i="10" s="1"/>
  <c r="S69" i="10" s="1"/>
  <c r="M69" i="10"/>
  <c r="M63" i="10"/>
  <c r="M31" i="10"/>
  <c r="L69" i="10"/>
  <c r="L63" i="10"/>
  <c r="L31" i="10"/>
  <c r="R72" i="10"/>
  <c r="R66" i="10"/>
  <c r="R65" i="10"/>
  <c r="R64" i="10"/>
  <c r="R60" i="10"/>
  <c r="Q69" i="10"/>
  <c r="Q63" i="10"/>
  <c r="S31" i="10"/>
  <c r="Q31" i="10"/>
  <c r="P63" i="10"/>
  <c r="P31" i="10"/>
  <c r="O63" i="10"/>
  <c r="O31" i="10"/>
  <c r="F68" i="10"/>
  <c r="G68" i="10"/>
  <c r="H67" i="10"/>
  <c r="H68" i="10" s="1"/>
  <c r="N68" i="10" s="1"/>
  <c r="I67" i="10"/>
  <c r="I68" i="10" s="1"/>
  <c r="R68" i="10" s="1"/>
  <c r="U65" i="10"/>
  <c r="U32" i="10"/>
  <c r="F31" i="10"/>
  <c r="U35" i="10"/>
  <c r="U29" i="10"/>
  <c r="U28" i="10"/>
  <c r="U27" i="10"/>
  <c r="U26" i="10"/>
  <c r="U25" i="10"/>
  <c r="I31" i="10"/>
  <c r="H31" i="10"/>
  <c r="G31" i="10"/>
  <c r="K33" i="10" l="1"/>
  <c r="Q33" i="10"/>
  <c r="S33" i="10"/>
  <c r="L33" i="10"/>
  <c r="I33" i="10"/>
  <c r="O33" i="10"/>
  <c r="M33" i="10"/>
  <c r="P33" i="10"/>
  <c r="P36" i="10" s="1"/>
  <c r="G33" i="10"/>
  <c r="H33" i="10"/>
  <c r="F33" i="10"/>
  <c r="R74" i="10"/>
  <c r="R75" i="10" s="1"/>
  <c r="R47" i="10"/>
  <c r="K70" i="10"/>
  <c r="K78" i="10" s="1"/>
  <c r="N47" i="10"/>
  <c r="S75" i="10"/>
  <c r="F12" i="12"/>
  <c r="F14" i="12" s="1"/>
  <c r="N67" i="10"/>
  <c r="N69" i="10" s="1"/>
  <c r="R46" i="10"/>
  <c r="R31" i="10"/>
  <c r="R33" i="10" s="1"/>
  <c r="N74" i="10"/>
  <c r="N75" i="10" s="1"/>
  <c r="P85" i="10"/>
  <c r="R84" i="10"/>
  <c r="R85" i="10" s="1"/>
  <c r="N85" i="10"/>
  <c r="N31" i="10"/>
  <c r="N33" i="10" s="1"/>
  <c r="O46" i="10"/>
  <c r="M85" i="10"/>
  <c r="Q85" i="10"/>
  <c r="K36" i="10"/>
  <c r="K49" i="10" s="1"/>
  <c r="N63" i="10"/>
  <c r="M70" i="10"/>
  <c r="M78" i="10" s="1"/>
  <c r="R67" i="10"/>
  <c r="R69" i="10" s="1"/>
  <c r="M36" i="10"/>
  <c r="M49" i="10" s="1"/>
  <c r="L70" i="10"/>
  <c r="L78" i="10" s="1"/>
  <c r="L36" i="10"/>
  <c r="L49" i="10" s="1"/>
  <c r="R63" i="10"/>
  <c r="S70" i="10"/>
  <c r="S78" i="10" s="1"/>
  <c r="Q36" i="10"/>
  <c r="Q49" i="10" s="1"/>
  <c r="Q70" i="10"/>
  <c r="Q78" i="10" s="1"/>
  <c r="P69" i="10"/>
  <c r="P70" i="10" s="1"/>
  <c r="P78" i="10" s="1"/>
  <c r="O36" i="10"/>
  <c r="O49" i="10" s="1"/>
  <c r="U62" i="10"/>
  <c r="O69" i="10"/>
  <c r="O70" i="10" s="1"/>
  <c r="O78" i="10" s="1"/>
  <c r="U61" i="10"/>
  <c r="U31" i="10"/>
  <c r="E80" i="10"/>
  <c r="E8" i="10"/>
  <c r="E57" i="10"/>
  <c r="F36" i="10" l="1"/>
  <c r="L48" i="10"/>
  <c r="S48" i="10"/>
  <c r="S36" i="10"/>
  <c r="S49" i="10" s="1"/>
  <c r="H36" i="10"/>
  <c r="O48" i="10"/>
  <c r="Q48" i="10"/>
  <c r="M48" i="10"/>
  <c r="G36" i="10"/>
  <c r="I36" i="10"/>
  <c r="K48" i="10"/>
  <c r="R48" i="10"/>
  <c r="P48" i="10"/>
  <c r="N70" i="10"/>
  <c r="N78" i="10" s="1"/>
  <c r="P38" i="10"/>
  <c r="P49" i="10"/>
  <c r="N36" i="10"/>
  <c r="N49" i="10" s="1"/>
  <c r="N48" i="10"/>
  <c r="R36" i="10"/>
  <c r="R49" i="10" s="1"/>
  <c r="K38" i="10"/>
  <c r="R70" i="10"/>
  <c r="R78" i="10" s="1"/>
  <c r="M38" i="10"/>
  <c r="Q38" i="10"/>
  <c r="L38" i="10"/>
  <c r="O38" i="10"/>
  <c r="G16" i="4"/>
  <c r="H16" i="4" s="1"/>
  <c r="I16" i="4" s="1"/>
  <c r="J16" i="4" s="1"/>
  <c r="U86" i="10"/>
  <c r="U84" i="10"/>
  <c r="U71" i="10"/>
  <c r="U67" i="10"/>
  <c r="U66" i="10"/>
  <c r="U64" i="10"/>
  <c r="U83" i="10"/>
  <c r="U60" i="10"/>
  <c r="U37" i="10"/>
  <c r="U30" i="10"/>
  <c r="U24" i="10"/>
  <c r="U23" i="10"/>
  <c r="U22" i="10"/>
  <c r="F69" i="10"/>
  <c r="G69" i="10"/>
  <c r="F63" i="10"/>
  <c r="G63" i="10"/>
  <c r="F48" i="10"/>
  <c r="E81" i="10"/>
  <c r="E58" i="10"/>
  <c r="E9" i="10"/>
  <c r="H85" i="10"/>
  <c r="G85" i="10"/>
  <c r="F85" i="10"/>
  <c r="I85" i="10"/>
  <c r="I46" i="10"/>
  <c r="G46" i="10"/>
  <c r="F46" i="10"/>
  <c r="H69" i="10"/>
  <c r="I69" i="10"/>
  <c r="H63" i="10"/>
  <c r="I63" i="10"/>
  <c r="H48" i="10"/>
  <c r="G48" i="10"/>
  <c r="D5" i="10"/>
  <c r="D3" i="10"/>
  <c r="A3" i="4"/>
  <c r="A1" i="4"/>
  <c r="A3" i="2"/>
  <c r="A1" i="2"/>
  <c r="A2" i="3"/>
  <c r="A2" i="2" s="1"/>
  <c r="S38" i="10" l="1"/>
  <c r="Q50" i="10"/>
  <c r="R38" i="10"/>
  <c r="S50" i="10" s="1"/>
  <c r="P55" i="10"/>
  <c r="P50" i="10"/>
  <c r="M50" i="10"/>
  <c r="N38" i="10"/>
  <c r="N55" i="10" s="1"/>
  <c r="L50" i="10"/>
  <c r="K50" i="10"/>
  <c r="K55" i="10"/>
  <c r="Q55" i="10"/>
  <c r="M55" i="10"/>
  <c r="L55" i="10"/>
  <c r="S55" i="10"/>
  <c r="O55" i="10"/>
  <c r="U34" i="10"/>
  <c r="U63" i="10"/>
  <c r="U69" i="10"/>
  <c r="U72" i="10"/>
  <c r="U68" i="10"/>
  <c r="U85" i="10"/>
  <c r="G70" i="10"/>
  <c r="G78" i="10" s="1"/>
  <c r="F70" i="10"/>
  <c r="F78" i="10" s="1"/>
  <c r="I70" i="10"/>
  <c r="I78" i="10" s="1"/>
  <c r="H70" i="10"/>
  <c r="H78" i="10" s="1"/>
  <c r="A2" i="4"/>
  <c r="D4" i="10"/>
  <c r="A2" i="1"/>
  <c r="A3" i="1"/>
  <c r="A1" i="3"/>
  <c r="R50" i="10" l="1"/>
  <c r="R55" i="10"/>
  <c r="N50" i="10"/>
  <c r="O50" i="10"/>
  <c r="U70" i="10"/>
  <c r="H38" i="10"/>
  <c r="H55" i="10" s="1"/>
  <c r="H49" i="10"/>
  <c r="G38" i="10"/>
  <c r="G55" i="10" s="1"/>
  <c r="G49" i="10"/>
  <c r="F38" i="10"/>
  <c r="F49" i="10"/>
  <c r="I48" i="10"/>
  <c r="U33" i="10"/>
  <c r="A1" i="1"/>
  <c r="G50" i="10" l="1"/>
  <c r="H50" i="10"/>
  <c r="F50" i="10"/>
  <c r="F55" i="10"/>
  <c r="U36" i="10"/>
  <c r="I49" i="10"/>
  <c r="I38" i="10"/>
  <c r="F16" i="12" s="1"/>
  <c r="C78" i="10" a="1"/>
  <c r="C78" i="10" s="1"/>
  <c r="I50" i="10" l="1"/>
  <c r="U38" i="10"/>
  <c r="I55" i="10"/>
  <c r="C55" i="10" s="1" a="1"/>
  <c r="C5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<sst xmlns="http://schemas.openxmlformats.org/spreadsheetml/2006/main" count="176" uniqueCount="143">
  <si>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</si>
  <si>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</si>
  <si>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</si>
  <si>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</si>
  <si>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</si>
  <si>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</si>
  <si>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</si>
  <si>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</si>
  <si>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</si>
  <si>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</si>
  <si>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</si>
  <si>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</si>
  <si>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</si>
  <si>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</si>
  <si>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</si>
  <si>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</si>
  <si>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</si>
  <si>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</si>
  <si>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</si>
  <si>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</si>
  <si>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</si>
  <si>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</si>
  <si>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</si>
  <si>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</si>
  <si>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</si>
  <si>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</si>
  <si>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</si>
  <si>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</si>
  <si>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</si>
  <si>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</si>
  <si>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</si>
  <si>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</si>
  <si>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</si>
  <si>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</si>
  <si>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</si>
  <si>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</si>
  <si>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</si>
  <si>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</si>
  <si>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</si>
  <si>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</si>
  <si>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</si>
  <si>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</si>
  <si>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</si>
  <si>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</si>
  <si>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</si>
  <si>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</si>
  <si>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</si>
  <si>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</si>
  <si>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</si>
  <si>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</si>
  <si>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</si>
  <si>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</si>
  <si>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</si>
  <si>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</si>
  <si>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</si>
  <si>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</si>
  <si>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</si>
  <si>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</si>
  <si>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</si>
  <si>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</si>
  <si>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</si>
  <si>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</si>
  <si>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</si>
  <si>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</si>
  <si>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</si>
  <si>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</si>
  <si>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</si>
  <si>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</si>
  <si>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</si>
  <si>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</si>
  <si>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</si>
  <si>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</si>
  <si>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</si>
  <si>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</si>
  <si>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</si>
  <si>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</si>
  <si>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</si>
  <si>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</si>
  <si>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</si>
  <si>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</si>
  <si>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</si>
  <si>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</si>
  <si>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</si>
  <si>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</si>
  <si>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</si>
  <si>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</si>
  <si>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</si>
  <si>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</si>
  <si>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</si>
  <si>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</si>
  <si>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</si>
  <si>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</si>
  <si>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</si>
  <si>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</si>
  <si>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</si>
  <si>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</si>
  <si>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</si>
  <si>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</si>
  <si>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</si>
  <si>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</si>
  <si>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</si>
  <si>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</si>
  <si>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</si>
  <si>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</si>
  <si>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</si>
  <si>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</si>
  <si>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</si>
  <si>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</si>
  <si>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</si>
  <si>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</si>
  <si>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calc.</t>
  </si>
  <si>
    <t>FinCF</t>
  </si>
  <si>
    <t>Development ratio</t>
  </si>
  <si>
    <t>MCap</t>
  </si>
  <si>
    <t>Debt</t>
  </si>
  <si>
    <t>EV</t>
  </si>
  <si>
    <t>FY25E</t>
  </si>
  <si>
    <t>FY26E</t>
  </si>
  <si>
    <t>FY27E</t>
  </si>
  <si>
    <t>FY28E</t>
  </si>
  <si>
    <t>FY29E</t>
  </si>
  <si>
    <t>Retention of earnings</t>
  </si>
  <si>
    <t>No retention needed, TV growth retention</t>
  </si>
  <si>
    <t>Distributable profits</t>
  </si>
  <si>
    <t>Risk premium</t>
  </si>
  <si>
    <t>Discount factor</t>
  </si>
  <si>
    <t>Present values</t>
  </si>
  <si>
    <t>Sum of present values</t>
  </si>
  <si>
    <t>P/E (FY24)</t>
  </si>
  <si>
    <t>P/B (Dec24)</t>
  </si>
  <si>
    <t>Movement coming from custodial customer funds (FS like)</t>
  </si>
  <si>
    <t>Transaction revenue</t>
  </si>
  <si>
    <t>Consumer</t>
  </si>
  <si>
    <t>Institutional</t>
  </si>
  <si>
    <t>Other transaction</t>
  </si>
  <si>
    <t>Stablecoin revenue</t>
  </si>
  <si>
    <t>Blockchain rewards</t>
  </si>
  <si>
    <t>Interest and finance fee</t>
  </si>
  <si>
    <t>Other subscription</t>
  </si>
  <si>
    <t>Subscription revenue</t>
  </si>
  <si>
    <t>Custodial fee</t>
  </si>
  <si>
    <t>Corporate interest and other rev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</si>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</sst>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[$-409]d\-mmm\-yy;@"/>
    <numFmt numFmtId="169" formatCode="#,###.0\x"/>
    <numFmt numFmtId="170" formatCode="0.00%;\(0.00%\)"/>
    <numFmt numFmtId="172" formatCode="_(* #,##0.000_);_(* \(#,##0.00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7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8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9" fontId="0" fillId="0" borderId="0" xfId="0" applyNumberFormat="1"/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164" fontId="2" fillId="0" borderId="4" xfId="0" applyNumberFormat="1" applyFont="1" applyBorder="1"/>
    <xf numFmtId="170" fontId="6" fillId="0" borderId="0" xfId="1" applyNumberFormat="1" applyFont="1" applyBorder="1" applyAlignment="1">
      <alignment horizontal="right"/>
    </xf>
    <xf numFmtId="0" fontId="0" fillId="0" borderId="0" xfId="0" applyAlignment="1">
      <alignment horizontal="left" indent="2"/>
    </xf>
    <xf numFmtId="172" fontId="0" fillId="3" borderId="0" xfId="0" applyNumberFormat="1" applyFill="1"/>
    <xf numFmtId="164" fontId="0" fillId="11" borderId="0" xfId="0" applyNumberFormat="1" applyFill="1"/>
    <xf numFmtId="164" fontId="0" fillId="11" borderId="2" xfId="0" applyNumberFormat="1" applyFill="1" applyBorder="1"/>
    <xf numFmtId="0" fontId="6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63</v>
      </c>
    </row>
    <row r="8" spans="1:11" x14ac:dyDescent="0.2">
      <c r="B8" t="s">
        <v>17</v>
      </c>
      <c r="E8" s="11" t="s">
        <v>64</v>
      </c>
    </row>
    <row r="9" spans="1:11" x14ac:dyDescent="0.2">
      <c r="B9" t="s">
        <v>21</v>
      </c>
      <c r="E9" s="11" t="s">
        <v>65</v>
      </c>
    </row>
    <row r="10" spans="1:11" x14ac:dyDescent="0.2">
      <c r="B10" t="s">
        <v>22</v>
      </c>
      <c r="E10" s="11" t="s">
        <v>66</v>
      </c>
    </row>
    <row r="11" spans="1:11" x14ac:dyDescent="0.2">
      <c r="B11" t="s">
        <v>18</v>
      </c>
      <c r="E11" s="11" t="s">
        <v>67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35" t="s">
        <v>68</v>
      </c>
    </row>
    <row r="14" spans="1:11" x14ac:dyDescent="0.2">
      <c r="B14" t="s">
        <v>41</v>
      </c>
      <c r="E14" s="11" t="s">
        <v>69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3" t="s">
        <v>49</v>
      </c>
    </row>
    <row r="18" spans="2:11" x14ac:dyDescent="0.2">
      <c r="B18" t="s">
        <v>51</v>
      </c>
      <c r="E18" s="31"/>
      <c r="F18" s="31"/>
      <c r="G18" s="31"/>
      <c r="H18" s="31"/>
      <c r="I18" s="31"/>
      <c r="J18" s="31"/>
      <c r="K18" s="32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34"/>
    </row>
    <row r="23" spans="2:11" x14ac:dyDescent="0.2">
      <c r="B23" t="s">
        <v>55</v>
      </c>
      <c r="E23" s="34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D482-AAB1-49D6-A5E7-E46604FB02BA}">
  <sheetPr>
    <tabColor rgb="FF0070C0"/>
  </sheetPr>
  <dimension ref="A1:P704"/>
  <sheetViews>
    <sheetView showGridLines="0" topLeftCell="C1" zoomScale="160" zoomScaleNormal="160" workbookViewId="0">
      <selection activeCell="D5" sqref="D5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8" max="8" width="9.7109375" bestFit="1" customWidth="1"/>
  </cols>
  <sheetData>
    <row r="1" spans="2:16" s="8" customFormat="1" outlineLevel="1" x14ac:dyDescent="0.2">
      <c r="B1" s="8">
        <v>0.1</v>
      </c>
    </row>
    <row r="2" spans="2:16" s="8" customFormat="1" outlineLevel="1" x14ac:dyDescent="0.2">
      <c r="B2" s="15" t="e">
        <f>AND(C:C)</f>
        <v>#VALUE!</v>
      </c>
    </row>
    <row r="3" spans="2:16" x14ac:dyDescent="0.2">
      <c r="D3" s="5" t="str">
        <f ca="1">MID(CELL("filename",D3),FIND("]",CELL("filename",D3))+1,256)</f>
        <v>Valuation</v>
      </c>
    </row>
    <row r="4" spans="2:16" x14ac:dyDescent="0.2">
      <c r="D4" s="6" t="str">
        <f>Cover!A2</f>
        <v>Indicative valuation of Coinbase Global, Inc.: Public information</v>
      </c>
    </row>
    <row r="5" spans="2:16" x14ac:dyDescent="0.2">
      <c r="D5" s="6" t="str">
        <f>Cover!A3</f>
        <v>Educational purposes only, no financial advice</v>
      </c>
    </row>
    <row r="8" spans="2:16" x14ac:dyDescent="0.2">
      <c r="E8" s="5" t="str">
        <f>Input!$E$8</f>
        <v>COIN</v>
      </c>
      <c r="P8" s="9"/>
    </row>
    <row r="9" spans="2:16" x14ac:dyDescent="0.2">
      <c r="E9" s="10" t="str">
        <f>+Input!$E$14</f>
        <v>$m</v>
      </c>
      <c r="F9" s="27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ht="3" customHeight="1" x14ac:dyDescent="0.2"/>
    <row r="11" spans="2:16" x14ac:dyDescent="0.2">
      <c r="E11" s="5" t="s">
        <v>113</v>
      </c>
      <c r="F11" s="17">
        <v>50752</v>
      </c>
      <c r="G11" s="41"/>
      <c r="H11" s="41">
        <v>45787</v>
      </c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E12" s="13" t="s">
        <v>30</v>
      </c>
      <c r="F12" s="16">
        <f>Historical!S74*-1</f>
        <v>-10276.223</v>
      </c>
      <c r="G12" s="42"/>
      <c r="H12" s="42" t="s">
        <v>62</v>
      </c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E13" s="13" t="s">
        <v>114</v>
      </c>
      <c r="F13" s="16">
        <f>+Historical!S73</f>
        <v>4509.7</v>
      </c>
      <c r="G13" s="42"/>
      <c r="H13" s="42" t="s">
        <v>62</v>
      </c>
      <c r="I13" s="16"/>
      <c r="J13" s="16"/>
      <c r="K13" s="16"/>
      <c r="L13" s="16"/>
      <c r="M13" s="16"/>
      <c r="N13" s="16"/>
      <c r="O13" s="16"/>
      <c r="P13" s="16"/>
    </row>
    <row r="14" spans="2:16" x14ac:dyDescent="0.2">
      <c r="E14" s="5" t="s">
        <v>115</v>
      </c>
      <c r="F14" s="17">
        <f>SUM(F11:F13)</f>
        <v>44985.476999999999</v>
      </c>
      <c r="G14" s="42"/>
      <c r="H14" s="42"/>
      <c r="I14" s="16"/>
      <c r="J14" s="16"/>
      <c r="K14" s="16"/>
      <c r="L14" s="16"/>
      <c r="M14" s="16"/>
      <c r="N14" s="16"/>
      <c r="O14" s="16"/>
      <c r="P14" s="16"/>
    </row>
    <row r="15" spans="2:16" x14ac:dyDescent="0.2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x14ac:dyDescent="0.2">
      <c r="E16" t="s">
        <v>128</v>
      </c>
      <c r="F16" s="43">
        <f>+F11/Historical!I38</f>
        <v>19.678441730455905</v>
      </c>
      <c r="G16" s="42"/>
      <c r="H16" s="42"/>
      <c r="I16" s="16"/>
      <c r="J16" s="16"/>
      <c r="K16" s="16"/>
      <c r="L16" s="16"/>
      <c r="M16" s="16"/>
      <c r="N16" s="16"/>
      <c r="O16" s="16"/>
      <c r="P16" s="16"/>
    </row>
    <row r="17" spans="5:16" x14ac:dyDescent="0.2">
      <c r="E17" t="s">
        <v>129</v>
      </c>
      <c r="F17" s="43">
        <f>+F11/Historical!I72</f>
        <v>4.938482074551696</v>
      </c>
      <c r="G17" s="42"/>
      <c r="H17" s="42"/>
      <c r="I17" s="16"/>
      <c r="J17" s="16"/>
      <c r="K17" s="16"/>
      <c r="L17" s="16"/>
      <c r="M17" s="16"/>
      <c r="N17" s="16"/>
      <c r="O17" s="16"/>
      <c r="P17" s="16"/>
    </row>
    <row r="18" spans="5:16" x14ac:dyDescent="0.2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5:16" x14ac:dyDescent="0.2">
      <c r="E19" s="5" t="str">
        <f>Input!$E$8&amp;" - DDM valuation"</f>
        <v>COIN - DDM valuation</v>
      </c>
      <c r="P19" s="9"/>
    </row>
    <row r="20" spans="5:16" x14ac:dyDescent="0.2">
      <c r="E20" s="10" t="str">
        <f>+Input!$E$14</f>
        <v>$m</v>
      </c>
      <c r="F20" s="44" t="s">
        <v>116</v>
      </c>
      <c r="G20" s="44" t="s">
        <v>117</v>
      </c>
      <c r="H20" s="44" t="s">
        <v>118</v>
      </c>
      <c r="I20" s="44" t="s">
        <v>119</v>
      </c>
      <c r="J20" s="44" t="s">
        <v>120</v>
      </c>
      <c r="K20" s="45" t="s">
        <v>49</v>
      </c>
      <c r="L20" s="16"/>
      <c r="M20" s="16"/>
      <c r="N20" s="16"/>
      <c r="O20" s="16"/>
      <c r="P20" s="16"/>
    </row>
    <row r="21" spans="5:16" ht="3" customHeight="1" x14ac:dyDescent="0.2"/>
    <row r="22" spans="5:16" x14ac:dyDescent="0.2">
      <c r="E22" s="5" t="s">
        <v>25</v>
      </c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</row>
    <row r="23" spans="5:16" x14ac:dyDescent="0.2">
      <c r="E23" t="s">
        <v>121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/>
      <c r="L23" s="16"/>
      <c r="M23" s="16" t="s">
        <v>122</v>
      </c>
      <c r="N23" s="16"/>
      <c r="O23" s="16"/>
      <c r="P23" s="16"/>
    </row>
    <row r="24" spans="5:16" x14ac:dyDescent="0.2">
      <c r="E24" s="5" t="s">
        <v>123</v>
      </c>
      <c r="F24" s="46">
        <f>SUM(F22:F23)</f>
        <v>0</v>
      </c>
      <c r="G24" s="46">
        <f t="shared" ref="G24:K24" si="0">SUM(G22:G23)</f>
        <v>0</v>
      </c>
      <c r="H24" s="46">
        <f t="shared" si="0"/>
        <v>0</v>
      </c>
      <c r="I24" s="46">
        <f t="shared" si="0"/>
        <v>0</v>
      </c>
      <c r="J24" s="46">
        <f t="shared" si="0"/>
        <v>0</v>
      </c>
      <c r="K24" s="46">
        <f t="shared" si="0"/>
        <v>0</v>
      </c>
      <c r="L24" s="16"/>
      <c r="M24" s="16"/>
      <c r="N24" s="16"/>
      <c r="O24" s="16"/>
      <c r="P24" s="16"/>
    </row>
    <row r="25" spans="5:16" outlineLevel="1" x14ac:dyDescent="0.2">
      <c r="E25" t="s">
        <v>54</v>
      </c>
      <c r="F25" s="47">
        <f>+Input!E22</f>
        <v>0</v>
      </c>
      <c r="G25" s="47">
        <f>F25</f>
        <v>0</v>
      </c>
      <c r="H25" s="47">
        <f t="shared" ref="H25:K27" si="1">G25</f>
        <v>0</v>
      </c>
      <c r="I25" s="47">
        <f t="shared" si="1"/>
        <v>0</v>
      </c>
      <c r="J25" s="47">
        <f t="shared" si="1"/>
        <v>0</v>
      </c>
      <c r="K25" s="47">
        <f t="shared" si="1"/>
        <v>0</v>
      </c>
      <c r="L25" s="16"/>
      <c r="M25" s="16"/>
      <c r="N25" s="16"/>
      <c r="O25" s="16"/>
      <c r="P25" s="16"/>
    </row>
    <row r="26" spans="5:16" outlineLevel="1" x14ac:dyDescent="0.2">
      <c r="E26" t="s">
        <v>56</v>
      </c>
      <c r="F26" s="38">
        <f>+Input!E24</f>
        <v>0</v>
      </c>
      <c r="G26" s="38">
        <f>F26</f>
        <v>0</v>
      </c>
      <c r="H26" s="38">
        <f t="shared" si="1"/>
        <v>0</v>
      </c>
      <c r="I26" s="38">
        <f t="shared" si="1"/>
        <v>0</v>
      </c>
      <c r="J26" s="38">
        <f t="shared" si="1"/>
        <v>0</v>
      </c>
      <c r="K26" s="38">
        <f t="shared" si="1"/>
        <v>0</v>
      </c>
      <c r="L26" s="16"/>
      <c r="M26" s="16"/>
      <c r="N26" s="16"/>
      <c r="O26" s="16"/>
      <c r="P26" s="16"/>
    </row>
    <row r="27" spans="5:16" outlineLevel="1" x14ac:dyDescent="0.2">
      <c r="E27" t="s">
        <v>55</v>
      </c>
      <c r="F27" s="47">
        <f>+Input!E23</f>
        <v>0</v>
      </c>
      <c r="G27" s="47">
        <f>F27</f>
        <v>0</v>
      </c>
      <c r="H27" s="47">
        <f t="shared" si="1"/>
        <v>0</v>
      </c>
      <c r="I27" s="47">
        <f t="shared" si="1"/>
        <v>0</v>
      </c>
      <c r="J27" s="47">
        <f t="shared" si="1"/>
        <v>0</v>
      </c>
      <c r="K27" s="47">
        <f t="shared" si="1"/>
        <v>0</v>
      </c>
      <c r="L27" s="16"/>
      <c r="M27" s="16"/>
      <c r="N27" s="16"/>
      <c r="O27" s="16"/>
      <c r="P27" s="16"/>
    </row>
    <row r="28" spans="5:16" outlineLevel="1" x14ac:dyDescent="0.2">
      <c r="E28" t="s">
        <v>58</v>
      </c>
      <c r="F28" s="47">
        <f>+Input!E25</f>
        <v>0</v>
      </c>
      <c r="G28" s="47">
        <f t="shared" ref="G28:K28" si="2">F28</f>
        <v>0</v>
      </c>
      <c r="H28" s="47">
        <f t="shared" si="2"/>
        <v>0</v>
      </c>
      <c r="I28" s="47">
        <f t="shared" si="2"/>
        <v>0</v>
      </c>
      <c r="J28" s="47">
        <f t="shared" si="2"/>
        <v>0</v>
      </c>
      <c r="K28" s="47">
        <f t="shared" si="2"/>
        <v>0</v>
      </c>
      <c r="L28" s="16"/>
      <c r="M28" s="16"/>
      <c r="N28" s="16"/>
      <c r="O28" s="16"/>
      <c r="P28" s="16"/>
    </row>
    <row r="29" spans="5:16" outlineLevel="1" x14ac:dyDescent="0.2">
      <c r="E29" t="s">
        <v>124</v>
      </c>
      <c r="F29" s="47">
        <f>F26*F27+F28</f>
        <v>0</v>
      </c>
      <c r="G29" s="47">
        <f t="shared" ref="G29:K29" si="3">G26*G27+G28</f>
        <v>0</v>
      </c>
      <c r="H29" s="47">
        <f t="shared" si="3"/>
        <v>0</v>
      </c>
      <c r="I29" s="47">
        <f t="shared" si="3"/>
        <v>0</v>
      </c>
      <c r="J29" s="47">
        <f t="shared" si="3"/>
        <v>0</v>
      </c>
      <c r="K29" s="47">
        <f t="shared" si="3"/>
        <v>0</v>
      </c>
      <c r="L29" s="47"/>
      <c r="M29" s="16"/>
      <c r="N29" s="16"/>
      <c r="O29" s="16"/>
      <c r="P29" s="16"/>
    </row>
    <row r="30" spans="5:16" outlineLevel="1" x14ac:dyDescent="0.2">
      <c r="E30" t="s">
        <v>51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f>+Input!K18*-1</f>
        <v>-0.01</v>
      </c>
      <c r="L30" s="16"/>
      <c r="M30" s="16"/>
      <c r="N30" s="16"/>
      <c r="O30" s="16"/>
      <c r="P30" s="16"/>
    </row>
    <row r="31" spans="5:16" outlineLevel="1" x14ac:dyDescent="0.2">
      <c r="E31" t="s">
        <v>53</v>
      </c>
      <c r="F31" s="47">
        <f>F29+F25+F30</f>
        <v>0</v>
      </c>
      <c r="G31" s="47">
        <f t="shared" ref="G31:K31" si="4">G29+G25+G30</f>
        <v>0</v>
      </c>
      <c r="H31" s="47">
        <f t="shared" si="4"/>
        <v>0</v>
      </c>
      <c r="I31" s="47">
        <f t="shared" si="4"/>
        <v>0</v>
      </c>
      <c r="J31" s="47">
        <f t="shared" si="4"/>
        <v>0</v>
      </c>
      <c r="K31" s="47">
        <f t="shared" si="4"/>
        <v>-0.01</v>
      </c>
      <c r="L31" s="16"/>
      <c r="M31" s="16"/>
      <c r="N31" s="16"/>
      <c r="O31" s="16"/>
      <c r="P31" s="16"/>
    </row>
    <row r="32" spans="5:16" x14ac:dyDescent="0.2">
      <c r="E32" t="s">
        <v>125</v>
      </c>
      <c r="F32" s="38">
        <f>1/(1+F31)^1</f>
        <v>1</v>
      </c>
      <c r="G32" s="38">
        <f>F32/(1+G31)^1</f>
        <v>1</v>
      </c>
      <c r="H32" s="38">
        <f t="shared" ref="H32:J32" si="5">G32/(1+H31)^1</f>
        <v>1</v>
      </c>
      <c r="I32" s="38">
        <f t="shared" si="5"/>
        <v>1</v>
      </c>
      <c r="J32" s="38">
        <f t="shared" si="5"/>
        <v>1</v>
      </c>
      <c r="K32" s="38">
        <f>J32/K31</f>
        <v>-100</v>
      </c>
      <c r="L32" s="16"/>
      <c r="M32" s="16"/>
      <c r="N32" s="16"/>
      <c r="O32" s="16"/>
      <c r="P32" s="16"/>
    </row>
    <row r="33" spans="5:16" x14ac:dyDescent="0.2">
      <c r="E33" s="5" t="s">
        <v>126</v>
      </c>
      <c r="F33" s="17">
        <f>F24*F32</f>
        <v>0</v>
      </c>
      <c r="G33" s="17">
        <f t="shared" ref="G33:K33" si="6">G24*G32</f>
        <v>0</v>
      </c>
      <c r="H33" s="17">
        <f t="shared" si="6"/>
        <v>0</v>
      </c>
      <c r="I33" s="17">
        <f t="shared" si="6"/>
        <v>0</v>
      </c>
      <c r="J33" s="17">
        <f t="shared" si="6"/>
        <v>0</v>
      </c>
      <c r="K33" s="17">
        <f t="shared" si="6"/>
        <v>0</v>
      </c>
      <c r="L33" s="16"/>
      <c r="M33" s="16"/>
      <c r="N33" s="16"/>
      <c r="O33" s="16"/>
      <c r="P33" s="16"/>
    </row>
    <row r="34" spans="5:16" x14ac:dyDescent="0.2">
      <c r="E34" s="5" t="s">
        <v>127</v>
      </c>
      <c r="F34" s="17">
        <f>SUM(F33:K33)</f>
        <v>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5:16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5:16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5:16" x14ac:dyDescent="0.2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5:16" x14ac:dyDescent="0.2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5:16" x14ac:dyDescent="0.2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5:16" x14ac:dyDescent="0.2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5:16" x14ac:dyDescent="0.2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5:16" x14ac:dyDescent="0.2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5:16" x14ac:dyDescent="0.2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5:16" x14ac:dyDescent="0.2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5:16" x14ac:dyDescent="0.2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5:16" x14ac:dyDescent="0.2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5:16" x14ac:dyDescent="0.2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5:16" x14ac:dyDescent="0.2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6:16" x14ac:dyDescent="0.2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6:16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6:16" x14ac:dyDescent="0.2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6:16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6:16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6:16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6:16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6:16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6:16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6:16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6:16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6:16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6:16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6:16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6:16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6:16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6:16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6:16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6:16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6:16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6:16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6:16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6:16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6:16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6:16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6:16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6:16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6:16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6:16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6:16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6:16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6:16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6:16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6:16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6:16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6:16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6:16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6:16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6:16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6:16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6:16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6:16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6:16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6:16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6:16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6:16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6:16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6:16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6:16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6:16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6:16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6:16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6:16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6:16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6:16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6:16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6:16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6:16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6:16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6:16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6:16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6:16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6:16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6:16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6:16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6:16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6:16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6:16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6:16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6:16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6:16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6:16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6:16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6:16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6:16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6:16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6:16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6:16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6:16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6:16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6:16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6:16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6:16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6:16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6:16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6:16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6:16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6:16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6:16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6:16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6:16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6:16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6:16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6:16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6:16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6:16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6:16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6:16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6:16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6:16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6:16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6:16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6:16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6:16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6:16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6:16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6:16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6:16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6:16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6:16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6:16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6:16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6:16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6:16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6:16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6:16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6:16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6:16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6:16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6:16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6:16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6:16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6:16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6:16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6:16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6:16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6:16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6:16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6:16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6:16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6:16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6:16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6:16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6:16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6:16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6:16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6:16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6:16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6:16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6:16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6:16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6:16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6:16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6:16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6:16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6:16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6:16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6:16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6:16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6:16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6:16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6:16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6:16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6:16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6:16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6:16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6:16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6:16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6:16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6:16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6:16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6:16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6:16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6:16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6:16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6:16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6:16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6:16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6:16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6:16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6:16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6:16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6:16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6:16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6:16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6:16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6:16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6:16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6:16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6:16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6:16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6:16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6:16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6:16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6:16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6:16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6:16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6:16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6:16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6:16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6:16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6:16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6:16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6:16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6:16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6:16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6:16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6:16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6:16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6:16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6:16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6:16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6:16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6:16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6:16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6:16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6:16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6:16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6:16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6:16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6:16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6:16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6:16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6:16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6:16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6:16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6:16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6:16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6:16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6:16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6:16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6:16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6:16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6:16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6:16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6:16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6:16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6:16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6:16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6:16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6:16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6:16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6:16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6:16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6:16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6:16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6:16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6:16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6:16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6:16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6:16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6:16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6:16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6:16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6:16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6:16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6:16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6:16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6:16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6:16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6:16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6:16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6:16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6:16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6:16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6:16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6:16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6:16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6:16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6:16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6:16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6:16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6:16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6:16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6:16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6:16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6:16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6:16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6:16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6:16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6:16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6:16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6:16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6:16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6:16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6:16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6:16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6:16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6:16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6:16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6:16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6:16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6:16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6:16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6:16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6:16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6:16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6:16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6:16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6:16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6:16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6:16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6:16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6:16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6:16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6:16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6:16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6:16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6:16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6:16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6:16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6:16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6:16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6:16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6:16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6:16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6:16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6:16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6:16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6:16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6:16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6:16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6:16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6:16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6:16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6:16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6:16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6:16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6:16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6:16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6:16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6:16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6:16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6:16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6:16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6:16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6:16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6:16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6:16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6:16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6:16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6:16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6:16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6:16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6:16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6:16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6:16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6:16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6:16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6:16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6:16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6:16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6:16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6:16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6:16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6:16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6:16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6:16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6:16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6:16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6:16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6:16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6:16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6:16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6:16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6:16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6:16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6:16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6:16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6:16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6:16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6:16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6:16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6:16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6:16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6:16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6:16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6:16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6:16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6:16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6:16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6:16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6:16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6:16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6:16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6:16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6:16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6:16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6:16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6:16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6:16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6:16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6:16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6:16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6:16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6:16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6:16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6:16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6:16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6:16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6:16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6:16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6:16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6:16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6:16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6:16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6:16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6:16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6:16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6:16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6:16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6:16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6:16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6:16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6:16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6:16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6:16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6:16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6:16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6:16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6:16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6:16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6:16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6:16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6:16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6:16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6:16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6:16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6:16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6:16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6:16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6:16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6:16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6:16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6:16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6:16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6:16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6:16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6:16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6:16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6:16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6:16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6:16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6:16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6:16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6:16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6:16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6:16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6:16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6:16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6:16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6:16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6:16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6:16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6:16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6:16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6:16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6:16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6:16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6:16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6:16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6:16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6:16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6:16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6:16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6:16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6:16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6:16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6:16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6:16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6:16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6:16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6:16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6:16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6:16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6:16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6:16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6:16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6:16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6:16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6:16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6:16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6:16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6:16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6:16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6:16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6:16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6:16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6:16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6:16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6:16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6:16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6:16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6:16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6:16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6:16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6:16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6:16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6:16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6:16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6:16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6:16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6:16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6:16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6:16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6:16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6:16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6:16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6:16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6:16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6:16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6:16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6:16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6:16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6:16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6:16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6:16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6:16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6:16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6:16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6:16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6:16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6:16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6:16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6:16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6:16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6:16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6:16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6:16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6:16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6:16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6:16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6:16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6:16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6:16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6:16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6:16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6:16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6:16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6:16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6:16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6:16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6:16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6:16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6:16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6:16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6:16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6:16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6:16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6:16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6:16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6:16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6:16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6:16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6:16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6:16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6:16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6:16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6:16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6:16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6:16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6:16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6:16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6:16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6:16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6:16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6:16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6:16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6:16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6:16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6:16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6:16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6:16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6:16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6:16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6:16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6:16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6:16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6:16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6:16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6:16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6:16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6:16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6:16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6:16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6:16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6:16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6:16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6:16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6:16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6:16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6:16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6:16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6:16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6:16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6:16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6:16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6:16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6:16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6:16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6:16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6:16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6:16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6:16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6:16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6:16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6:16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6:16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6:16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6:16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6:16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6:16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6:16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6:16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6:16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6:16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6:16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6:16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6:16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6:16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6:16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6:16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6:16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6:16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6:16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6:16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6:16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6:16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6:16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6:16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6:16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6:16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6:16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6:16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6:16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6:16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6:16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6:16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6:16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6:16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6:16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6:16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6:16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6:16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6:16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6:16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6:16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6:16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6:16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6:16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6:16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6:16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6:16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6:16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6:16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6:16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6:16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6:16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6:16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6:16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6:16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6:16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6:16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6:16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6:16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6:16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</sheetData>
  <conditionalFormatting sqref="B2">
    <cfRule type="cellIs" dxfId="3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W780"/>
  <sheetViews>
    <sheetView showGridLines="0" tabSelected="1" topLeftCell="A16" zoomScale="115" zoomScaleNormal="115" workbookViewId="0">
      <selection activeCell="P40" sqref="P40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23" max="23" width="52.85546875" style="25" bestFit="1" customWidth="1"/>
  </cols>
  <sheetData>
    <row r="1" spans="2:23" s="8" customFormat="1" outlineLevel="1" x14ac:dyDescent="0.2">
      <c r="B1" s="8">
        <v>0.1</v>
      </c>
    </row>
    <row r="2" spans="2:23" s="8" customFormat="1" outlineLevel="1" x14ac:dyDescent="0.2">
      <c r="B2" s="15" t="b">
        <f>AND(C:C)</f>
        <v>1</v>
      </c>
    </row>
    <row r="3" spans="2:23" x14ac:dyDescent="0.2">
      <c r="D3" s="5" t="str">
        <f ca="1">MID(CELL("filename",D3),FIND("]",CELL("filename",D3))+1,256)</f>
        <v>Historical</v>
      </c>
    </row>
    <row r="4" spans="2:23" x14ac:dyDescent="0.2">
      <c r="D4" s="6" t="str">
        <f>Cover!$A$2</f>
        <v>Indicative valuation of Coinbase Global, Inc.: Public information</v>
      </c>
    </row>
    <row r="5" spans="2:23" x14ac:dyDescent="0.2">
      <c r="D5" s="6" t="str">
        <f>Cover!$A$3</f>
        <v>Educational purposes only, no financial advice</v>
      </c>
    </row>
    <row r="6" spans="2:23" x14ac:dyDescent="0.2">
      <c r="S6" s="16"/>
    </row>
    <row r="8" spans="2:23" x14ac:dyDescent="0.2">
      <c r="E8" s="5" t="str">
        <f>Input!$E$8&amp;" - P&amp;L"</f>
        <v>COIN - P&amp;L</v>
      </c>
      <c r="I8" s="9"/>
      <c r="K8" s="9"/>
      <c r="L8" s="9"/>
      <c r="M8" s="9"/>
      <c r="N8" s="33" t="s">
        <v>110</v>
      </c>
      <c r="O8" s="5"/>
      <c r="P8" s="9"/>
      <c r="Q8" s="9"/>
      <c r="R8" s="33" t="s">
        <v>110</v>
      </c>
      <c r="S8" s="9"/>
      <c r="U8" s="29" t="s">
        <v>47</v>
      </c>
      <c r="W8" s="26" t="s">
        <v>42</v>
      </c>
    </row>
    <row r="9" spans="2:23" x14ac:dyDescent="0.2">
      <c r="E9" s="10" t="str">
        <f>+Input!$E$14</f>
        <v>$m</v>
      </c>
      <c r="F9" s="27" t="s">
        <v>46</v>
      </c>
      <c r="G9" s="27" t="s">
        <v>45</v>
      </c>
      <c r="H9" s="27" t="s">
        <v>44</v>
      </c>
      <c r="I9" s="27" t="s">
        <v>43</v>
      </c>
      <c r="K9" s="39" t="s">
        <v>109</v>
      </c>
      <c r="L9" s="39" t="s">
        <v>104</v>
      </c>
      <c r="M9" s="39" t="s">
        <v>103</v>
      </c>
      <c r="N9" s="39" t="s">
        <v>102</v>
      </c>
      <c r="O9" s="40" t="s">
        <v>95</v>
      </c>
      <c r="P9" s="40" t="s">
        <v>101</v>
      </c>
      <c r="Q9" s="40" t="s">
        <v>96</v>
      </c>
      <c r="R9" s="40" t="s">
        <v>94</v>
      </c>
      <c r="S9" s="27" t="s">
        <v>93</v>
      </c>
      <c r="U9" s="28" t="s">
        <v>48</v>
      </c>
    </row>
    <row r="10" spans="2:23" ht="3" customHeight="1" x14ac:dyDescent="0.2"/>
    <row r="11" spans="2:23" x14ac:dyDescent="0.2">
      <c r="E11" s="48" t="s">
        <v>132</v>
      </c>
      <c r="F11" s="16">
        <v>6490.9920000000002</v>
      </c>
      <c r="G11" s="16">
        <v>2236.9</v>
      </c>
      <c r="H11" s="16">
        <v>1334.018</v>
      </c>
      <c r="I11" s="16">
        <v>3430.3220000000001</v>
      </c>
      <c r="K11" s="16">
        <v>329.15199999999999</v>
      </c>
      <c r="L11" s="16">
        <v>288.971</v>
      </c>
      <c r="M11" s="16">
        <v>246.98</v>
      </c>
      <c r="N11" s="16">
        <f t="shared" ref="N11:N13" si="0">H11-SUM(K11:M11)</f>
        <v>468.91499999999996</v>
      </c>
      <c r="O11" s="16">
        <v>935.21199999999999</v>
      </c>
      <c r="P11" s="16">
        <v>664.77200000000005</v>
      </c>
      <c r="Q11" s="16">
        <v>483.26100000000002</v>
      </c>
      <c r="R11" s="16">
        <f t="shared" ref="R11:R13" si="1">I11-SUM(O11:Q11)</f>
        <v>1347.0770000000002</v>
      </c>
      <c r="S11" s="16">
        <v>1095.5060000000001</v>
      </c>
      <c r="U11" s="23">
        <f>IFERROR((I11/F11)^(1/3)-1,"n/a")</f>
        <v>-0.19151008876583597</v>
      </c>
    </row>
    <row r="12" spans="2:23" x14ac:dyDescent="0.2">
      <c r="E12" s="48" t="s">
        <v>133</v>
      </c>
      <c r="F12" s="16">
        <v>346.274</v>
      </c>
      <c r="G12" s="16">
        <v>119.34399999999999</v>
      </c>
      <c r="H12" s="16">
        <v>90.164000000000001</v>
      </c>
      <c r="I12" s="16">
        <v>345.59800000000001</v>
      </c>
      <c r="K12" s="16">
        <v>22.311</v>
      </c>
      <c r="L12" s="16">
        <v>17.061</v>
      </c>
      <c r="M12" s="16">
        <v>14.07</v>
      </c>
      <c r="N12" s="16">
        <f t="shared" si="0"/>
        <v>36.722000000000001</v>
      </c>
      <c r="O12" s="16">
        <v>85.391999999999996</v>
      </c>
      <c r="P12" s="16">
        <v>63.624000000000002</v>
      </c>
      <c r="Q12" s="16">
        <v>55.292999999999999</v>
      </c>
      <c r="R12" s="16">
        <f t="shared" si="1"/>
        <v>141.28900000000002</v>
      </c>
      <c r="S12" s="16">
        <v>98.888000000000005</v>
      </c>
      <c r="U12" s="23">
        <f t="shared" ref="U12:U21" si="2">IFERROR((I12/F12)^(1/3)-1,"n/a")</f>
        <v>-6.5116100350981476E-4</v>
      </c>
    </row>
    <row r="13" spans="2:23" x14ac:dyDescent="0.2">
      <c r="E13" s="48" t="s">
        <v>134</v>
      </c>
      <c r="F13" s="18">
        <v>0</v>
      </c>
      <c r="G13" s="18">
        <v>0</v>
      </c>
      <c r="H13" s="18">
        <v>95.471999999999994</v>
      </c>
      <c r="I13" s="18">
        <v>210.19300000000001</v>
      </c>
      <c r="K13" s="18">
        <v>23.25</v>
      </c>
      <c r="L13" s="18">
        <v>21.065999999999999</v>
      </c>
      <c r="M13" s="18">
        <v>27.524999999999999</v>
      </c>
      <c r="N13" s="18">
        <f t="shared" si="0"/>
        <v>23.630999999999986</v>
      </c>
      <c r="O13" s="18">
        <v>56.137</v>
      </c>
      <c r="P13" s="18">
        <v>52.506</v>
      </c>
      <c r="Q13" s="18">
        <v>33.950000000000003</v>
      </c>
      <c r="R13" s="18">
        <f t="shared" si="1"/>
        <v>67.599999999999994</v>
      </c>
      <c r="S13" s="18">
        <v>67.813999999999993</v>
      </c>
      <c r="U13" s="23" t="str">
        <f t="shared" si="2"/>
        <v>n/a</v>
      </c>
    </row>
    <row r="14" spans="2:23" x14ac:dyDescent="0.2">
      <c r="E14" s="13" t="s">
        <v>131</v>
      </c>
      <c r="F14" s="16">
        <f t="shared" ref="F14" si="3">SUM(F11:F13)</f>
        <v>6837.2660000000005</v>
      </c>
      <c r="G14" s="16">
        <f t="shared" ref="G14" si="4">SUM(G11:G13)</f>
        <v>2356.2440000000001</v>
      </c>
      <c r="H14" s="16">
        <f t="shared" ref="H14" si="5">SUM(H11:H13)</f>
        <v>1519.654</v>
      </c>
      <c r="I14" s="16">
        <f t="shared" ref="I14" si="6">SUM(I11:I13)</f>
        <v>3986.1130000000003</v>
      </c>
      <c r="K14" s="16">
        <f t="shared" ref="K14:R14" si="7">SUM(K11:K13)</f>
        <v>374.71299999999997</v>
      </c>
      <c r="L14" s="16">
        <f t="shared" si="7"/>
        <v>327.09799999999996</v>
      </c>
      <c r="M14" s="16">
        <f t="shared" si="7"/>
        <v>288.57499999999999</v>
      </c>
      <c r="N14" s="16">
        <f t="shared" si="7"/>
        <v>529.26799999999992</v>
      </c>
      <c r="O14" s="16">
        <f t="shared" si="7"/>
        <v>1076.741</v>
      </c>
      <c r="P14" s="16">
        <f t="shared" si="7"/>
        <v>780.90200000000004</v>
      </c>
      <c r="Q14" s="16">
        <f t="shared" si="7"/>
        <v>572.50400000000002</v>
      </c>
      <c r="R14" s="16">
        <f t="shared" si="7"/>
        <v>1555.9660000000001</v>
      </c>
      <c r="S14" s="16">
        <f>SUM(S11:S13)</f>
        <v>1262.2080000000001</v>
      </c>
      <c r="U14" s="23">
        <f t="shared" si="2"/>
        <v>-0.16461044041852402</v>
      </c>
    </row>
    <row r="15" spans="2:23" x14ac:dyDescent="0.2">
      <c r="E15" s="48" t="s">
        <v>135</v>
      </c>
      <c r="F15" s="16">
        <v>9.8819999999999997</v>
      </c>
      <c r="G15" s="16">
        <v>245.71</v>
      </c>
      <c r="H15" s="16">
        <v>694.24699999999996</v>
      </c>
      <c r="I15" s="16">
        <v>910.46400000000006</v>
      </c>
      <c r="K15" s="16">
        <v>198.898</v>
      </c>
      <c r="L15" s="16">
        <v>151.39400000000001</v>
      </c>
      <c r="M15" s="16">
        <v>172.357</v>
      </c>
      <c r="N15" s="16">
        <f t="shared" ref="N15:N19" si="8">H15-SUM(K15:M15)</f>
        <v>171.59799999999996</v>
      </c>
      <c r="O15" s="16">
        <v>197.31700000000001</v>
      </c>
      <c r="P15" s="16">
        <v>240.43600000000001</v>
      </c>
      <c r="Q15" s="16">
        <v>246.85599999999999</v>
      </c>
      <c r="R15" s="16">
        <f t="shared" ref="R15:R18" si="9">I15-SUM(O15:Q15)</f>
        <v>225.85500000000002</v>
      </c>
      <c r="S15" s="16">
        <v>297.53500000000003</v>
      </c>
      <c r="U15" s="23">
        <f t="shared" si="2"/>
        <v>3.5165412003394803</v>
      </c>
    </row>
    <row r="16" spans="2:23" x14ac:dyDescent="0.2">
      <c r="E16" s="48" t="s">
        <v>136</v>
      </c>
      <c r="F16" s="16">
        <v>223.05500000000001</v>
      </c>
      <c r="G16" s="16">
        <v>275.50700000000001</v>
      </c>
      <c r="H16" s="16">
        <v>330.88499999999999</v>
      </c>
      <c r="I16" s="16">
        <v>705.75699999999995</v>
      </c>
      <c r="K16" s="16">
        <v>73.748999999999995</v>
      </c>
      <c r="L16" s="16">
        <v>87.613</v>
      </c>
      <c r="M16" s="16">
        <v>74.460999999999999</v>
      </c>
      <c r="N16" s="16">
        <f t="shared" si="8"/>
        <v>95.062000000000012</v>
      </c>
      <c r="O16" s="16">
        <v>150.929</v>
      </c>
      <c r="P16" s="16">
        <v>185.13900000000001</v>
      </c>
      <c r="Q16" s="16">
        <v>154.815</v>
      </c>
      <c r="R16" s="16">
        <f t="shared" si="9"/>
        <v>214.87399999999997</v>
      </c>
      <c r="S16" s="16">
        <v>196.59200000000001</v>
      </c>
      <c r="U16" s="23">
        <f t="shared" si="2"/>
        <v>0.46807331238642602</v>
      </c>
    </row>
    <row r="17" spans="5:21" x14ac:dyDescent="0.2">
      <c r="E17" s="48" t="s">
        <v>137</v>
      </c>
      <c r="F17" s="16">
        <v>15.952999999999999</v>
      </c>
      <c r="G17" s="16">
        <v>81.245999999999995</v>
      </c>
      <c r="H17" s="16">
        <v>186.685</v>
      </c>
      <c r="I17" s="16">
        <v>265.79899999999998</v>
      </c>
      <c r="K17" s="16">
        <v>43.313000000000002</v>
      </c>
      <c r="L17" s="16">
        <v>51.932000000000002</v>
      </c>
      <c r="M17" s="16">
        <v>42.517000000000003</v>
      </c>
      <c r="N17" s="16">
        <f t="shared" si="8"/>
        <v>48.923000000000002</v>
      </c>
      <c r="O17" s="16">
        <v>66.662999999999997</v>
      </c>
      <c r="P17" s="16">
        <v>69.400000000000006</v>
      </c>
      <c r="Q17" s="16">
        <v>63.987000000000002</v>
      </c>
      <c r="R17" s="16">
        <f t="shared" si="9"/>
        <v>65.748999999999995</v>
      </c>
      <c r="S17" s="16">
        <v>63.085999999999999</v>
      </c>
      <c r="U17" s="23">
        <f t="shared" si="2"/>
        <v>1.554094680148129</v>
      </c>
    </row>
    <row r="18" spans="5:21" x14ac:dyDescent="0.2">
      <c r="E18" s="48" t="s">
        <v>140</v>
      </c>
      <c r="F18" s="16">
        <v>136.29300000000001</v>
      </c>
      <c r="G18" s="16">
        <v>79.846999999999994</v>
      </c>
      <c r="H18" s="16">
        <v>69.501000000000005</v>
      </c>
      <c r="I18" s="16">
        <v>141.70599999999999</v>
      </c>
      <c r="K18" s="16">
        <v>17.042999999999999</v>
      </c>
      <c r="L18" s="16">
        <v>16.992000000000001</v>
      </c>
      <c r="M18" s="16">
        <v>15.805</v>
      </c>
      <c r="N18" s="16">
        <f t="shared" si="8"/>
        <v>19.661000000000008</v>
      </c>
      <c r="O18" s="16">
        <v>32.341000000000001</v>
      </c>
      <c r="P18" s="16">
        <v>34.505000000000003</v>
      </c>
      <c r="Q18" s="16">
        <v>31.722999999999999</v>
      </c>
      <c r="R18" s="16">
        <f t="shared" si="9"/>
        <v>43.136999999999986</v>
      </c>
      <c r="S18" s="50"/>
      <c r="U18" s="23">
        <f t="shared" si="2"/>
        <v>1.3067141465875398E-2</v>
      </c>
    </row>
    <row r="19" spans="5:21" x14ac:dyDescent="0.2">
      <c r="E19" s="48" t="s">
        <v>138</v>
      </c>
      <c r="F19" s="18">
        <v>132.304</v>
      </c>
      <c r="G19" s="18">
        <v>110.261</v>
      </c>
      <c r="H19" s="18">
        <v>125.568</v>
      </c>
      <c r="I19" s="18">
        <v>283.40699999999998</v>
      </c>
      <c r="K19" s="18">
        <v>28.681999999999999</v>
      </c>
      <c r="L19" s="18">
        <v>27.471</v>
      </c>
      <c r="M19" s="18">
        <v>29.289000000000001</v>
      </c>
      <c r="N19" s="18">
        <f t="shared" si="8"/>
        <v>40.125999999999991</v>
      </c>
      <c r="O19" s="18">
        <v>63.686</v>
      </c>
      <c r="P19" s="18">
        <v>69.56</v>
      </c>
      <c r="Q19" s="18">
        <v>58.712000000000003</v>
      </c>
      <c r="R19" s="18">
        <f t="shared" ref="R19:R37" si="10">I19-SUM(O19:Q19)</f>
        <v>91.448999999999955</v>
      </c>
      <c r="S19" s="51">
        <v>140.898</v>
      </c>
      <c r="U19" s="23">
        <f t="shared" si="2"/>
        <v>0.28907800841725306</v>
      </c>
    </row>
    <row r="20" spans="5:21" x14ac:dyDescent="0.2">
      <c r="E20" s="13" t="s">
        <v>139</v>
      </c>
      <c r="F20" s="16">
        <f>SUM(F15:F19)</f>
        <v>517.48699999999997</v>
      </c>
      <c r="G20" s="16">
        <f>SUM(G15:G19)</f>
        <v>792.57099999999991</v>
      </c>
      <c r="H20" s="16">
        <f>SUM(H15:H19)</f>
        <v>1406.886</v>
      </c>
      <c r="I20" s="16">
        <f>SUM(I15:I19)</f>
        <v>2307.1329999999998</v>
      </c>
      <c r="K20" s="16">
        <f>SUM(K15:K19)</f>
        <v>361.685</v>
      </c>
      <c r="L20" s="16">
        <f>SUM(L15:L19)</f>
        <v>335.40200000000004</v>
      </c>
      <c r="M20" s="16">
        <f>SUM(M15:M19)</f>
        <v>334.42899999999997</v>
      </c>
      <c r="N20" s="16">
        <f>SUM(N15:N19)</f>
        <v>375.36999999999995</v>
      </c>
      <c r="O20" s="16">
        <f>SUM(O15:O19)</f>
        <v>510.93599999999998</v>
      </c>
      <c r="P20" s="16">
        <f>SUM(P15:P19)</f>
        <v>599.04</v>
      </c>
      <c r="Q20" s="16">
        <f>SUM(Q15:Q19)</f>
        <v>556.09300000000007</v>
      </c>
      <c r="R20" s="16">
        <f>SUM(R15:R19)</f>
        <v>641.06399999999985</v>
      </c>
      <c r="S20" s="16">
        <f>SUM(S15:S19)</f>
        <v>698.1110000000001</v>
      </c>
      <c r="U20" s="23">
        <f t="shared" si="2"/>
        <v>0.64585307160833261</v>
      </c>
    </row>
    <row r="21" spans="5:21" x14ac:dyDescent="0.2">
      <c r="E21" s="13" t="s">
        <v>141</v>
      </c>
      <c r="F21" s="18">
        <v>484.69099999999997</v>
      </c>
      <c r="G21" s="18">
        <v>45.393000000000001</v>
      </c>
      <c r="H21" s="18">
        <v>181.84299999999999</v>
      </c>
      <c r="I21" s="18">
        <v>270.78199999999998</v>
      </c>
      <c r="K21" s="18">
        <v>36.131</v>
      </c>
      <c r="L21" s="18">
        <v>45.411000000000001</v>
      </c>
      <c r="M21" s="18">
        <v>51.143999999999998</v>
      </c>
      <c r="N21" s="18">
        <f t="shared" ref="N21:N37" si="11">H21-SUM(K21:M21)</f>
        <v>49.156999999999982</v>
      </c>
      <c r="O21" s="18">
        <v>49.893000000000001</v>
      </c>
      <c r="P21" s="18">
        <v>69.686000000000007</v>
      </c>
      <c r="Q21" s="18">
        <v>76.596000000000004</v>
      </c>
      <c r="R21" s="18">
        <f t="shared" si="10"/>
        <v>74.606999999999971</v>
      </c>
      <c r="S21" s="18">
        <v>73.975999999999999</v>
      </c>
      <c r="U21" s="23">
        <f t="shared" si="2"/>
        <v>-0.17639631956973301</v>
      </c>
    </row>
    <row r="22" spans="5:21" x14ac:dyDescent="0.2">
      <c r="E22" s="14" t="s">
        <v>80</v>
      </c>
      <c r="F22" s="17">
        <f>SUM(F20:F21,F14)</f>
        <v>7839.4440000000004</v>
      </c>
      <c r="G22" s="17">
        <f>SUM(G20:G21,G14)</f>
        <v>3194.2080000000001</v>
      </c>
      <c r="H22" s="17">
        <f>SUM(H20:H21,H14)</f>
        <v>3108.3829999999998</v>
      </c>
      <c r="I22" s="17">
        <f>SUM(I20:I21,I14)</f>
        <v>6564.0280000000002</v>
      </c>
      <c r="K22" s="17">
        <f>SUM(K20:K21,K14)</f>
        <v>772.529</v>
      </c>
      <c r="L22" s="17">
        <f t="shared" ref="L22:S22" si="12">SUM(L20:L21,L14)</f>
        <v>707.91100000000006</v>
      </c>
      <c r="M22" s="17">
        <f t="shared" si="12"/>
        <v>674.14799999999991</v>
      </c>
      <c r="N22" s="17">
        <f t="shared" si="12"/>
        <v>953.79499999999985</v>
      </c>
      <c r="O22" s="17">
        <f t="shared" si="12"/>
        <v>1637.57</v>
      </c>
      <c r="P22" s="17">
        <f t="shared" si="12"/>
        <v>1449.6280000000002</v>
      </c>
      <c r="Q22" s="17">
        <f t="shared" si="12"/>
        <v>1205.1930000000002</v>
      </c>
      <c r="R22" s="17">
        <f t="shared" si="12"/>
        <v>2271.6369999999997</v>
      </c>
      <c r="S22" s="17">
        <f t="shared" si="12"/>
        <v>2034.2950000000001</v>
      </c>
      <c r="U22" s="30">
        <f>IFERROR((I22/F22)^(1/3)-1,"n/a")</f>
        <v>-5.7470277979168927E-2</v>
      </c>
    </row>
    <row r="23" spans="5:21" x14ac:dyDescent="0.2">
      <c r="E23" s="13" t="s">
        <v>71</v>
      </c>
      <c r="F23" s="16">
        <v>-1267.924</v>
      </c>
      <c r="G23" s="16">
        <v>-629.88</v>
      </c>
      <c r="H23" s="16">
        <v>-420.70499999999998</v>
      </c>
      <c r="I23" s="16">
        <v>-897.70699999999999</v>
      </c>
      <c r="K23" s="16">
        <v>-96.369</v>
      </c>
      <c r="L23" s="16">
        <v>-108.2</v>
      </c>
      <c r="M23" s="16">
        <v>-90.576999999999998</v>
      </c>
      <c r="N23" s="16">
        <f t="shared" si="11"/>
        <v>-125.55899999999997</v>
      </c>
      <c r="O23" s="16">
        <v>-217.40700000000001</v>
      </c>
      <c r="P23" s="16">
        <v>-191.477</v>
      </c>
      <c r="Q23" s="16">
        <v>-171.78100000000001</v>
      </c>
      <c r="R23" s="16">
        <f t="shared" si="10"/>
        <v>-317.04200000000003</v>
      </c>
      <c r="S23" s="16">
        <v>-303.02600000000001</v>
      </c>
      <c r="U23" s="23">
        <f>IFERROR((I23/F23)^(1/3)-1,"n/a")</f>
        <v>-0.10872074872291071</v>
      </c>
    </row>
    <row r="24" spans="5:21" x14ac:dyDescent="0.2">
      <c r="E24" s="13" t="s">
        <v>72</v>
      </c>
      <c r="F24" s="16">
        <v>-1291.5609999999999</v>
      </c>
      <c r="G24" s="16">
        <v>-2326.3539999999998</v>
      </c>
      <c r="H24" s="16">
        <v>-1324.5409999999999</v>
      </c>
      <c r="I24" s="16">
        <v>-1468.252</v>
      </c>
      <c r="K24" s="16">
        <v>-358.03100000000001</v>
      </c>
      <c r="L24" s="16">
        <v>-320.66699999999997</v>
      </c>
      <c r="M24" s="16">
        <v>-322.75599999999997</v>
      </c>
      <c r="N24" s="16">
        <f t="shared" si="11"/>
        <v>-323.08699999999999</v>
      </c>
      <c r="O24" s="16">
        <v>-357.863</v>
      </c>
      <c r="P24" s="16">
        <v>-364.25799999999998</v>
      </c>
      <c r="Q24" s="16">
        <v>-377.44</v>
      </c>
      <c r="R24" s="16">
        <f t="shared" si="10"/>
        <v>-368.69100000000003</v>
      </c>
      <c r="S24" s="16">
        <v>-355.36799999999999</v>
      </c>
      <c r="U24" s="23">
        <f>IFERROR((I24/F24)^(1/3)-1,"n/a")</f>
        <v>4.3666858777077211E-2</v>
      </c>
    </row>
    <row r="25" spans="5:21" x14ac:dyDescent="0.2">
      <c r="E25" s="13" t="s">
        <v>73</v>
      </c>
      <c r="F25" s="16">
        <v>-663.68899999999996</v>
      </c>
      <c r="G25" s="16">
        <v>-510.089</v>
      </c>
      <c r="H25" s="16">
        <v>-332.31200000000001</v>
      </c>
      <c r="I25" s="16">
        <v>-654.44399999999996</v>
      </c>
      <c r="K25" s="16">
        <v>-63.975999999999999</v>
      </c>
      <c r="L25" s="16">
        <v>-83.852999999999994</v>
      </c>
      <c r="M25" s="16">
        <v>-78.177999999999997</v>
      </c>
      <c r="N25" s="16">
        <f t="shared" si="11"/>
        <v>-106.30500000000001</v>
      </c>
      <c r="O25" s="16">
        <v>-98.584999999999994</v>
      </c>
      <c r="P25" s="16">
        <v>-165.262</v>
      </c>
      <c r="Q25" s="16">
        <v>-164.77</v>
      </c>
      <c r="R25" s="16">
        <f t="shared" si="10"/>
        <v>-225.827</v>
      </c>
      <c r="S25" s="16">
        <v>-247.28299999999999</v>
      </c>
      <c r="U25" s="23">
        <f>IFERROR((I25/F25)^(1/3)-1,"n/a")</f>
        <v>-4.6649671056675501E-3</v>
      </c>
    </row>
    <row r="26" spans="5:21" x14ac:dyDescent="0.2">
      <c r="E26" s="13" t="s">
        <v>74</v>
      </c>
      <c r="F26" s="16">
        <v>-909.39200000000005</v>
      </c>
      <c r="G26" s="16">
        <v>-1600.586</v>
      </c>
      <c r="H26" s="16">
        <v>-1074.308</v>
      </c>
      <c r="I26" s="16">
        <v>-1300.2570000000001</v>
      </c>
      <c r="K26" s="16">
        <v>-248.761</v>
      </c>
      <c r="L26" s="16">
        <v>-258.988</v>
      </c>
      <c r="M26" s="16">
        <v>-252.63</v>
      </c>
      <c r="N26" s="16">
        <f t="shared" si="11"/>
        <v>-313.92899999999997</v>
      </c>
      <c r="O26" s="16">
        <v>-287.23599999999999</v>
      </c>
      <c r="P26" s="16">
        <v>-320.11500000000001</v>
      </c>
      <c r="Q26" s="16">
        <v>-330.387</v>
      </c>
      <c r="R26" s="16">
        <f t="shared" si="10"/>
        <v>-362.51900000000001</v>
      </c>
      <c r="S26" s="16">
        <v>-394.346</v>
      </c>
      <c r="U26" s="23">
        <f>IFERROR((I26/F26)^(1/3)-1,"n/a")</f>
        <v>0.12657304808481507</v>
      </c>
    </row>
    <row r="27" spans="5:21" x14ac:dyDescent="0.2">
      <c r="E27" s="13" t="s">
        <v>75</v>
      </c>
      <c r="F27" s="16">
        <v>0</v>
      </c>
      <c r="G27" s="16">
        <v>0</v>
      </c>
      <c r="H27" s="16">
        <v>0</v>
      </c>
      <c r="I27" s="16">
        <v>71.724999999999994</v>
      </c>
      <c r="K27" s="16">
        <v>0</v>
      </c>
      <c r="L27" s="16">
        <v>0</v>
      </c>
      <c r="M27" s="16">
        <v>0</v>
      </c>
      <c r="N27" s="16">
        <f t="shared" si="11"/>
        <v>0</v>
      </c>
      <c r="O27" s="16">
        <v>86.358000000000004</v>
      </c>
      <c r="P27" s="16">
        <v>-31.015999999999998</v>
      </c>
      <c r="Q27" s="16">
        <v>0.14199999999999999</v>
      </c>
      <c r="R27" s="16">
        <f t="shared" si="10"/>
        <v>16.240999999999985</v>
      </c>
      <c r="S27" s="16">
        <v>-34.365000000000002</v>
      </c>
      <c r="U27" s="23">
        <f>IFERROR((I27/F28)^(1/3)-1,"n/a")</f>
        <v>-1.7765600890436968</v>
      </c>
    </row>
    <row r="28" spans="5:21" x14ac:dyDescent="0.2">
      <c r="E28" s="13" t="s">
        <v>76</v>
      </c>
      <c r="F28" s="16">
        <v>-153.16</v>
      </c>
      <c r="G28" s="16">
        <v>-722.21100000000001</v>
      </c>
      <c r="H28" s="16">
        <v>34.674999999999997</v>
      </c>
      <c r="I28" s="16">
        <v>0</v>
      </c>
      <c r="K28" s="16">
        <v>-17.962</v>
      </c>
      <c r="L28" s="16">
        <v>8.0530000000000008</v>
      </c>
      <c r="M28" s="16">
        <v>-7.18</v>
      </c>
      <c r="N28" s="16">
        <f t="shared" si="11"/>
        <v>51.763999999999996</v>
      </c>
      <c r="O28" s="16">
        <v>0</v>
      </c>
      <c r="P28" s="16">
        <v>0</v>
      </c>
      <c r="Q28" s="16">
        <v>0</v>
      </c>
      <c r="R28" s="16">
        <f t="shared" si="10"/>
        <v>0</v>
      </c>
      <c r="S28" s="16">
        <v>0</v>
      </c>
      <c r="U28" s="23" t="str">
        <f>IFERROR((I28/#REF!)^(1/3)-1,"n/a")</f>
        <v>n/a</v>
      </c>
    </row>
    <row r="29" spans="5:21" x14ac:dyDescent="0.2">
      <c r="E29" s="13" t="s">
        <v>77</v>
      </c>
      <c r="F29" s="16">
        <v>0</v>
      </c>
      <c r="G29" s="16">
        <v>-40.703000000000003</v>
      </c>
      <c r="H29" s="16">
        <v>-142.59399999999999</v>
      </c>
      <c r="I29" s="16">
        <v>0</v>
      </c>
      <c r="K29" s="16">
        <v>-144.489</v>
      </c>
      <c r="L29" s="16">
        <v>1.0349999999999999</v>
      </c>
      <c r="M29" s="16">
        <v>0.86</v>
      </c>
      <c r="N29" s="16">
        <f t="shared" si="11"/>
        <v>0</v>
      </c>
      <c r="O29" s="16">
        <v>0</v>
      </c>
      <c r="P29" s="16">
        <v>0</v>
      </c>
      <c r="Q29" s="16">
        <v>0</v>
      </c>
      <c r="R29" s="16">
        <f t="shared" si="10"/>
        <v>0</v>
      </c>
      <c r="S29" s="16">
        <v>0</v>
      </c>
      <c r="U29" s="23" t="str">
        <f t="shared" ref="U29:U38" si="13">IFERROR((I29/F29)^(1/3)-1,"n/a")</f>
        <v>n/a</v>
      </c>
    </row>
    <row r="30" spans="5:21" x14ac:dyDescent="0.2">
      <c r="E30" s="13" t="s">
        <v>100</v>
      </c>
      <c r="F30" s="18">
        <v>-477.14800000000002</v>
      </c>
      <c r="G30" s="18">
        <v>-74.593000000000004</v>
      </c>
      <c r="H30" s="18">
        <v>-10.26</v>
      </c>
      <c r="I30" s="18">
        <v>-7.9329999999999998</v>
      </c>
      <c r="K30" s="18">
        <v>33.183999999999997</v>
      </c>
      <c r="L30" s="18">
        <v>-18.866</v>
      </c>
      <c r="M30" s="18">
        <v>-3.512</v>
      </c>
      <c r="N30" s="18">
        <f t="shared" si="11"/>
        <v>-21.065999999999995</v>
      </c>
      <c r="O30" s="18">
        <v>-2.3759999999999999</v>
      </c>
      <c r="P30" s="18">
        <v>-34.383000000000003</v>
      </c>
      <c r="Q30" s="18">
        <v>8.5559999999999992</v>
      </c>
      <c r="R30" s="18">
        <f t="shared" si="10"/>
        <v>20.270000000000003</v>
      </c>
      <c r="S30" s="18">
        <v>5.899</v>
      </c>
      <c r="U30" s="23">
        <f t="shared" si="13"/>
        <v>-0.74477211859552561</v>
      </c>
    </row>
    <row r="31" spans="5:21" x14ac:dyDescent="0.2">
      <c r="E31" s="14" t="s">
        <v>78</v>
      </c>
      <c r="F31" s="17">
        <f>SUM(F23:F30)</f>
        <v>-4762.8739999999998</v>
      </c>
      <c r="G31" s="17">
        <f>SUM(G23:G30)</f>
        <v>-5904.4160000000002</v>
      </c>
      <c r="H31" s="17">
        <f t="shared" ref="H31:I31" si="14">SUM(H23:H30)</f>
        <v>-3270.0450000000001</v>
      </c>
      <c r="I31" s="17">
        <f t="shared" si="14"/>
        <v>-4256.8679999999995</v>
      </c>
      <c r="J31" s="5"/>
      <c r="K31" s="17">
        <f t="shared" ref="K31" si="15">SUM(K23:K30)</f>
        <v>-896.404</v>
      </c>
      <c r="L31" s="17">
        <f t="shared" ref="L31:M31" si="16">SUM(L23:L30)</f>
        <v>-781.48599999999988</v>
      </c>
      <c r="M31" s="17">
        <f t="shared" si="16"/>
        <v>-753.97299999999984</v>
      </c>
      <c r="N31" s="17">
        <f t="shared" ref="N31" si="17">SUM(N23:N30)</f>
        <v>-838.18200000000002</v>
      </c>
      <c r="O31" s="17">
        <f t="shared" ref="O31:P31" si="18">SUM(O23:O30)</f>
        <v>-877.10899999999992</v>
      </c>
      <c r="P31" s="17">
        <f t="shared" si="18"/>
        <v>-1106.5110000000002</v>
      </c>
      <c r="Q31" s="17">
        <f t="shared" ref="Q31:S31" si="19">SUM(Q23:Q30)</f>
        <v>-1035.6799999999998</v>
      </c>
      <c r="R31" s="17">
        <f t="shared" si="19"/>
        <v>-1237.5680000000002</v>
      </c>
      <c r="S31" s="17">
        <f t="shared" si="19"/>
        <v>-1328.4890000000003</v>
      </c>
      <c r="U31" s="23">
        <f t="shared" si="13"/>
        <v>-3.6747014727023908E-2</v>
      </c>
    </row>
    <row r="32" spans="5:21" x14ac:dyDescent="0.2">
      <c r="E32" s="36" t="s">
        <v>83</v>
      </c>
      <c r="F32" s="18">
        <v>-20.463000000000001</v>
      </c>
      <c r="G32" s="18">
        <v>-265.47300000000001</v>
      </c>
      <c r="H32" s="18">
        <v>167.583</v>
      </c>
      <c r="I32" s="18">
        <v>29.074000000000002</v>
      </c>
      <c r="K32" s="18">
        <v>-20.265000000000001</v>
      </c>
      <c r="L32" s="18">
        <v>16.564</v>
      </c>
      <c r="M32" s="18">
        <v>135.30699999999999</v>
      </c>
      <c r="N32" s="18">
        <f t="shared" si="11"/>
        <v>35.977000000000004</v>
      </c>
      <c r="O32" s="18">
        <v>45.604999999999997</v>
      </c>
      <c r="P32" s="18">
        <v>-63.826999999999998</v>
      </c>
      <c r="Q32" s="18">
        <v>40.104999999999997</v>
      </c>
      <c r="R32" s="18">
        <f t="shared" si="10"/>
        <v>7.1910000000000061</v>
      </c>
      <c r="S32" s="18">
        <v>-6.1879999999999997</v>
      </c>
      <c r="U32" s="23">
        <f t="shared" si="13"/>
        <v>-2.1242040890623182</v>
      </c>
    </row>
    <row r="33" spans="5:21" x14ac:dyDescent="0.2">
      <c r="E33" s="5" t="s">
        <v>70</v>
      </c>
      <c r="F33" s="17">
        <f>SUM(F22,F31:F32)</f>
        <v>3056.1070000000004</v>
      </c>
      <c r="G33" s="17">
        <f t="shared" ref="G33:I33" si="20">SUM(G22,G31:G32)</f>
        <v>-2975.681</v>
      </c>
      <c r="H33" s="17">
        <f t="shared" si="20"/>
        <v>5.9209999999997365</v>
      </c>
      <c r="I33" s="17">
        <f t="shared" si="20"/>
        <v>2336.2340000000008</v>
      </c>
      <c r="K33" s="17">
        <f t="shared" ref="K33" si="21">SUM(K22,K31:K32)</f>
        <v>-144.13999999999999</v>
      </c>
      <c r="L33" s="17">
        <f t="shared" ref="L33:M33" si="22">SUM(L22,L31:L32)</f>
        <v>-57.010999999999818</v>
      </c>
      <c r="M33" s="17">
        <f t="shared" si="22"/>
        <v>55.482000000000056</v>
      </c>
      <c r="N33" s="17">
        <f t="shared" ref="N33" si="23">SUM(N22,N31:N32)</f>
        <v>151.58999999999983</v>
      </c>
      <c r="O33" s="17">
        <f t="shared" ref="O33:P33" si="24">SUM(O22,O31:O32)</f>
        <v>806.06600000000003</v>
      </c>
      <c r="P33" s="17">
        <f t="shared" si="24"/>
        <v>279.28999999999996</v>
      </c>
      <c r="Q33" s="17">
        <f t="shared" ref="Q33:S33" si="25">SUM(Q22,Q31:Q32)</f>
        <v>209.61800000000036</v>
      </c>
      <c r="R33" s="17">
        <f t="shared" si="25"/>
        <v>1041.2599999999995</v>
      </c>
      <c r="S33" s="17">
        <f t="shared" si="25"/>
        <v>699.61799999999982</v>
      </c>
      <c r="U33" s="30">
        <f t="shared" si="13"/>
        <v>-8.5642717665108004E-2</v>
      </c>
    </row>
    <row r="34" spans="5:21" x14ac:dyDescent="0.2">
      <c r="E34" s="13" t="s">
        <v>82</v>
      </c>
      <c r="F34" s="16">
        <v>-29.16</v>
      </c>
      <c r="G34" s="16">
        <v>-88.900999999999996</v>
      </c>
      <c r="H34" s="16">
        <v>-82.766000000000005</v>
      </c>
      <c r="I34" s="16">
        <v>-80.644999999999996</v>
      </c>
      <c r="K34" s="16">
        <v>-21.536000000000001</v>
      </c>
      <c r="L34" s="16">
        <v>-21.672000000000001</v>
      </c>
      <c r="M34" s="16">
        <v>-20.821000000000002</v>
      </c>
      <c r="N34" s="16">
        <f t="shared" si="11"/>
        <v>-18.737000000000009</v>
      </c>
      <c r="O34" s="16">
        <v>-19.071000000000002</v>
      </c>
      <c r="P34" s="16">
        <v>-20.507000000000001</v>
      </c>
      <c r="Q34" s="16">
        <v>-20.53</v>
      </c>
      <c r="R34" s="16">
        <f t="shared" si="10"/>
        <v>-20.536999999999992</v>
      </c>
      <c r="S34" s="16">
        <v>-20.510999999999999</v>
      </c>
      <c r="U34" s="23">
        <f t="shared" si="13"/>
        <v>0.40366447586925847</v>
      </c>
    </row>
    <row r="35" spans="5:21" x14ac:dyDescent="0.2">
      <c r="E35" s="13" t="s">
        <v>81</v>
      </c>
      <c r="F35" s="18">
        <v>0</v>
      </c>
      <c r="G35" s="18">
        <v>0</v>
      </c>
      <c r="H35" s="18">
        <v>0</v>
      </c>
      <c r="I35" s="18">
        <v>687.05499999999995</v>
      </c>
      <c r="K35" s="18">
        <v>0</v>
      </c>
      <c r="L35" s="18">
        <v>0</v>
      </c>
      <c r="M35" s="18">
        <v>0</v>
      </c>
      <c r="N35" s="18">
        <f t="shared" si="11"/>
        <v>0</v>
      </c>
      <c r="O35" s="18">
        <v>650.42899999999997</v>
      </c>
      <c r="P35" s="18">
        <v>-319.02</v>
      </c>
      <c r="Q35" s="18">
        <v>-120.50700000000001</v>
      </c>
      <c r="R35" s="18">
        <f t="shared" si="10"/>
        <v>476.15299999999996</v>
      </c>
      <c r="S35" s="18">
        <v>-596.65099999999995</v>
      </c>
      <c r="U35" s="23" t="str">
        <f t="shared" si="13"/>
        <v>n/a</v>
      </c>
    </row>
    <row r="36" spans="5:21" x14ac:dyDescent="0.2">
      <c r="E36" s="14" t="s">
        <v>23</v>
      </c>
      <c r="F36" s="17">
        <f>SUM(F33:F35)</f>
        <v>3026.9470000000006</v>
      </c>
      <c r="G36" s="17">
        <f>SUM(G33:G35)</f>
        <v>-3064.5819999999999</v>
      </c>
      <c r="H36" s="17">
        <f t="shared" ref="H36:I36" si="26">SUM(H33:H35)</f>
        <v>-76.845000000000269</v>
      </c>
      <c r="I36" s="17">
        <f t="shared" si="26"/>
        <v>2942.6440000000007</v>
      </c>
      <c r="K36" s="17">
        <f t="shared" ref="K36" si="27">SUM(K33:K35)</f>
        <v>-165.67599999999999</v>
      </c>
      <c r="L36" s="17">
        <f t="shared" ref="L36:M36" si="28">SUM(L33:L35)</f>
        <v>-78.682999999999822</v>
      </c>
      <c r="M36" s="17">
        <f t="shared" si="28"/>
        <v>34.661000000000058</v>
      </c>
      <c r="N36" s="17">
        <f t="shared" ref="N36" si="29">SUM(N33:N35)</f>
        <v>132.85299999999984</v>
      </c>
      <c r="O36" s="17">
        <f t="shared" ref="O36:P36" si="30">SUM(O33:O35)</f>
        <v>1437.424</v>
      </c>
      <c r="P36" s="17">
        <f t="shared" si="30"/>
        <v>-60.237000000000023</v>
      </c>
      <c r="Q36" s="17">
        <f t="shared" ref="Q36:S36" si="31">SUM(Q33:Q35)</f>
        <v>68.581000000000358</v>
      </c>
      <c r="R36" s="17">
        <f t="shared" si="31"/>
        <v>1496.8759999999995</v>
      </c>
      <c r="S36" s="17">
        <f t="shared" si="31"/>
        <v>82.455999999999904</v>
      </c>
      <c r="U36" s="30">
        <f t="shared" si="13"/>
        <v>-9.3711557464645212E-3</v>
      </c>
    </row>
    <row r="37" spans="5:21" x14ac:dyDescent="0.2">
      <c r="E37" t="s">
        <v>24</v>
      </c>
      <c r="F37" s="16">
        <v>597.173</v>
      </c>
      <c r="G37" s="16">
        <v>439.63299999999998</v>
      </c>
      <c r="H37" s="16">
        <v>171.71600000000001</v>
      </c>
      <c r="I37" s="16">
        <v>-363.57799999999997</v>
      </c>
      <c r="K37" s="16">
        <v>86.78</v>
      </c>
      <c r="L37" s="16">
        <v>-18.722000000000001</v>
      </c>
      <c r="M37" s="16">
        <v>-36.926000000000002</v>
      </c>
      <c r="N37" s="16">
        <f t="shared" si="11"/>
        <v>140.584</v>
      </c>
      <c r="O37" s="16">
        <v>-261.17899999999997</v>
      </c>
      <c r="P37" s="16">
        <v>96.387</v>
      </c>
      <c r="Q37" s="16">
        <v>6.9139999999999997</v>
      </c>
      <c r="R37" s="16">
        <f t="shared" si="10"/>
        <v>-205.7</v>
      </c>
      <c r="S37" s="16">
        <v>-16.847999999999999</v>
      </c>
      <c r="U37" s="23">
        <f t="shared" si="13"/>
        <v>-1.847550941915804</v>
      </c>
    </row>
    <row r="38" spans="5:21" ht="13.5" thickBot="1" x14ac:dyDescent="0.25">
      <c r="E38" s="5" t="s">
        <v>25</v>
      </c>
      <c r="F38" s="20">
        <f>SUM(F36:F37)</f>
        <v>3624.1200000000008</v>
      </c>
      <c r="G38" s="20">
        <f>SUM(G36:G37)</f>
        <v>-2624.9490000000001</v>
      </c>
      <c r="H38" s="20">
        <f>SUM(H36:H37)</f>
        <v>94.870999999999739</v>
      </c>
      <c r="I38" s="20">
        <f>SUM(I36:I37)</f>
        <v>2579.0660000000007</v>
      </c>
      <c r="K38" s="20">
        <f t="shared" ref="K38:N38" si="32">SUM(K36:K37)</f>
        <v>-78.895999999999987</v>
      </c>
      <c r="L38" s="20">
        <f t="shared" si="32"/>
        <v>-97.404999999999831</v>
      </c>
      <c r="M38" s="20">
        <f t="shared" si="32"/>
        <v>-2.2649999999999437</v>
      </c>
      <c r="N38" s="20">
        <f t="shared" si="32"/>
        <v>273.43699999999984</v>
      </c>
      <c r="O38" s="20">
        <f>SUM(O36:O37)</f>
        <v>1176.2449999999999</v>
      </c>
      <c r="P38" s="20">
        <f>SUM(P36:P37)</f>
        <v>36.149999999999977</v>
      </c>
      <c r="Q38" s="20">
        <f t="shared" ref="Q38:S38" si="33">SUM(Q36:Q37)</f>
        <v>75.49500000000036</v>
      </c>
      <c r="R38" s="20">
        <f t="shared" si="33"/>
        <v>1291.1759999999995</v>
      </c>
      <c r="S38" s="20">
        <f t="shared" si="33"/>
        <v>65.607999999999905</v>
      </c>
      <c r="U38" s="30">
        <f t="shared" si="13"/>
        <v>-0.10720182138865331</v>
      </c>
    </row>
    <row r="39" spans="5:21" ht="3" customHeight="1" x14ac:dyDescent="0.2"/>
    <row r="40" spans="5:21" x14ac:dyDescent="0.2">
      <c r="E40" s="52"/>
      <c r="F40" s="23"/>
      <c r="G40" s="23"/>
      <c r="H40" s="23"/>
      <c r="I40" s="23"/>
      <c r="J40" s="53"/>
      <c r="K40" s="23"/>
      <c r="L40" s="23"/>
      <c r="M40" s="23"/>
      <c r="N40" s="23"/>
      <c r="O40" s="23"/>
      <c r="P40" s="23"/>
      <c r="Q40" s="23"/>
      <c r="R40" s="23"/>
      <c r="S40" s="23"/>
    </row>
    <row r="41" spans="5:21" x14ac:dyDescent="0.2">
      <c r="E41" s="52"/>
      <c r="F41" s="23"/>
      <c r="G41" s="23"/>
      <c r="H41" s="23"/>
      <c r="I41" s="23"/>
      <c r="J41" s="53"/>
      <c r="K41" s="23"/>
      <c r="L41" s="23"/>
      <c r="M41" s="23"/>
      <c r="N41" s="23"/>
      <c r="O41" s="23"/>
      <c r="P41" s="23"/>
      <c r="Q41" s="23"/>
      <c r="R41" s="23"/>
      <c r="S41" s="23"/>
    </row>
    <row r="42" spans="5:21" x14ac:dyDescent="0.2">
      <c r="E42" s="52"/>
      <c r="F42" s="23"/>
      <c r="G42" s="23"/>
      <c r="H42" s="23"/>
      <c r="I42" s="23"/>
      <c r="J42" s="53"/>
      <c r="K42" s="23"/>
      <c r="L42" s="23"/>
      <c r="M42" s="23"/>
      <c r="N42" s="23" t="s">
        <v>142</v>
      </c>
      <c r="O42" s="23"/>
      <c r="P42" s="23"/>
      <c r="Q42" s="23"/>
      <c r="R42" s="23"/>
      <c r="S42" s="23"/>
    </row>
    <row r="43" spans="5:21" x14ac:dyDescent="0.2">
      <c r="E43" s="52"/>
      <c r="F43" s="23"/>
      <c r="G43" s="23"/>
      <c r="H43" s="23"/>
      <c r="I43" s="23"/>
      <c r="J43" s="53"/>
      <c r="K43" s="23"/>
      <c r="L43" s="23"/>
      <c r="M43" s="23"/>
      <c r="N43" s="23"/>
      <c r="O43" s="23"/>
      <c r="P43" s="23"/>
      <c r="Q43" s="23"/>
      <c r="R43" s="23"/>
      <c r="S43" s="23"/>
    </row>
    <row r="44" spans="5:21" x14ac:dyDescent="0.2">
      <c r="E44" s="52"/>
      <c r="F44" s="23"/>
      <c r="G44" s="23"/>
      <c r="H44" s="23"/>
      <c r="I44" s="23"/>
      <c r="J44" s="53"/>
      <c r="K44" s="23"/>
      <c r="L44" s="23"/>
      <c r="M44" s="23"/>
      <c r="N44" s="23"/>
      <c r="O44" s="23"/>
      <c r="P44" s="23"/>
      <c r="Q44" s="23"/>
      <c r="R44" s="23"/>
      <c r="S44" s="23"/>
    </row>
    <row r="45" spans="5:21" ht="3" customHeight="1" x14ac:dyDescent="0.2"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</row>
    <row r="46" spans="5:21" x14ac:dyDescent="0.2">
      <c r="E46" s="52" t="s">
        <v>38</v>
      </c>
      <c r="F46" s="23" t="str">
        <f>IFERROR(+F22/#REF!-1,"n/a")</f>
        <v>n/a</v>
      </c>
      <c r="G46" s="23">
        <f>IFERROR(+G22/F22-1,"n/a")</f>
        <v>-0.59254661427519606</v>
      </c>
      <c r="H46" s="23">
        <v>0.01</v>
      </c>
      <c r="I46" s="23">
        <f>IFERROR(+I22/H22-1,"n/a")</f>
        <v>1.1117178931939855</v>
      </c>
      <c r="J46" s="53"/>
      <c r="K46" s="23" t="str">
        <f t="shared" ref="K46:R46" si="34">IFERROR(+K22/J22-1,"n/a")</f>
        <v>n/a</v>
      </c>
      <c r="L46" s="23">
        <f t="shared" si="34"/>
        <v>-8.3644756378077667E-2</v>
      </c>
      <c r="M46" s="23">
        <f t="shared" si="34"/>
        <v>-4.7693848520506288E-2</v>
      </c>
      <c r="N46" s="23">
        <f t="shared" si="34"/>
        <v>0.41481544111975399</v>
      </c>
      <c r="O46" s="23">
        <f t="shared" si="34"/>
        <v>0.71689933371426795</v>
      </c>
      <c r="P46" s="23">
        <f t="shared" si="34"/>
        <v>-0.1147688343093729</v>
      </c>
      <c r="Q46" s="23">
        <f t="shared" si="34"/>
        <v>-0.16861912159533332</v>
      </c>
      <c r="R46" s="23">
        <f t="shared" si="34"/>
        <v>0.88487404092124611</v>
      </c>
      <c r="S46" s="23">
        <f>IFERROR(+S22/R22-1,"n/a")</f>
        <v>-0.10448060143411986</v>
      </c>
    </row>
    <row r="47" spans="5:21" x14ac:dyDescent="0.2">
      <c r="E47" s="52" t="s">
        <v>112</v>
      </c>
      <c r="F47" s="23">
        <f>+F24/-F22</f>
        <v>0.16475160738440123</v>
      </c>
      <c r="G47" s="23">
        <f t="shared" ref="G47:S47" si="35">+G24/-G22</f>
        <v>0.72830385497750927</v>
      </c>
      <c r="H47" s="23">
        <f t="shared" si="35"/>
        <v>0.42611898212028571</v>
      </c>
      <c r="I47" s="23">
        <f t="shared" si="35"/>
        <v>0.22368155650768093</v>
      </c>
      <c r="J47" s="53"/>
      <c r="K47" s="23">
        <f t="shared" si="35"/>
        <v>0.46345315192051045</v>
      </c>
      <c r="L47" s="23">
        <f t="shared" si="35"/>
        <v>0.45297643347821964</v>
      </c>
      <c r="M47" s="23">
        <f t="shared" si="35"/>
        <v>0.47876134023982869</v>
      </c>
      <c r="N47" s="23">
        <f t="shared" si="35"/>
        <v>0.33873840814850154</v>
      </c>
      <c r="O47" s="23">
        <f t="shared" si="35"/>
        <v>0.21853294820984753</v>
      </c>
      <c r="P47" s="23">
        <f t="shared" si="35"/>
        <v>0.25127687930972631</v>
      </c>
      <c r="Q47" s="23">
        <f t="shared" si="35"/>
        <v>0.31317805529902676</v>
      </c>
      <c r="R47" s="23">
        <f t="shared" si="35"/>
        <v>0.16230189946721243</v>
      </c>
      <c r="S47" s="23">
        <f t="shared" si="35"/>
        <v>0.17468852845826194</v>
      </c>
    </row>
    <row r="48" spans="5:21" x14ac:dyDescent="0.2">
      <c r="E48" s="52" t="s">
        <v>39</v>
      </c>
      <c r="F48" s="23">
        <f>IFERROR(+F33/F22,"n/a")</f>
        <v>0.38983721294520379</v>
      </c>
      <c r="G48" s="23">
        <f>IFERROR(+G33/G22,"n/a")</f>
        <v>-0.93158648403610533</v>
      </c>
      <c r="H48" s="23">
        <f>IFERROR(+H33/H22,"n/a")</f>
        <v>1.9048489198402311E-3</v>
      </c>
      <c r="I48" s="23">
        <f>IFERROR(+I33/I22,"n/a")</f>
        <v>0.35591469140594778</v>
      </c>
      <c r="J48" s="53"/>
      <c r="K48" s="23">
        <f t="shared" ref="K48:R48" si="36">IFERROR(+K33/K22,"n/a")</f>
        <v>-0.18658199239122414</v>
      </c>
      <c r="L48" s="23">
        <f t="shared" si="36"/>
        <v>-8.0534134940691435E-2</v>
      </c>
      <c r="M48" s="23">
        <f t="shared" si="36"/>
        <v>8.2299435732213197E-2</v>
      </c>
      <c r="N48" s="23">
        <f t="shared" si="36"/>
        <v>0.15893352345105591</v>
      </c>
      <c r="O48" s="23">
        <f t="shared" si="36"/>
        <v>0.49223300377999113</v>
      </c>
      <c r="P48" s="23">
        <f t="shared" si="36"/>
        <v>0.19266322118502122</v>
      </c>
      <c r="Q48" s="23">
        <f t="shared" si="36"/>
        <v>0.17392898896691261</v>
      </c>
      <c r="R48" s="23">
        <f t="shared" si="36"/>
        <v>0.45837429131502949</v>
      </c>
      <c r="S48" s="23">
        <f>IFERROR(+S33/S22,"n/a")</f>
        <v>0.34391177287463215</v>
      </c>
    </row>
    <row r="49" spans="3:21" x14ac:dyDescent="0.2">
      <c r="E49" s="52" t="s">
        <v>52</v>
      </c>
      <c r="F49" s="23">
        <f>-F37/F36</f>
        <v>-0.19728558180899761</v>
      </c>
      <c r="G49" s="23">
        <f>-G37/G36</f>
        <v>0.14345610592243901</v>
      </c>
      <c r="H49" s="23">
        <f>-H37/H36</f>
        <v>2.2345760947361497</v>
      </c>
      <c r="I49" s="23">
        <f>-I37/I36</f>
        <v>0.12355487106153509</v>
      </c>
      <c r="J49" s="53"/>
      <c r="K49" s="23">
        <f t="shared" ref="K49:R49" si="37">-K37/K36</f>
        <v>0.52379342813684548</v>
      </c>
      <c r="L49" s="23">
        <f t="shared" si="37"/>
        <v>-0.23794212218649574</v>
      </c>
      <c r="M49" s="23">
        <f t="shared" si="37"/>
        <v>1.0653472202186878</v>
      </c>
      <c r="N49" s="23">
        <f t="shared" si="37"/>
        <v>-1.0581921371741712</v>
      </c>
      <c r="O49" s="23">
        <f t="shared" si="37"/>
        <v>0.18169934549583142</v>
      </c>
      <c r="P49" s="23">
        <f t="shared" si="37"/>
        <v>1.6001294885203441</v>
      </c>
      <c r="Q49" s="23">
        <f t="shared" si="37"/>
        <v>-0.10081509455971717</v>
      </c>
      <c r="R49" s="23">
        <f t="shared" si="37"/>
        <v>0.1374195324128385</v>
      </c>
      <c r="S49" s="23">
        <f>-S37/S36</f>
        <v>0.20432715630154286</v>
      </c>
    </row>
    <row r="50" spans="3:21" x14ac:dyDescent="0.2">
      <c r="E50" s="52" t="s">
        <v>40</v>
      </c>
      <c r="F50" s="23" t="str">
        <f>IFERROR(+F38/#REF!-1,"n/a")</f>
        <v>n/a</v>
      </c>
      <c r="G50" s="23">
        <f t="shared" ref="G50:I50" si="38">IFERROR(+G38/F38-1,"n/a")</f>
        <v>-1.7242996920631766</v>
      </c>
      <c r="H50" s="23">
        <f t="shared" si="38"/>
        <v>-1.0361420355214519</v>
      </c>
      <c r="I50" s="23">
        <f t="shared" si="38"/>
        <v>26.184977495757479</v>
      </c>
      <c r="J50" s="53"/>
      <c r="K50" s="23" t="str">
        <f t="shared" ref="K50" si="39">IFERROR(+K38/J38-1,"n/a")</f>
        <v>n/a</v>
      </c>
      <c r="L50" s="23">
        <f t="shared" ref="L50" si="40">IFERROR(+L38/K38-1,"n/a")</f>
        <v>0.23459997972013591</v>
      </c>
      <c r="M50" s="23">
        <f t="shared" ref="M50" si="41">IFERROR(+M38/L38-1,"n/a")</f>
        <v>-0.97674657358451877</v>
      </c>
      <c r="N50" s="23">
        <f t="shared" ref="N50" si="42">IFERROR(+N38/M38-1,"n/a")</f>
        <v>-121.7227373068462</v>
      </c>
      <c r="O50" s="23">
        <f t="shared" ref="O50" si="43">IFERROR(+O38/N38-1,"n/a")</f>
        <v>3.3017038659727858</v>
      </c>
      <c r="P50" s="23">
        <f t="shared" ref="P50" si="44">IFERROR(+P38/O38-1,"n/a")</f>
        <v>-0.96926660687186772</v>
      </c>
      <c r="Q50" s="23">
        <f>IFERROR(+Q38/P38-1,"n/a")</f>
        <v>1.0883817427386004</v>
      </c>
      <c r="R50" s="23">
        <f t="shared" ref="R50" si="45">IFERROR(+R38/Q38-1,"n/a")</f>
        <v>16.102801510033689</v>
      </c>
      <c r="S50" s="23">
        <f t="shared" ref="S50" si="46">IFERROR(+S38/R38-1,"n/a")</f>
        <v>-0.94918740744871344</v>
      </c>
    </row>
    <row r="51" spans="3:21" ht="3" customHeight="1" x14ac:dyDescent="0.2"/>
    <row r="52" spans="3:21" ht="10.5" customHeight="1" x14ac:dyDescent="0.2">
      <c r="E52" s="24"/>
      <c r="F52" s="16"/>
      <c r="G52" s="16"/>
      <c r="H52" s="16"/>
      <c r="I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3:21" x14ac:dyDescent="0.2">
      <c r="F53" s="16"/>
      <c r="G53" s="16"/>
      <c r="H53" s="16"/>
      <c r="I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3:21" x14ac:dyDescent="0.2">
      <c r="E54" s="8" t="s">
        <v>27</v>
      </c>
      <c r="F54" s="19">
        <v>3624.12</v>
      </c>
      <c r="G54" s="19">
        <v>-2624.9490000000001</v>
      </c>
      <c r="H54" s="19">
        <v>94.870999999999995</v>
      </c>
      <c r="I54" s="19">
        <v>2579.0659999999998</v>
      </c>
      <c r="K54" s="19">
        <v>-78.896000000000001</v>
      </c>
      <c r="L54" s="19">
        <v>-97.405000000000001</v>
      </c>
      <c r="M54" s="19">
        <v>-2.2650000000000001</v>
      </c>
      <c r="N54" s="19">
        <f>H54-SUM(K54:M54)</f>
        <v>273.43699999999995</v>
      </c>
      <c r="O54" s="19">
        <v>1176.2449999999999</v>
      </c>
      <c r="P54" s="19">
        <v>36.15</v>
      </c>
      <c r="Q54" s="19">
        <v>75.495000000000005</v>
      </c>
      <c r="R54" s="19">
        <f>I54-SUM(O54:Q54)</f>
        <v>1291.1759999999999</v>
      </c>
      <c r="S54" s="19">
        <v>65.608000000000004</v>
      </c>
    </row>
    <row r="55" spans="3:21" x14ac:dyDescent="0.2">
      <c r="C55" s="15" t="b" cm="1">
        <f t="array" ref="C55">AND(F55:I55&lt;$B$1,F55:I55&gt;-$B$1)</f>
        <v>1</v>
      </c>
      <c r="E55" s="8" t="s">
        <v>26</v>
      </c>
      <c r="F55" s="49">
        <f>+F54-F38</f>
        <v>0</v>
      </c>
      <c r="G55" s="49">
        <f>+G54-G38</f>
        <v>0</v>
      </c>
      <c r="H55" s="49">
        <f>+H54-H38</f>
        <v>2.5579538487363607E-13</v>
      </c>
      <c r="I55" s="49">
        <f>+I54-I38</f>
        <v>0</v>
      </c>
      <c r="J55" s="38"/>
      <c r="K55" s="49">
        <f>+K54-K38</f>
        <v>0</v>
      </c>
      <c r="L55" s="49">
        <f>+L54-L38</f>
        <v>-1.7053025658242404E-13</v>
      </c>
      <c r="M55" s="49">
        <f>+M54-M38</f>
        <v>-5.6399329650957952E-14</v>
      </c>
      <c r="N55" s="49">
        <f>+N54-N38</f>
        <v>0</v>
      </c>
      <c r="O55" s="49">
        <f>+O54-O38</f>
        <v>0</v>
      </c>
      <c r="P55" s="49">
        <f>+P54-P38</f>
        <v>0</v>
      </c>
      <c r="Q55" s="49">
        <f>+Q54-Q38</f>
        <v>-3.5527136788005009E-13</v>
      </c>
      <c r="R55" s="49">
        <f>+R54-R38</f>
        <v>0</v>
      </c>
      <c r="S55" s="49">
        <f>+S54-S38</f>
        <v>0</v>
      </c>
    </row>
    <row r="56" spans="3:21" x14ac:dyDescent="0.2">
      <c r="F56" s="16"/>
      <c r="G56" s="16"/>
      <c r="H56" s="16"/>
      <c r="I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3:21" x14ac:dyDescent="0.2">
      <c r="E57" s="5" t="str">
        <f>Input!$E$8&amp;" - BS"</f>
        <v>COIN - BS</v>
      </c>
      <c r="I57" s="9"/>
      <c r="K57" s="9"/>
      <c r="L57" s="9"/>
      <c r="M57" s="9"/>
      <c r="N57" s="9"/>
      <c r="O57" s="9"/>
      <c r="P57" s="9"/>
      <c r="Q57" s="9"/>
      <c r="R57" s="9"/>
      <c r="S57" s="9"/>
      <c r="U57" s="29" t="s">
        <v>47</v>
      </c>
    </row>
    <row r="58" spans="3:21" x14ac:dyDescent="0.2">
      <c r="E58" s="10" t="str">
        <f>+Input!$E$14</f>
        <v>$m</v>
      </c>
      <c r="F58" s="21" t="s">
        <v>59</v>
      </c>
      <c r="G58" s="21" t="s">
        <v>60</v>
      </c>
      <c r="H58" s="21" t="s">
        <v>61</v>
      </c>
      <c r="I58" s="21" t="s">
        <v>62</v>
      </c>
      <c r="K58" s="39" t="s">
        <v>108</v>
      </c>
      <c r="L58" s="39" t="s">
        <v>28</v>
      </c>
      <c r="M58" s="39" t="s">
        <v>105</v>
      </c>
      <c r="N58" s="39" t="s">
        <v>61</v>
      </c>
      <c r="O58" s="40" t="s">
        <v>98</v>
      </c>
      <c r="P58" s="40" t="s">
        <v>29</v>
      </c>
      <c r="Q58" s="40" t="s">
        <v>99</v>
      </c>
      <c r="R58" s="40" t="s">
        <v>62</v>
      </c>
      <c r="S58" s="21" t="s">
        <v>97</v>
      </c>
      <c r="U58" s="28" t="s">
        <v>79</v>
      </c>
    </row>
    <row r="59" spans="3:21" ht="3" customHeight="1" x14ac:dyDescent="0.2"/>
    <row r="60" spans="3:21" x14ac:dyDescent="0.2">
      <c r="E60" s="13" t="s">
        <v>84</v>
      </c>
      <c r="F60" s="16">
        <v>988.19299999999998</v>
      </c>
      <c r="G60" s="16">
        <v>424.39299999999997</v>
      </c>
      <c r="H60" s="16">
        <v>330.61</v>
      </c>
      <c r="I60" s="16">
        <v>1552.9949999999999</v>
      </c>
      <c r="K60" s="16"/>
      <c r="L60" s="16"/>
      <c r="M60" s="16"/>
      <c r="N60" s="16">
        <f>H60</f>
        <v>330.61</v>
      </c>
      <c r="O60" s="16"/>
      <c r="P60" s="16"/>
      <c r="Q60" s="16"/>
      <c r="R60" s="16">
        <f>I60</f>
        <v>1552.9949999999999</v>
      </c>
      <c r="S60" s="16">
        <v>1268.001</v>
      </c>
      <c r="U60" s="23">
        <f t="shared" ref="U60:U72" si="47">IFERROR((I60/F60)^(1/3)-1,"n/a")</f>
        <v>0.16263330970848489</v>
      </c>
    </row>
    <row r="61" spans="3:21" x14ac:dyDescent="0.2">
      <c r="E61" s="13" t="s">
        <v>106</v>
      </c>
      <c r="F61" s="16">
        <f>625.758</f>
        <v>625.75800000000004</v>
      </c>
      <c r="G61" s="16">
        <f>1073.906</f>
        <v>1073.9059999999999</v>
      </c>
      <c r="H61" s="16">
        <f>1139.67</f>
        <v>1139.67</v>
      </c>
      <c r="I61" s="16">
        <f>1139.67</f>
        <v>1139.67</v>
      </c>
      <c r="K61" s="16"/>
      <c r="L61" s="16"/>
      <c r="M61" s="16"/>
      <c r="N61" s="16">
        <f>H61</f>
        <v>1139.67</v>
      </c>
      <c r="O61" s="16"/>
      <c r="P61" s="16"/>
      <c r="Q61" s="16"/>
      <c r="R61" s="16">
        <f t="shared" ref="R61:R62" si="48">I61</f>
        <v>1139.67</v>
      </c>
      <c r="S61" s="16">
        <v>1153.6210000000001</v>
      </c>
      <c r="U61" s="23">
        <f t="shared" si="47"/>
        <v>0.2212115466122897</v>
      </c>
    </row>
    <row r="62" spans="3:21" x14ac:dyDescent="0.2">
      <c r="E62" s="13" t="s">
        <v>85</v>
      </c>
      <c r="F62" s="18">
        <f>98.385+59.23+952.307+176.689</f>
        <v>1286.6110000000001</v>
      </c>
      <c r="G62" s="18">
        <f>69.357+171.853+1401.72+135.429</f>
        <v>1778.3590000000002</v>
      </c>
      <c r="H62" s="18">
        <f>1272.233+192.55+375.622+86.422</f>
        <v>1926.827</v>
      </c>
      <c r="I62" s="18">
        <f>941.298+200.08+548.451+46.804</f>
        <v>1736.633</v>
      </c>
      <c r="K62" s="18"/>
      <c r="L62" s="18"/>
      <c r="M62" s="18"/>
      <c r="N62" s="18">
        <f>H62</f>
        <v>1926.827</v>
      </c>
      <c r="O62" s="18"/>
      <c r="P62" s="18"/>
      <c r="Q62" s="18"/>
      <c r="R62" s="18">
        <f t="shared" si="48"/>
        <v>1736.633</v>
      </c>
      <c r="S62" s="18">
        <f>995.529+860.067</f>
        <v>1855.596</v>
      </c>
      <c r="U62" s="23">
        <f t="shared" si="47"/>
        <v>0.10514754450632835</v>
      </c>
    </row>
    <row r="63" spans="3:21" x14ac:dyDescent="0.2">
      <c r="E63" s="5" t="s">
        <v>86</v>
      </c>
      <c r="F63" s="17">
        <f>SUM(F60:F62)</f>
        <v>2900.5619999999999</v>
      </c>
      <c r="G63" s="17">
        <f>SUM(G60:G62)</f>
        <v>3276.6580000000004</v>
      </c>
      <c r="H63" s="17">
        <f>SUM(H60:H62)</f>
        <v>3397.107</v>
      </c>
      <c r="I63" s="17">
        <f>SUM(I60:I62)</f>
        <v>4429.2979999999998</v>
      </c>
      <c r="K63" s="17">
        <f t="shared" ref="K63:N63" si="49">SUM(K60:K62)</f>
        <v>0</v>
      </c>
      <c r="L63" s="17">
        <f t="shared" si="49"/>
        <v>0</v>
      </c>
      <c r="M63" s="17">
        <f t="shared" si="49"/>
        <v>0</v>
      </c>
      <c r="N63" s="17">
        <f t="shared" si="49"/>
        <v>3397.107</v>
      </c>
      <c r="O63" s="17">
        <f>SUM(O60:O62)</f>
        <v>0</v>
      </c>
      <c r="P63" s="17">
        <f>SUM(P60:P62)</f>
        <v>0</v>
      </c>
      <c r="Q63" s="17">
        <f t="shared" ref="Q63:S63" si="50">SUM(Q60:Q62)</f>
        <v>0</v>
      </c>
      <c r="R63" s="17">
        <f t="shared" si="50"/>
        <v>4429.2979999999998</v>
      </c>
      <c r="S63" s="17">
        <f t="shared" si="50"/>
        <v>4277.2180000000008</v>
      </c>
      <c r="U63" s="30">
        <f t="shared" si="47"/>
        <v>0.15155384322346599</v>
      </c>
    </row>
    <row r="64" spans="3:21" x14ac:dyDescent="0.2">
      <c r="E64" s="13" t="s">
        <v>30</v>
      </c>
      <c r="F64" s="16">
        <v>7123.4780000000001</v>
      </c>
      <c r="G64" s="16">
        <v>4425.0209999999997</v>
      </c>
      <c r="H64" s="16">
        <v>5139.3509999999997</v>
      </c>
      <c r="I64" s="16">
        <v>8543.9030000000002</v>
      </c>
      <c r="K64" s="16"/>
      <c r="L64" s="16"/>
      <c r="M64" s="16"/>
      <c r="N64" s="16">
        <f t="shared" ref="N64:N68" si="51">H64</f>
        <v>5139.3509999999997</v>
      </c>
      <c r="O64" s="16"/>
      <c r="P64" s="16"/>
      <c r="Q64" s="16"/>
      <c r="R64" s="16">
        <f t="shared" ref="R64:R68" si="52">I64</f>
        <v>8543.9030000000002</v>
      </c>
      <c r="S64" s="16">
        <v>8051.1689999999999</v>
      </c>
      <c r="U64" s="23">
        <f t="shared" si="47"/>
        <v>6.2481574428890241E-2</v>
      </c>
    </row>
    <row r="65" spans="3:21" x14ac:dyDescent="0.2">
      <c r="E65" s="13" t="s">
        <v>88</v>
      </c>
      <c r="F65" s="16">
        <v>100.096</v>
      </c>
      <c r="G65" s="16">
        <v>861.149</v>
      </c>
      <c r="H65" s="16">
        <v>576.02800000000002</v>
      </c>
      <c r="I65" s="16">
        <v>1241.808</v>
      </c>
      <c r="K65" s="16"/>
      <c r="L65" s="16"/>
      <c r="M65" s="16"/>
      <c r="N65" s="16">
        <f t="shared" si="51"/>
        <v>576.02800000000002</v>
      </c>
      <c r="O65" s="16"/>
      <c r="P65" s="16"/>
      <c r="Q65" s="16"/>
      <c r="R65" s="16">
        <f t="shared" si="52"/>
        <v>1241.808</v>
      </c>
      <c r="S65" s="16">
        <v>2225.0540000000001</v>
      </c>
      <c r="U65" s="23">
        <f t="shared" si="47"/>
        <v>1.3149728938807121</v>
      </c>
    </row>
    <row r="66" spans="3:21" x14ac:dyDescent="0.2">
      <c r="E66" s="13" t="s">
        <v>87</v>
      </c>
      <c r="F66" s="37" t="s">
        <v>92</v>
      </c>
      <c r="G66" s="37" t="s">
        <v>92</v>
      </c>
      <c r="H66" s="16">
        <v>74.102999999999994</v>
      </c>
      <c r="I66" s="16">
        <v>82.781000000000006</v>
      </c>
      <c r="K66" s="16"/>
      <c r="L66" s="16"/>
      <c r="M66" s="16"/>
      <c r="N66" s="16">
        <f t="shared" si="51"/>
        <v>74.102999999999994</v>
      </c>
      <c r="O66" s="16"/>
      <c r="P66" s="16"/>
      <c r="Q66" s="16"/>
      <c r="R66" s="16">
        <f t="shared" si="52"/>
        <v>82.781000000000006</v>
      </c>
      <c r="S66" s="16">
        <v>67.484999999999999</v>
      </c>
      <c r="U66" s="23" t="str">
        <f t="shared" si="47"/>
        <v>n/a</v>
      </c>
    </row>
    <row r="67" spans="3:21" x14ac:dyDescent="0.2">
      <c r="E67" s="13" t="s">
        <v>31</v>
      </c>
      <c r="F67" s="16">
        <v>304.70600000000002</v>
      </c>
      <c r="G67" s="16">
        <v>404.37599999999998</v>
      </c>
      <c r="H67" s="16">
        <f>193.425+168.29</f>
        <v>361.71500000000003</v>
      </c>
      <c r="I67" s="16">
        <f>475.37+265.251</f>
        <v>740.62099999999998</v>
      </c>
      <c r="K67" s="16"/>
      <c r="L67" s="16"/>
      <c r="M67" s="16"/>
      <c r="N67" s="16">
        <f t="shared" si="51"/>
        <v>361.71500000000003</v>
      </c>
      <c r="O67" s="16"/>
      <c r="P67" s="16"/>
      <c r="Q67" s="16"/>
      <c r="R67" s="16">
        <f t="shared" si="52"/>
        <v>740.62099999999998</v>
      </c>
      <c r="S67" s="16">
        <f>245.112+454.473</f>
        <v>699.58500000000004</v>
      </c>
      <c r="U67" s="23">
        <f t="shared" si="47"/>
        <v>0.34453363801232051</v>
      </c>
    </row>
    <row r="68" spans="3:21" x14ac:dyDescent="0.2">
      <c r="E68" s="13" t="s">
        <v>89</v>
      </c>
      <c r="F68" s="18">
        <f>18373.863-SUM(F64:F67)</f>
        <v>10845.583000000001</v>
      </c>
      <c r="G68" s="18">
        <f>86448.215-SUM(G64:G67)</f>
        <v>80757.668999999994</v>
      </c>
      <c r="H68" s="18">
        <f>11356.794-SUM(H64:H67)</f>
        <v>5205.5969999999998</v>
      </c>
      <c r="I68" s="18">
        <f>18112.653-SUM(I64:I67)</f>
        <v>7503.5399999999991</v>
      </c>
      <c r="K68" s="18"/>
      <c r="L68" s="18"/>
      <c r="M68" s="18"/>
      <c r="N68" s="18">
        <f t="shared" si="51"/>
        <v>5205.5969999999998</v>
      </c>
      <c r="O68" s="18"/>
      <c r="P68" s="18"/>
      <c r="Q68" s="18"/>
      <c r="R68" s="18">
        <f t="shared" si="52"/>
        <v>7503.5399999999991</v>
      </c>
      <c r="S68" s="18">
        <f>17453.788-SUM(S64:S67)</f>
        <v>6410.494999999999</v>
      </c>
      <c r="U68" s="23">
        <f t="shared" si="47"/>
        <v>-0.11555445256443708</v>
      </c>
    </row>
    <row r="69" spans="3:21" x14ac:dyDescent="0.2">
      <c r="E69" s="5" t="s">
        <v>32</v>
      </c>
      <c r="F69" s="17">
        <f>SUM(F64:F68)</f>
        <v>18373.863000000001</v>
      </c>
      <c r="G69" s="17">
        <f>SUM(G64:G68)</f>
        <v>86448.214999999997</v>
      </c>
      <c r="H69" s="17">
        <f>SUM(H64:H68)</f>
        <v>11356.794</v>
      </c>
      <c r="I69" s="17">
        <f>SUM(I64:I68)</f>
        <v>18112.652999999998</v>
      </c>
      <c r="K69" s="17">
        <f t="shared" ref="K69:N69" si="53">SUM(K64:K68)</f>
        <v>0</v>
      </c>
      <c r="L69" s="17">
        <f t="shared" si="53"/>
        <v>0</v>
      </c>
      <c r="M69" s="17">
        <f t="shared" si="53"/>
        <v>0</v>
      </c>
      <c r="N69" s="17">
        <f t="shared" si="53"/>
        <v>11356.794</v>
      </c>
      <c r="O69" s="17">
        <f>SUM(O64:O68)</f>
        <v>0</v>
      </c>
      <c r="P69" s="17">
        <f>SUM(P64:P68)</f>
        <v>0</v>
      </c>
      <c r="Q69" s="17">
        <f t="shared" ref="Q69:S69" si="54">SUM(Q64:Q68)</f>
        <v>0</v>
      </c>
      <c r="R69" s="17">
        <f t="shared" si="54"/>
        <v>18112.652999999998</v>
      </c>
      <c r="S69" s="17">
        <f t="shared" si="54"/>
        <v>17453.788</v>
      </c>
      <c r="U69" s="30">
        <f t="shared" si="47"/>
        <v>-4.7614318775033304E-3</v>
      </c>
    </row>
    <row r="70" spans="3:21" ht="13.5" thickBot="1" x14ac:dyDescent="0.25">
      <c r="E70" s="5" t="s">
        <v>33</v>
      </c>
      <c r="F70" s="20">
        <f>+F69+F63</f>
        <v>21274.425000000003</v>
      </c>
      <c r="G70" s="20">
        <f>+G69+G63</f>
        <v>89724.872999999992</v>
      </c>
      <c r="H70" s="20">
        <f>+H69+H63</f>
        <v>14753.901</v>
      </c>
      <c r="I70" s="20">
        <f>+I69+I63</f>
        <v>22541.950999999997</v>
      </c>
      <c r="K70" s="20">
        <f t="shared" ref="K70:N70" si="55">+K69+K63</f>
        <v>0</v>
      </c>
      <c r="L70" s="20">
        <f t="shared" si="55"/>
        <v>0</v>
      </c>
      <c r="M70" s="20">
        <f t="shared" si="55"/>
        <v>0</v>
      </c>
      <c r="N70" s="20">
        <f t="shared" si="55"/>
        <v>14753.901</v>
      </c>
      <c r="O70" s="20">
        <f>+O69+O63</f>
        <v>0</v>
      </c>
      <c r="P70" s="20">
        <f>+P69+P63</f>
        <v>0</v>
      </c>
      <c r="Q70" s="20">
        <f t="shared" ref="Q70:S70" si="56">+Q69+Q63</f>
        <v>0</v>
      </c>
      <c r="R70" s="20">
        <f t="shared" si="56"/>
        <v>22541.950999999997</v>
      </c>
      <c r="S70" s="20">
        <f t="shared" si="56"/>
        <v>21731.006000000001</v>
      </c>
      <c r="U70" s="30">
        <f t="shared" si="47"/>
        <v>1.9478074846015492E-2</v>
      </c>
    </row>
    <row r="71" spans="3:21" ht="3" customHeight="1" x14ac:dyDescent="0.2">
      <c r="F71" s="16"/>
      <c r="G71" s="16"/>
      <c r="H71" s="16"/>
      <c r="I71" s="16"/>
      <c r="K71" s="16"/>
      <c r="L71" s="16"/>
      <c r="M71" s="16"/>
      <c r="N71" s="16"/>
      <c r="O71" s="16"/>
      <c r="P71" s="16"/>
      <c r="Q71" s="16"/>
      <c r="R71" s="16"/>
      <c r="S71" s="16"/>
      <c r="U71" s="23" t="str">
        <f t="shared" si="47"/>
        <v>n/a</v>
      </c>
    </row>
    <row r="72" spans="3:21" x14ac:dyDescent="0.2">
      <c r="E72" s="5" t="s">
        <v>34</v>
      </c>
      <c r="F72" s="17">
        <v>6381.6890000000003</v>
      </c>
      <c r="G72" s="17">
        <v>5454.5569999999998</v>
      </c>
      <c r="H72" s="17">
        <v>6281.6490000000003</v>
      </c>
      <c r="I72" s="17">
        <v>10276.842000000001</v>
      </c>
      <c r="K72" s="17"/>
      <c r="L72" s="17"/>
      <c r="M72" s="17"/>
      <c r="N72" s="17"/>
      <c r="O72" s="17"/>
      <c r="P72" s="17"/>
      <c r="Q72" s="17"/>
      <c r="R72" s="17">
        <f>I72</f>
        <v>10276.842000000001</v>
      </c>
      <c r="S72" s="17">
        <v>10468.24</v>
      </c>
      <c r="U72" s="30">
        <f t="shared" si="47"/>
        <v>0.17212703022075493</v>
      </c>
    </row>
    <row r="73" spans="3:21" x14ac:dyDescent="0.2">
      <c r="E73" t="s">
        <v>90</v>
      </c>
      <c r="F73" s="16">
        <v>3938</v>
      </c>
      <c r="G73" s="16">
        <v>3641.3</v>
      </c>
      <c r="H73" s="16">
        <v>3046.8</v>
      </c>
      <c r="I73" s="16">
        <v>4629.6000000000004</v>
      </c>
      <c r="K73" s="16">
        <v>3499.7</v>
      </c>
      <c r="L73" s="16">
        <v>3499.7</v>
      </c>
      <c r="M73" s="16">
        <v>3203.6</v>
      </c>
      <c r="N73" s="16">
        <f>H73</f>
        <v>3046.8</v>
      </c>
      <c r="O73" s="16">
        <v>4506.6000000000004</v>
      </c>
      <c r="P73" s="16">
        <v>4465.5</v>
      </c>
      <c r="Q73" s="16">
        <v>4496.3</v>
      </c>
      <c r="R73" s="16">
        <f>I73</f>
        <v>4629.6000000000004</v>
      </c>
      <c r="S73" s="16">
        <v>4509.7</v>
      </c>
      <c r="U73" s="30"/>
    </row>
    <row r="74" spans="3:21" x14ac:dyDescent="0.2">
      <c r="E74" t="s">
        <v>107</v>
      </c>
      <c r="F74" s="16">
        <f>SUM(F64:F65)</f>
        <v>7223.5740000000005</v>
      </c>
      <c r="G74" s="16">
        <f t="shared" ref="G74:S74" si="57">SUM(G64:G65)</f>
        <v>5286.17</v>
      </c>
      <c r="H74" s="16">
        <f t="shared" si="57"/>
        <v>5715.3789999999999</v>
      </c>
      <c r="I74" s="16">
        <f t="shared" si="57"/>
        <v>9785.7109999999993</v>
      </c>
      <c r="K74" s="16">
        <f t="shared" ref="K74" si="58">SUM(K64:K65)</f>
        <v>0</v>
      </c>
      <c r="L74" s="16">
        <f t="shared" si="57"/>
        <v>0</v>
      </c>
      <c r="M74" s="16">
        <f t="shared" si="57"/>
        <v>0</v>
      </c>
      <c r="N74" s="16">
        <f t="shared" si="57"/>
        <v>5715.3789999999999</v>
      </c>
      <c r="O74" s="16">
        <f t="shared" si="57"/>
        <v>0</v>
      </c>
      <c r="P74" s="16">
        <f t="shared" si="57"/>
        <v>0</v>
      </c>
      <c r="Q74" s="16">
        <f t="shared" si="57"/>
        <v>0</v>
      </c>
      <c r="R74" s="16">
        <f t="shared" si="57"/>
        <v>9785.7109999999993</v>
      </c>
      <c r="S74" s="16">
        <f t="shared" si="57"/>
        <v>10276.223</v>
      </c>
      <c r="U74" s="30"/>
    </row>
    <row r="75" spans="3:21" x14ac:dyDescent="0.2">
      <c r="E75" s="5" t="s">
        <v>91</v>
      </c>
      <c r="F75" s="17">
        <f>+F73-F74</f>
        <v>-3285.5740000000005</v>
      </c>
      <c r="G75" s="17">
        <f t="shared" ref="G75:I75" si="59">+G73-G74</f>
        <v>-1644.87</v>
      </c>
      <c r="H75" s="17">
        <f t="shared" si="59"/>
        <v>-2668.5789999999997</v>
      </c>
      <c r="I75" s="17">
        <f t="shared" si="59"/>
        <v>-5156.110999999999</v>
      </c>
      <c r="K75" s="17">
        <f t="shared" ref="K75:L75" si="60">+K73-K74</f>
        <v>3499.7</v>
      </c>
      <c r="L75" s="17">
        <f t="shared" si="60"/>
        <v>3499.7</v>
      </c>
      <c r="M75" s="17">
        <f t="shared" ref="M75" si="61">+M73-M74</f>
        <v>3203.6</v>
      </c>
      <c r="N75" s="17">
        <f t="shared" ref="N75" si="62">+N73-N74</f>
        <v>-2668.5789999999997</v>
      </c>
      <c r="O75" s="17">
        <f t="shared" ref="O75" si="63">+O73-O74</f>
        <v>4506.6000000000004</v>
      </c>
      <c r="P75" s="17">
        <f t="shared" ref="P75" si="64">+P73-P74</f>
        <v>4465.5</v>
      </c>
      <c r="Q75" s="17">
        <f t="shared" ref="Q75" si="65">+Q73-Q74</f>
        <v>4496.3</v>
      </c>
      <c r="R75" s="17">
        <f t="shared" ref="R75" si="66">+R73-R74</f>
        <v>-5156.110999999999</v>
      </c>
      <c r="S75" s="17">
        <f t="shared" ref="S75" si="67">+S73-S74</f>
        <v>-5766.5230000000001</v>
      </c>
      <c r="U75" s="30"/>
    </row>
    <row r="76" spans="3:21" x14ac:dyDescent="0.2">
      <c r="F76" s="16"/>
      <c r="G76" s="16"/>
      <c r="H76" s="16"/>
      <c r="I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3:21" x14ac:dyDescent="0.2">
      <c r="E77" s="8" t="s">
        <v>27</v>
      </c>
      <c r="F77" s="19">
        <v>21274.424999999999</v>
      </c>
      <c r="G77" s="19">
        <v>89724.873000000007</v>
      </c>
      <c r="H77" s="19">
        <v>14753.901</v>
      </c>
      <c r="I77" s="19">
        <v>22541.951000000001</v>
      </c>
      <c r="K77" s="19"/>
      <c r="L77" s="19"/>
      <c r="M77" s="19"/>
      <c r="N77" s="19">
        <f>H77</f>
        <v>14753.901</v>
      </c>
      <c r="O77" s="19"/>
      <c r="P77" s="19"/>
      <c r="Q77" s="19"/>
      <c r="R77" s="19">
        <f>I77</f>
        <v>22541.951000000001</v>
      </c>
      <c r="S77" s="19">
        <v>21731.006000000001</v>
      </c>
    </row>
    <row r="78" spans="3:21" x14ac:dyDescent="0.2">
      <c r="C78" s="15" t="b" cm="1">
        <f t="array" ref="C78">AND(F78:I78&lt;$B$1,F78:I78&gt;-$B$1)</f>
        <v>1</v>
      </c>
      <c r="E78" s="8" t="s">
        <v>26</v>
      </c>
      <c r="F78" s="19">
        <f t="shared" ref="F78:I78" si="68">+F77-F70</f>
        <v>0</v>
      </c>
      <c r="G78" s="19">
        <f t="shared" si="68"/>
        <v>0</v>
      </c>
      <c r="H78" s="19">
        <f t="shared" si="68"/>
        <v>0</v>
      </c>
      <c r="I78" s="19">
        <f t="shared" si="68"/>
        <v>0</v>
      </c>
      <c r="K78" s="19">
        <f t="shared" ref="K78" si="69">+K77-K70</f>
        <v>0</v>
      </c>
      <c r="L78" s="19">
        <f t="shared" ref="L78:M78" si="70">+L77-L70</f>
        <v>0</v>
      </c>
      <c r="M78" s="19">
        <f t="shared" si="70"/>
        <v>0</v>
      </c>
      <c r="N78" s="19">
        <f t="shared" ref="N78" si="71">+N77-N70</f>
        <v>0</v>
      </c>
      <c r="O78" s="19">
        <f t="shared" ref="O78:P78" si="72">+O77-O70</f>
        <v>0</v>
      </c>
      <c r="P78" s="19">
        <f t="shared" si="72"/>
        <v>0</v>
      </c>
      <c r="Q78" s="19">
        <f t="shared" ref="Q78:S78" si="73">+Q77-Q70</f>
        <v>0</v>
      </c>
      <c r="R78" s="19">
        <f t="shared" si="73"/>
        <v>0</v>
      </c>
      <c r="S78" s="19">
        <f t="shared" si="73"/>
        <v>0</v>
      </c>
    </row>
    <row r="79" spans="3:21" x14ac:dyDescent="0.2">
      <c r="F79" s="16"/>
      <c r="G79" s="16"/>
      <c r="H79" s="16"/>
      <c r="I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3:21" x14ac:dyDescent="0.2">
      <c r="E80" s="5" t="str">
        <f>Input!$E$8&amp;" - CF"</f>
        <v>COIN - CF</v>
      </c>
      <c r="I80" s="9"/>
      <c r="K80" s="9"/>
      <c r="L80" s="9"/>
      <c r="M80" s="9"/>
      <c r="N80" s="9"/>
      <c r="O80" s="9"/>
      <c r="P80" s="9"/>
      <c r="Q80" s="9"/>
      <c r="R80" s="9"/>
      <c r="S80" s="9"/>
      <c r="U80" s="29" t="s">
        <v>47</v>
      </c>
    </row>
    <row r="81" spans="5:23" x14ac:dyDescent="0.2">
      <c r="E81" s="10" t="str">
        <f>+Input!$E$14</f>
        <v>$m</v>
      </c>
      <c r="F81" s="21" t="s">
        <v>59</v>
      </c>
      <c r="G81" s="21" t="s">
        <v>60</v>
      </c>
      <c r="H81" s="21" t="s">
        <v>61</v>
      </c>
      <c r="I81" s="21" t="s">
        <v>62</v>
      </c>
      <c r="K81" s="39" t="s">
        <v>108</v>
      </c>
      <c r="L81" s="39" t="s">
        <v>28</v>
      </c>
      <c r="M81" s="39" t="s">
        <v>105</v>
      </c>
      <c r="N81" s="39" t="s">
        <v>61</v>
      </c>
      <c r="O81" s="40" t="s">
        <v>98</v>
      </c>
      <c r="P81" s="40" t="s">
        <v>29</v>
      </c>
      <c r="Q81" s="40" t="s">
        <v>99</v>
      </c>
      <c r="R81" s="40" t="s">
        <v>62</v>
      </c>
      <c r="S81" s="21" t="s">
        <v>97</v>
      </c>
      <c r="U81" s="28" t="s">
        <v>79</v>
      </c>
    </row>
    <row r="82" spans="5:23" ht="3" customHeight="1" x14ac:dyDescent="0.2"/>
    <row r="83" spans="5:23" x14ac:dyDescent="0.2">
      <c r="E83" s="13" t="s">
        <v>35</v>
      </c>
      <c r="F83" s="16">
        <v>4038.172</v>
      </c>
      <c r="G83" s="16">
        <v>-1585.4190000000001</v>
      </c>
      <c r="H83" s="16">
        <v>922.95100000000002</v>
      </c>
      <c r="I83" s="16">
        <v>2556.8440000000001</v>
      </c>
      <c r="K83" s="16">
        <v>463.07799999999997</v>
      </c>
      <c r="L83" s="16">
        <v>614.202</v>
      </c>
      <c r="M83" s="16">
        <f>928.137-SUM(K83:L83)</f>
        <v>-149.14300000000003</v>
      </c>
      <c r="N83" s="16">
        <f>I83-SUM(K83:M83)</f>
        <v>1628.7070000000001</v>
      </c>
      <c r="O83" s="16">
        <v>411.48500000000001</v>
      </c>
      <c r="P83" s="16">
        <f>895.682-O83</f>
        <v>484.197</v>
      </c>
      <c r="Q83" s="16">
        <f>1592.226-SUM(O83:P83)</f>
        <v>696.5440000000001</v>
      </c>
      <c r="R83" s="16">
        <f>I83-SUM(O83:Q83)</f>
        <v>964.61799999999994</v>
      </c>
      <c r="S83" s="16">
        <v>-182.727</v>
      </c>
      <c r="U83" s="23">
        <f>IFERROR((I83/F83)^(1/3)-1,"n/a")</f>
        <v>-0.14130327592383696</v>
      </c>
    </row>
    <row r="84" spans="5:23" x14ac:dyDescent="0.2">
      <c r="E84" s="13" t="s">
        <v>36</v>
      </c>
      <c r="F84" s="18">
        <v>-1124.74</v>
      </c>
      <c r="G84" s="18">
        <v>-663.822</v>
      </c>
      <c r="H84" s="18">
        <v>5.3920000000000003</v>
      </c>
      <c r="I84" s="18">
        <v>-282.38499999999999</v>
      </c>
      <c r="K84" s="18">
        <v>-26.08</v>
      </c>
      <c r="L84" s="18">
        <v>-12.754</v>
      </c>
      <c r="M84" s="18">
        <f>-85.117-SUM(K84:L84)</f>
        <v>-46.283000000000008</v>
      </c>
      <c r="N84" s="18">
        <f>I84-SUM(K84:M84)</f>
        <v>-197.26799999999997</v>
      </c>
      <c r="O84" s="18">
        <v>-125.681</v>
      </c>
      <c r="P84" s="18">
        <f>-144.292-O84</f>
        <v>-18.611000000000004</v>
      </c>
      <c r="Q84" s="18">
        <f>-232.969-SUM(O84:P84)</f>
        <v>-88.676999999999992</v>
      </c>
      <c r="R84" s="18">
        <f>I84-SUM(O84:Q84)</f>
        <v>-49.415999999999997</v>
      </c>
      <c r="S84" s="18">
        <v>-231.65299999999999</v>
      </c>
      <c r="U84" s="23">
        <f>IFERROR((I84/F84)^(1/3)-1,"n/a")</f>
        <v>-0.36914459589093829</v>
      </c>
    </row>
    <row r="85" spans="5:23" x14ac:dyDescent="0.2">
      <c r="E85" s="5" t="s">
        <v>37</v>
      </c>
      <c r="F85" s="17">
        <f t="shared" ref="F85:H85" si="74">+F83+F84</f>
        <v>2913.4319999999998</v>
      </c>
      <c r="G85" s="17">
        <f t="shared" si="74"/>
        <v>-2249.241</v>
      </c>
      <c r="H85" s="17">
        <f t="shared" si="74"/>
        <v>928.34300000000007</v>
      </c>
      <c r="I85" s="17">
        <f>+I83+I84</f>
        <v>2274.4589999999998</v>
      </c>
      <c r="K85" s="17">
        <f t="shared" ref="K85:N85" si="75">+K83+K84</f>
        <v>436.99799999999999</v>
      </c>
      <c r="L85" s="17">
        <f t="shared" si="75"/>
        <v>601.44799999999998</v>
      </c>
      <c r="M85" s="17">
        <f t="shared" si="75"/>
        <v>-195.42600000000004</v>
      </c>
      <c r="N85" s="17">
        <f t="shared" si="75"/>
        <v>1431.4390000000001</v>
      </c>
      <c r="O85" s="17">
        <f>+O83+O84</f>
        <v>285.80400000000003</v>
      </c>
      <c r="P85" s="17">
        <f>+P83+P84</f>
        <v>465.58600000000001</v>
      </c>
      <c r="Q85" s="17">
        <f t="shared" ref="Q85:S85" si="76">+Q83+Q84</f>
        <v>607.86700000000008</v>
      </c>
      <c r="R85" s="17">
        <f t="shared" si="76"/>
        <v>915.202</v>
      </c>
      <c r="S85" s="17">
        <f t="shared" si="76"/>
        <v>-414.38</v>
      </c>
      <c r="U85" s="30">
        <f>IFERROR((I85/F85)^(1/3)-1,"n/a")</f>
        <v>-7.9216046658247219E-2</v>
      </c>
    </row>
    <row r="86" spans="5:23" x14ac:dyDescent="0.2">
      <c r="E86" s="13" t="s">
        <v>111</v>
      </c>
      <c r="F86" s="16">
        <v>9976.0840000000007</v>
      </c>
      <c r="G86" s="16">
        <v>-5838.518</v>
      </c>
      <c r="H86" s="16">
        <v>-811.33199999999999</v>
      </c>
      <c r="I86" s="16">
        <v>2828.9209999999998</v>
      </c>
      <c r="K86" s="16">
        <v>460.12900000000002</v>
      </c>
      <c r="L86" s="16">
        <v>-1142.2629999999999</v>
      </c>
      <c r="M86" s="16">
        <f>-1734.128-SUM(K86:L86)</f>
        <v>-1051.9940000000001</v>
      </c>
      <c r="N86" s="16">
        <f>I86-SUM(K86:M86)</f>
        <v>4563.049</v>
      </c>
      <c r="O86" s="16">
        <v>1927.721</v>
      </c>
      <c r="P86" s="16">
        <f>993.988-O86</f>
        <v>-933.73299999999995</v>
      </c>
      <c r="Q86" s="16">
        <f>682.663-SUM(O86:P86)</f>
        <v>-311.32500000000005</v>
      </c>
      <c r="R86" s="16">
        <f>I86-SUM(O86:Q86)</f>
        <v>2146.2579999999998</v>
      </c>
      <c r="S86" s="16">
        <v>-893.80200000000002</v>
      </c>
      <c r="U86" s="23">
        <f>IFERROR((I86/F86)^(1/3)-1,"n/a")</f>
        <v>-0.34301784391940782</v>
      </c>
      <c r="W86" s="25" t="s">
        <v>130</v>
      </c>
    </row>
    <row r="89" spans="5:23" x14ac:dyDescent="0.2"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5:23" x14ac:dyDescent="0.2"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5:23" x14ac:dyDescent="0.2"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5:23" x14ac:dyDescent="0.2">
      <c r="F92" s="16"/>
      <c r="G92" s="16"/>
      <c r="H92" s="16"/>
      <c r="I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5:23" x14ac:dyDescent="0.2"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5:23" x14ac:dyDescent="0.2"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5:23" x14ac:dyDescent="0.2"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5:23" x14ac:dyDescent="0.2"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6:19" x14ac:dyDescent="0.2"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6:19" x14ac:dyDescent="0.2"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6:19" x14ac:dyDescent="0.2"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6:19" x14ac:dyDescent="0.2"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6:19" x14ac:dyDescent="0.2"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6:19" x14ac:dyDescent="0.2"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6:19" x14ac:dyDescent="0.2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6:19" x14ac:dyDescent="0.2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6:19" x14ac:dyDescent="0.2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6:19" x14ac:dyDescent="0.2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6:19" x14ac:dyDescent="0.2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6:19" x14ac:dyDescent="0.2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6:19" x14ac:dyDescent="0.2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6:19" x14ac:dyDescent="0.2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6:19" x14ac:dyDescent="0.2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6:19" x14ac:dyDescent="0.2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6:19" x14ac:dyDescent="0.2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6:19" x14ac:dyDescent="0.2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6:19" x14ac:dyDescent="0.2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6:19" x14ac:dyDescent="0.2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6:19" x14ac:dyDescent="0.2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6:19" x14ac:dyDescent="0.2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6:19" x14ac:dyDescent="0.2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6:19" x14ac:dyDescent="0.2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6:19" x14ac:dyDescent="0.2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6:19" x14ac:dyDescent="0.2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6:19" x14ac:dyDescent="0.2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6:19" x14ac:dyDescent="0.2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6:19" x14ac:dyDescent="0.2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6:19" x14ac:dyDescent="0.2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6:19" x14ac:dyDescent="0.2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6:19" x14ac:dyDescent="0.2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6:19" x14ac:dyDescent="0.2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6:19" x14ac:dyDescent="0.2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6:19" x14ac:dyDescent="0.2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6:19" x14ac:dyDescent="0.2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6:19" x14ac:dyDescent="0.2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6:19" x14ac:dyDescent="0.2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6:19" x14ac:dyDescent="0.2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6:19" x14ac:dyDescent="0.2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6:19" x14ac:dyDescent="0.2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6:19" x14ac:dyDescent="0.2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6:19" x14ac:dyDescent="0.2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6:19" x14ac:dyDescent="0.2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6:19" x14ac:dyDescent="0.2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6:19" x14ac:dyDescent="0.2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6:19" x14ac:dyDescent="0.2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6:19" x14ac:dyDescent="0.2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6:19" x14ac:dyDescent="0.2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6:19" x14ac:dyDescent="0.2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6:19" x14ac:dyDescent="0.2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6:19" x14ac:dyDescent="0.2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6:19" x14ac:dyDescent="0.2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6:19" x14ac:dyDescent="0.2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6:19" x14ac:dyDescent="0.2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6:19" x14ac:dyDescent="0.2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6:19" x14ac:dyDescent="0.2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6:19" x14ac:dyDescent="0.2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6:19" x14ac:dyDescent="0.2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6:19" x14ac:dyDescent="0.2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6:19" x14ac:dyDescent="0.2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6:19" x14ac:dyDescent="0.2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6:19" x14ac:dyDescent="0.2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6:19" x14ac:dyDescent="0.2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6:19" x14ac:dyDescent="0.2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6:19" x14ac:dyDescent="0.2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6:19" x14ac:dyDescent="0.2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6:19" x14ac:dyDescent="0.2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6:19" x14ac:dyDescent="0.2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6:19" x14ac:dyDescent="0.2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6:19" x14ac:dyDescent="0.2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6:19" x14ac:dyDescent="0.2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6:19" x14ac:dyDescent="0.2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6:19" x14ac:dyDescent="0.2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6:19" x14ac:dyDescent="0.2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6:19" x14ac:dyDescent="0.2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6:19" x14ac:dyDescent="0.2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6:19" x14ac:dyDescent="0.2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6:19" x14ac:dyDescent="0.2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6:19" x14ac:dyDescent="0.2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6:19" x14ac:dyDescent="0.2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6:19" x14ac:dyDescent="0.2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6:19" x14ac:dyDescent="0.2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6:19" x14ac:dyDescent="0.2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6:19" x14ac:dyDescent="0.2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6:19" x14ac:dyDescent="0.2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6:19" x14ac:dyDescent="0.2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6:19" x14ac:dyDescent="0.2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6:19" x14ac:dyDescent="0.2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6:19" x14ac:dyDescent="0.2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6:19" x14ac:dyDescent="0.2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6:19" x14ac:dyDescent="0.2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6:19" x14ac:dyDescent="0.2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6:19" x14ac:dyDescent="0.2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6:19" x14ac:dyDescent="0.2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6:19" x14ac:dyDescent="0.2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6:19" x14ac:dyDescent="0.2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6:19" x14ac:dyDescent="0.2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6:19" x14ac:dyDescent="0.2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6:19" x14ac:dyDescent="0.2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6:19" x14ac:dyDescent="0.2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6:19" x14ac:dyDescent="0.2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6:19" x14ac:dyDescent="0.2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6:19" x14ac:dyDescent="0.2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6:19" x14ac:dyDescent="0.2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6:19" x14ac:dyDescent="0.2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6:19" x14ac:dyDescent="0.2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6:19" x14ac:dyDescent="0.2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6:19" x14ac:dyDescent="0.2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6:19" x14ac:dyDescent="0.2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6:19" x14ac:dyDescent="0.2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6:19" x14ac:dyDescent="0.2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6:19" x14ac:dyDescent="0.2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6:19" x14ac:dyDescent="0.2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6:19" x14ac:dyDescent="0.2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6:19" x14ac:dyDescent="0.2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6:19" x14ac:dyDescent="0.2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6:19" x14ac:dyDescent="0.2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6:19" x14ac:dyDescent="0.2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6:19" x14ac:dyDescent="0.2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6:19" x14ac:dyDescent="0.2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6:19" x14ac:dyDescent="0.2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6:19" x14ac:dyDescent="0.2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6:19" x14ac:dyDescent="0.2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6:19" x14ac:dyDescent="0.2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6:19" x14ac:dyDescent="0.2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6:19" x14ac:dyDescent="0.2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6:19" x14ac:dyDescent="0.2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6:19" x14ac:dyDescent="0.2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6:19" x14ac:dyDescent="0.2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6:19" x14ac:dyDescent="0.2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6:19" x14ac:dyDescent="0.2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6:19" x14ac:dyDescent="0.2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6:19" x14ac:dyDescent="0.2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6:19" x14ac:dyDescent="0.2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6:19" x14ac:dyDescent="0.2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6:19" x14ac:dyDescent="0.2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6:19" x14ac:dyDescent="0.2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6:19" x14ac:dyDescent="0.2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6:19" x14ac:dyDescent="0.2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6:19" x14ac:dyDescent="0.2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6:19" x14ac:dyDescent="0.2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6:19" x14ac:dyDescent="0.2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6:19" x14ac:dyDescent="0.2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6:19" x14ac:dyDescent="0.2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6:19" x14ac:dyDescent="0.2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6:19" x14ac:dyDescent="0.2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6:19" x14ac:dyDescent="0.2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6:19" x14ac:dyDescent="0.2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6:19" x14ac:dyDescent="0.2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6:19" x14ac:dyDescent="0.2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6:19" x14ac:dyDescent="0.2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6:19" x14ac:dyDescent="0.2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6:19" x14ac:dyDescent="0.2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6:19" x14ac:dyDescent="0.2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6:19" x14ac:dyDescent="0.2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6:19" x14ac:dyDescent="0.2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6:19" x14ac:dyDescent="0.2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6:19" x14ac:dyDescent="0.2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6:19" x14ac:dyDescent="0.2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6:19" x14ac:dyDescent="0.2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6:19" x14ac:dyDescent="0.2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6:19" x14ac:dyDescent="0.2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6:19" x14ac:dyDescent="0.2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6:19" x14ac:dyDescent="0.2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6:19" x14ac:dyDescent="0.2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6:19" x14ac:dyDescent="0.2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6:19" x14ac:dyDescent="0.2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6:19" x14ac:dyDescent="0.2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6:19" x14ac:dyDescent="0.2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6:19" x14ac:dyDescent="0.2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6:19" x14ac:dyDescent="0.2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6:19" x14ac:dyDescent="0.2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6:19" x14ac:dyDescent="0.2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6:19" x14ac:dyDescent="0.2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6:19" x14ac:dyDescent="0.2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6:19" x14ac:dyDescent="0.2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6:19" x14ac:dyDescent="0.2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6:19" x14ac:dyDescent="0.2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6:19" x14ac:dyDescent="0.2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6:19" x14ac:dyDescent="0.2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6:19" x14ac:dyDescent="0.2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6:19" x14ac:dyDescent="0.2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6:19" x14ac:dyDescent="0.2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6:19" x14ac:dyDescent="0.2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6:19" x14ac:dyDescent="0.2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6:19" x14ac:dyDescent="0.2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6:19" x14ac:dyDescent="0.2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6:19" x14ac:dyDescent="0.2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6:19" x14ac:dyDescent="0.2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6:19" x14ac:dyDescent="0.2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6:19" x14ac:dyDescent="0.2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6:19" x14ac:dyDescent="0.2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6:19" x14ac:dyDescent="0.2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6:19" x14ac:dyDescent="0.2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6:19" x14ac:dyDescent="0.2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6:19" x14ac:dyDescent="0.2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6:19" x14ac:dyDescent="0.2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6:19" x14ac:dyDescent="0.2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6:19" x14ac:dyDescent="0.2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6:19" x14ac:dyDescent="0.2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6:19" x14ac:dyDescent="0.2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6:19" x14ac:dyDescent="0.2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6:19" x14ac:dyDescent="0.2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6:19" x14ac:dyDescent="0.2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6:19" x14ac:dyDescent="0.2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6:19" x14ac:dyDescent="0.2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6:19" x14ac:dyDescent="0.2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6:19" x14ac:dyDescent="0.2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6:19" x14ac:dyDescent="0.2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6:19" x14ac:dyDescent="0.2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6:19" x14ac:dyDescent="0.2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6:19" x14ac:dyDescent="0.2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6:19" x14ac:dyDescent="0.2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6:19" x14ac:dyDescent="0.2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6:19" x14ac:dyDescent="0.2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6:19" x14ac:dyDescent="0.2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6:19" x14ac:dyDescent="0.2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6:19" x14ac:dyDescent="0.2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6:19" x14ac:dyDescent="0.2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6:19" x14ac:dyDescent="0.2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6:19" x14ac:dyDescent="0.2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6:19" x14ac:dyDescent="0.2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6:19" x14ac:dyDescent="0.2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6:19" x14ac:dyDescent="0.2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6:19" x14ac:dyDescent="0.2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6:19" x14ac:dyDescent="0.2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6:19" x14ac:dyDescent="0.2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6:19" x14ac:dyDescent="0.2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6:19" x14ac:dyDescent="0.2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6:19" x14ac:dyDescent="0.2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6:19" x14ac:dyDescent="0.2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6:19" x14ac:dyDescent="0.2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6:19" x14ac:dyDescent="0.2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6:19" x14ac:dyDescent="0.2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6:19" x14ac:dyDescent="0.2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6:19" x14ac:dyDescent="0.2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6:19" x14ac:dyDescent="0.2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6:19" x14ac:dyDescent="0.2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6:19" x14ac:dyDescent="0.2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6:19" x14ac:dyDescent="0.2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6:19" x14ac:dyDescent="0.2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6:19" x14ac:dyDescent="0.2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6:19" x14ac:dyDescent="0.2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6:19" x14ac:dyDescent="0.2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6:19" x14ac:dyDescent="0.2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6:19" x14ac:dyDescent="0.2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6:19" x14ac:dyDescent="0.2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6:19" x14ac:dyDescent="0.2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6:19" x14ac:dyDescent="0.2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6:19" x14ac:dyDescent="0.2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6:19" x14ac:dyDescent="0.2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6:19" x14ac:dyDescent="0.2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6:19" x14ac:dyDescent="0.2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6:19" x14ac:dyDescent="0.2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6:19" x14ac:dyDescent="0.2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6:19" x14ac:dyDescent="0.2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6:19" x14ac:dyDescent="0.2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6:19" x14ac:dyDescent="0.2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6:19" x14ac:dyDescent="0.2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6:19" x14ac:dyDescent="0.2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6:19" x14ac:dyDescent="0.2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6:19" x14ac:dyDescent="0.2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6:19" x14ac:dyDescent="0.2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6:19" x14ac:dyDescent="0.2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6:19" x14ac:dyDescent="0.2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6:19" x14ac:dyDescent="0.2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6:19" x14ac:dyDescent="0.2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6:19" x14ac:dyDescent="0.2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6:19" x14ac:dyDescent="0.2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6:19" x14ac:dyDescent="0.2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6:19" x14ac:dyDescent="0.2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6:19" x14ac:dyDescent="0.2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6:19" x14ac:dyDescent="0.2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6:19" x14ac:dyDescent="0.2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6:19" x14ac:dyDescent="0.2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6:19" x14ac:dyDescent="0.2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6:19" x14ac:dyDescent="0.2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6:19" x14ac:dyDescent="0.2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6:19" x14ac:dyDescent="0.2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6:19" x14ac:dyDescent="0.2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6:19" x14ac:dyDescent="0.2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6:19" x14ac:dyDescent="0.2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6:19" x14ac:dyDescent="0.2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6:19" x14ac:dyDescent="0.2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6:19" x14ac:dyDescent="0.2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6:19" x14ac:dyDescent="0.2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6:19" x14ac:dyDescent="0.2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6:19" x14ac:dyDescent="0.2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6:19" x14ac:dyDescent="0.2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6:19" x14ac:dyDescent="0.2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6:19" x14ac:dyDescent="0.2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6:19" x14ac:dyDescent="0.2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6:19" x14ac:dyDescent="0.2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6:19" x14ac:dyDescent="0.2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6:19" x14ac:dyDescent="0.2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6:19" x14ac:dyDescent="0.2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6:19" x14ac:dyDescent="0.2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6:19" x14ac:dyDescent="0.2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6:19" x14ac:dyDescent="0.2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6:19" x14ac:dyDescent="0.2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6:19" x14ac:dyDescent="0.2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6:19" x14ac:dyDescent="0.2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6:19" x14ac:dyDescent="0.2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6:19" x14ac:dyDescent="0.2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6:19" x14ac:dyDescent="0.2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6:19" x14ac:dyDescent="0.2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6:19" x14ac:dyDescent="0.2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6:19" x14ac:dyDescent="0.2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6:19" x14ac:dyDescent="0.2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6:19" x14ac:dyDescent="0.2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6:19" x14ac:dyDescent="0.2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6:19" x14ac:dyDescent="0.2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6:19" x14ac:dyDescent="0.2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6:19" x14ac:dyDescent="0.2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6:19" x14ac:dyDescent="0.2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6:19" x14ac:dyDescent="0.2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6:19" x14ac:dyDescent="0.2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6:19" x14ac:dyDescent="0.2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6:19" x14ac:dyDescent="0.2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6:19" x14ac:dyDescent="0.2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6:19" x14ac:dyDescent="0.2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6:19" x14ac:dyDescent="0.2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6:19" x14ac:dyDescent="0.2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6:19" x14ac:dyDescent="0.2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6:19" x14ac:dyDescent="0.2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6:19" x14ac:dyDescent="0.2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6:19" x14ac:dyDescent="0.2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6:19" x14ac:dyDescent="0.2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6:19" x14ac:dyDescent="0.2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6:19" x14ac:dyDescent="0.2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6:19" x14ac:dyDescent="0.2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6:19" x14ac:dyDescent="0.2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6:19" x14ac:dyDescent="0.2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6:19" x14ac:dyDescent="0.2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6:19" x14ac:dyDescent="0.2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6:19" x14ac:dyDescent="0.2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6:19" x14ac:dyDescent="0.2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6:19" x14ac:dyDescent="0.2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6:19" x14ac:dyDescent="0.2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6:19" x14ac:dyDescent="0.2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6:19" x14ac:dyDescent="0.2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6:19" x14ac:dyDescent="0.2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6:19" x14ac:dyDescent="0.2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6:19" x14ac:dyDescent="0.2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6:19" x14ac:dyDescent="0.2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6:19" x14ac:dyDescent="0.2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6:19" x14ac:dyDescent="0.2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6:19" x14ac:dyDescent="0.2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6:19" x14ac:dyDescent="0.2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6:19" x14ac:dyDescent="0.2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6:19" x14ac:dyDescent="0.2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6:19" x14ac:dyDescent="0.2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6:19" x14ac:dyDescent="0.2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6:19" x14ac:dyDescent="0.2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6:19" x14ac:dyDescent="0.2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6:19" x14ac:dyDescent="0.2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6:19" x14ac:dyDescent="0.2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6:19" x14ac:dyDescent="0.2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6:19" x14ac:dyDescent="0.2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6:19" x14ac:dyDescent="0.2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6:19" x14ac:dyDescent="0.2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6:19" x14ac:dyDescent="0.2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6:19" x14ac:dyDescent="0.2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6:19" x14ac:dyDescent="0.2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6:19" x14ac:dyDescent="0.2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6:19" x14ac:dyDescent="0.2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6:19" x14ac:dyDescent="0.2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6:19" x14ac:dyDescent="0.2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6:19" x14ac:dyDescent="0.2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6:19" x14ac:dyDescent="0.2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6:19" x14ac:dyDescent="0.2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6:19" x14ac:dyDescent="0.2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6:19" x14ac:dyDescent="0.2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6:19" x14ac:dyDescent="0.2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6:19" x14ac:dyDescent="0.2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6:19" x14ac:dyDescent="0.2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6:19" x14ac:dyDescent="0.2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6:19" x14ac:dyDescent="0.2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6:19" x14ac:dyDescent="0.2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6:19" x14ac:dyDescent="0.2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6:19" x14ac:dyDescent="0.2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6:19" x14ac:dyDescent="0.2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6:19" x14ac:dyDescent="0.2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6:19" x14ac:dyDescent="0.2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6:19" x14ac:dyDescent="0.2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6:19" x14ac:dyDescent="0.2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6:19" x14ac:dyDescent="0.2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6:19" x14ac:dyDescent="0.2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6:19" x14ac:dyDescent="0.2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6:19" x14ac:dyDescent="0.2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6:19" x14ac:dyDescent="0.2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6:19" x14ac:dyDescent="0.2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6:19" x14ac:dyDescent="0.2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6:19" x14ac:dyDescent="0.2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6:19" x14ac:dyDescent="0.2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6:19" x14ac:dyDescent="0.2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6:19" x14ac:dyDescent="0.2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6:19" x14ac:dyDescent="0.2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6:19" x14ac:dyDescent="0.2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6:19" x14ac:dyDescent="0.2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6:19" x14ac:dyDescent="0.2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6:19" x14ac:dyDescent="0.2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6:19" x14ac:dyDescent="0.2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6:19" x14ac:dyDescent="0.2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6:19" x14ac:dyDescent="0.2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6:19" x14ac:dyDescent="0.2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6:19" x14ac:dyDescent="0.2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6:19" x14ac:dyDescent="0.2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6:19" x14ac:dyDescent="0.2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6:19" x14ac:dyDescent="0.2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6:19" x14ac:dyDescent="0.2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6:19" x14ac:dyDescent="0.2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6:19" x14ac:dyDescent="0.2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6:19" x14ac:dyDescent="0.2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6:19" x14ac:dyDescent="0.2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6:19" x14ac:dyDescent="0.2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6:19" x14ac:dyDescent="0.2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6:19" x14ac:dyDescent="0.2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6:19" x14ac:dyDescent="0.2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6:19" x14ac:dyDescent="0.2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6:19" x14ac:dyDescent="0.2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6:19" x14ac:dyDescent="0.2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6:19" x14ac:dyDescent="0.2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6:19" x14ac:dyDescent="0.2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6:19" x14ac:dyDescent="0.2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6:19" x14ac:dyDescent="0.2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6:19" x14ac:dyDescent="0.2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6:19" x14ac:dyDescent="0.2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6:19" x14ac:dyDescent="0.2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6:19" x14ac:dyDescent="0.2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6:19" x14ac:dyDescent="0.2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6:19" x14ac:dyDescent="0.2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6:19" x14ac:dyDescent="0.2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6:19" x14ac:dyDescent="0.2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6:19" x14ac:dyDescent="0.2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6:19" x14ac:dyDescent="0.2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6:19" x14ac:dyDescent="0.2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6:19" x14ac:dyDescent="0.2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6:19" x14ac:dyDescent="0.2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6:19" x14ac:dyDescent="0.2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6:19" x14ac:dyDescent="0.2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6:19" x14ac:dyDescent="0.2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6:19" x14ac:dyDescent="0.2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6:19" x14ac:dyDescent="0.2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6:19" x14ac:dyDescent="0.2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6:19" x14ac:dyDescent="0.2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6:19" x14ac:dyDescent="0.2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6:19" x14ac:dyDescent="0.2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6:19" x14ac:dyDescent="0.2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6:19" x14ac:dyDescent="0.2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6:19" x14ac:dyDescent="0.2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6:19" x14ac:dyDescent="0.2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6:19" x14ac:dyDescent="0.2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6:19" x14ac:dyDescent="0.2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6:19" x14ac:dyDescent="0.2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6:19" x14ac:dyDescent="0.2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6:19" x14ac:dyDescent="0.2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6:19" x14ac:dyDescent="0.2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6:19" x14ac:dyDescent="0.2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6:19" x14ac:dyDescent="0.2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6:19" x14ac:dyDescent="0.2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6:19" x14ac:dyDescent="0.2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6:19" x14ac:dyDescent="0.2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6:19" x14ac:dyDescent="0.2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6:19" x14ac:dyDescent="0.2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6:19" x14ac:dyDescent="0.2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6:19" x14ac:dyDescent="0.2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6:19" x14ac:dyDescent="0.2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6:19" x14ac:dyDescent="0.2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6:19" x14ac:dyDescent="0.2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6:19" x14ac:dyDescent="0.2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6:19" x14ac:dyDescent="0.2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6:19" x14ac:dyDescent="0.2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6:19" x14ac:dyDescent="0.2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6:19" x14ac:dyDescent="0.2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6:19" x14ac:dyDescent="0.2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6:19" x14ac:dyDescent="0.2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6:19" x14ac:dyDescent="0.2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6:19" x14ac:dyDescent="0.2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6:19" x14ac:dyDescent="0.2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6:19" x14ac:dyDescent="0.2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6:19" x14ac:dyDescent="0.2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6:19" x14ac:dyDescent="0.2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6:19" x14ac:dyDescent="0.2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6:19" x14ac:dyDescent="0.2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6:19" x14ac:dyDescent="0.2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6:19" x14ac:dyDescent="0.2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6:19" x14ac:dyDescent="0.2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6:19" x14ac:dyDescent="0.2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6:19" x14ac:dyDescent="0.2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6:19" x14ac:dyDescent="0.2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6:19" x14ac:dyDescent="0.2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6:19" x14ac:dyDescent="0.2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6:19" x14ac:dyDescent="0.2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6:19" x14ac:dyDescent="0.2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6:19" x14ac:dyDescent="0.2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6:19" x14ac:dyDescent="0.2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6:19" x14ac:dyDescent="0.2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6:19" x14ac:dyDescent="0.2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6:19" x14ac:dyDescent="0.2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6:19" x14ac:dyDescent="0.2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6:19" x14ac:dyDescent="0.2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6:19" x14ac:dyDescent="0.2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6:19" x14ac:dyDescent="0.2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6:19" x14ac:dyDescent="0.2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6:19" x14ac:dyDescent="0.2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6:19" x14ac:dyDescent="0.2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6:19" x14ac:dyDescent="0.2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6:19" x14ac:dyDescent="0.2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6:19" x14ac:dyDescent="0.2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6:19" x14ac:dyDescent="0.2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6:19" x14ac:dyDescent="0.2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6:19" x14ac:dyDescent="0.2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6:19" x14ac:dyDescent="0.2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6:19" x14ac:dyDescent="0.2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6:19" x14ac:dyDescent="0.2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6:19" x14ac:dyDescent="0.2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6:19" x14ac:dyDescent="0.2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6:19" x14ac:dyDescent="0.2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6:19" x14ac:dyDescent="0.2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6:19" x14ac:dyDescent="0.2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6:19" x14ac:dyDescent="0.2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6:19" x14ac:dyDescent="0.2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6:19" x14ac:dyDescent="0.2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6:19" x14ac:dyDescent="0.2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6:19" x14ac:dyDescent="0.2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6:19" x14ac:dyDescent="0.2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6:19" x14ac:dyDescent="0.2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6:19" x14ac:dyDescent="0.2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6:19" x14ac:dyDescent="0.2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6:19" x14ac:dyDescent="0.2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6:19" x14ac:dyDescent="0.2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6:19" x14ac:dyDescent="0.2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6:19" x14ac:dyDescent="0.2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6:19" x14ac:dyDescent="0.2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6:19" x14ac:dyDescent="0.2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6:19" x14ac:dyDescent="0.2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6:19" x14ac:dyDescent="0.2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6:19" x14ac:dyDescent="0.2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6:19" x14ac:dyDescent="0.2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6:19" x14ac:dyDescent="0.2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6:19" x14ac:dyDescent="0.2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6:19" x14ac:dyDescent="0.2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6:19" x14ac:dyDescent="0.2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6:19" x14ac:dyDescent="0.2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6:19" x14ac:dyDescent="0.2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6:19" x14ac:dyDescent="0.2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6:19" x14ac:dyDescent="0.2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6:19" x14ac:dyDescent="0.2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6:19" x14ac:dyDescent="0.2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6:19" x14ac:dyDescent="0.2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6:19" x14ac:dyDescent="0.2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6:19" x14ac:dyDescent="0.2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6:19" x14ac:dyDescent="0.2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6:19" x14ac:dyDescent="0.2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6:19" x14ac:dyDescent="0.2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6:19" x14ac:dyDescent="0.2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6:19" x14ac:dyDescent="0.2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6:19" x14ac:dyDescent="0.2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6:19" x14ac:dyDescent="0.2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6:19" x14ac:dyDescent="0.2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6:19" x14ac:dyDescent="0.2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6:19" x14ac:dyDescent="0.2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6:19" x14ac:dyDescent="0.2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6:19" x14ac:dyDescent="0.2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6:19" x14ac:dyDescent="0.2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6:19" x14ac:dyDescent="0.2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6:19" x14ac:dyDescent="0.2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6:19" x14ac:dyDescent="0.2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6:19" x14ac:dyDescent="0.2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6:19" x14ac:dyDescent="0.2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6:19" x14ac:dyDescent="0.2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6:19" x14ac:dyDescent="0.2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6:19" x14ac:dyDescent="0.2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6:19" x14ac:dyDescent="0.2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6:19" x14ac:dyDescent="0.2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6:19" x14ac:dyDescent="0.2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6:19" x14ac:dyDescent="0.2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6:19" x14ac:dyDescent="0.2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6:19" x14ac:dyDescent="0.2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6:19" x14ac:dyDescent="0.2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6:19" x14ac:dyDescent="0.2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6:19" x14ac:dyDescent="0.2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6:19" x14ac:dyDescent="0.2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6:19" x14ac:dyDescent="0.2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6:19" x14ac:dyDescent="0.2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6:19" x14ac:dyDescent="0.2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6:19" x14ac:dyDescent="0.2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6:19" x14ac:dyDescent="0.2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6:19" x14ac:dyDescent="0.2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6:19" x14ac:dyDescent="0.2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6:19" x14ac:dyDescent="0.2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6:19" x14ac:dyDescent="0.2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6:19" x14ac:dyDescent="0.2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6:19" x14ac:dyDescent="0.2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6:19" x14ac:dyDescent="0.2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6:19" x14ac:dyDescent="0.2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6:19" x14ac:dyDescent="0.2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6:19" x14ac:dyDescent="0.2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6:19" x14ac:dyDescent="0.2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6:19" x14ac:dyDescent="0.2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6:19" x14ac:dyDescent="0.2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6:19" x14ac:dyDescent="0.2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6:19" x14ac:dyDescent="0.2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6:19" x14ac:dyDescent="0.2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6:19" x14ac:dyDescent="0.2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6:19" x14ac:dyDescent="0.2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6:19" x14ac:dyDescent="0.2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6:19" x14ac:dyDescent="0.2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6:19" x14ac:dyDescent="0.2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6:19" x14ac:dyDescent="0.2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6:19" x14ac:dyDescent="0.2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6:19" x14ac:dyDescent="0.2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6:19" x14ac:dyDescent="0.2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6:19" x14ac:dyDescent="0.2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6:19" x14ac:dyDescent="0.2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6:19" x14ac:dyDescent="0.2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6:19" x14ac:dyDescent="0.2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6:19" x14ac:dyDescent="0.2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6:19" x14ac:dyDescent="0.2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6:19" x14ac:dyDescent="0.2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6:19" x14ac:dyDescent="0.2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6:19" x14ac:dyDescent="0.2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6:19" x14ac:dyDescent="0.2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6:19" x14ac:dyDescent="0.2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6:19" x14ac:dyDescent="0.2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6:19" x14ac:dyDescent="0.2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6:19" x14ac:dyDescent="0.2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6:19" x14ac:dyDescent="0.2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6:19" x14ac:dyDescent="0.2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6:19" x14ac:dyDescent="0.2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6:19" x14ac:dyDescent="0.2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6:19" x14ac:dyDescent="0.2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6:19" x14ac:dyDescent="0.2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6:19" x14ac:dyDescent="0.2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6:19" x14ac:dyDescent="0.2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6:19" x14ac:dyDescent="0.2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6:19" x14ac:dyDescent="0.2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6:19" x14ac:dyDescent="0.2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6:19" x14ac:dyDescent="0.2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6:19" x14ac:dyDescent="0.2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6:19" x14ac:dyDescent="0.2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6:19" x14ac:dyDescent="0.2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6:19" x14ac:dyDescent="0.2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6:19" x14ac:dyDescent="0.2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6:19" x14ac:dyDescent="0.2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6:19" x14ac:dyDescent="0.2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6:19" x14ac:dyDescent="0.2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6:19" x14ac:dyDescent="0.2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6:19" x14ac:dyDescent="0.2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6:19" x14ac:dyDescent="0.2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6:19" x14ac:dyDescent="0.2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6:19" x14ac:dyDescent="0.2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6:19" x14ac:dyDescent="0.2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6:19" x14ac:dyDescent="0.2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6:19" x14ac:dyDescent="0.2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6:19" x14ac:dyDescent="0.2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6:19" x14ac:dyDescent="0.2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6:19" x14ac:dyDescent="0.2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6:19" x14ac:dyDescent="0.2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6:19" x14ac:dyDescent="0.2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6:19" x14ac:dyDescent="0.2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6:19" x14ac:dyDescent="0.2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6:19" x14ac:dyDescent="0.2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6:19" x14ac:dyDescent="0.2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6:19" x14ac:dyDescent="0.2">
      <c r="F763" s="16"/>
      <c r="G763" s="16"/>
      <c r="H763" s="16"/>
      <c r="I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6:19" x14ac:dyDescent="0.2">
      <c r="F764" s="16"/>
      <c r="G764" s="16"/>
      <c r="H764" s="16"/>
      <c r="I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 spans="6:19" x14ac:dyDescent="0.2">
      <c r="F765" s="16"/>
      <c r="G765" s="16"/>
      <c r="H765" s="16"/>
      <c r="I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 spans="6:19" x14ac:dyDescent="0.2">
      <c r="F766" s="16"/>
      <c r="G766" s="16"/>
      <c r="H766" s="16"/>
      <c r="I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 spans="6:19" x14ac:dyDescent="0.2">
      <c r="F767" s="16"/>
      <c r="G767" s="16"/>
      <c r="H767" s="16"/>
      <c r="I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 spans="6:19" x14ac:dyDescent="0.2">
      <c r="F768" s="16"/>
      <c r="G768" s="16"/>
      <c r="H768" s="16"/>
      <c r="I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 spans="6:19" x14ac:dyDescent="0.2">
      <c r="F769" s="16"/>
      <c r="G769" s="16"/>
      <c r="H769" s="16"/>
      <c r="I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 spans="6:19" x14ac:dyDescent="0.2">
      <c r="F770" s="16"/>
      <c r="G770" s="16"/>
      <c r="H770" s="16"/>
      <c r="I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 spans="6:19" x14ac:dyDescent="0.2">
      <c r="F771" s="16"/>
      <c r="G771" s="16"/>
      <c r="H771" s="16"/>
      <c r="I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 spans="6:19" x14ac:dyDescent="0.2">
      <c r="F772" s="16"/>
      <c r="G772" s="16"/>
      <c r="H772" s="16"/>
      <c r="I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 spans="6:19" x14ac:dyDescent="0.2">
      <c r="F773" s="16"/>
      <c r="G773" s="16"/>
      <c r="H773" s="16"/>
      <c r="I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 spans="6:19" x14ac:dyDescent="0.2">
      <c r="F774" s="16"/>
      <c r="G774" s="16"/>
      <c r="H774" s="16"/>
      <c r="I774" s="16"/>
      <c r="K774" s="16"/>
      <c r="L774" s="16"/>
      <c r="M774" s="16"/>
      <c r="N774" s="16"/>
      <c r="O774" s="16"/>
      <c r="P774" s="16"/>
      <c r="Q774" s="16"/>
      <c r="R774" s="16"/>
      <c r="S774" s="16"/>
    </row>
    <row r="775" spans="6:19" x14ac:dyDescent="0.2">
      <c r="F775" s="16"/>
      <c r="G775" s="16"/>
      <c r="H775" s="16"/>
      <c r="I775" s="16"/>
      <c r="K775" s="16"/>
      <c r="L775" s="16"/>
      <c r="M775" s="16"/>
      <c r="N775" s="16"/>
      <c r="O775" s="16"/>
      <c r="P775" s="16"/>
      <c r="Q775" s="16"/>
      <c r="R775" s="16"/>
      <c r="S775" s="16"/>
    </row>
    <row r="776" spans="6:19" x14ac:dyDescent="0.2">
      <c r="F776" s="16"/>
      <c r="G776" s="16"/>
      <c r="H776" s="16"/>
      <c r="I776" s="16"/>
      <c r="K776" s="16"/>
      <c r="L776" s="16"/>
      <c r="M776" s="16"/>
      <c r="N776" s="16"/>
      <c r="O776" s="16"/>
      <c r="P776" s="16"/>
      <c r="Q776" s="16"/>
      <c r="R776" s="16"/>
      <c r="S776" s="16"/>
    </row>
    <row r="777" spans="6:19" x14ac:dyDescent="0.2">
      <c r="F777" s="16"/>
      <c r="G777" s="16"/>
      <c r="H777" s="16"/>
      <c r="I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 spans="6:19" x14ac:dyDescent="0.2">
      <c r="F778" s="16"/>
      <c r="G778" s="16"/>
      <c r="H778" s="16"/>
      <c r="I778" s="16"/>
      <c r="K778" s="16"/>
      <c r="L778" s="16"/>
      <c r="M778" s="16"/>
      <c r="N778" s="16"/>
      <c r="O778" s="16"/>
      <c r="P778" s="16"/>
      <c r="Q778" s="16"/>
      <c r="R778" s="16"/>
      <c r="S778" s="16"/>
    </row>
    <row r="779" spans="6:19" x14ac:dyDescent="0.2">
      <c r="F779" s="16"/>
      <c r="G779" s="16"/>
      <c r="H779" s="16"/>
      <c r="I779" s="16"/>
      <c r="K779" s="16"/>
      <c r="L779" s="16"/>
      <c r="M779" s="16"/>
      <c r="N779" s="16"/>
      <c r="O779" s="16"/>
      <c r="P779" s="16"/>
      <c r="Q779" s="16"/>
      <c r="R779" s="16"/>
      <c r="S779" s="16"/>
    </row>
    <row r="780" spans="6:19" x14ac:dyDescent="0.2">
      <c r="F780" s="16"/>
      <c r="G780" s="16"/>
      <c r="H780" s="16"/>
      <c r="I780" s="16"/>
      <c r="K780" s="16"/>
      <c r="L780" s="16"/>
      <c r="M780" s="16"/>
      <c r="N780" s="16"/>
      <c r="O780" s="16"/>
      <c r="P780" s="16"/>
      <c r="Q780" s="16"/>
      <c r="R780" s="16"/>
      <c r="S780" s="16"/>
    </row>
  </sheetData>
  <conditionalFormatting sqref="B2">
    <cfRule type="cellIs" dxfId="2" priority="6" operator="equal">
      <formula>TRUE</formula>
    </cfRule>
  </conditionalFormatting>
  <conditionalFormatting sqref="C55">
    <cfRule type="cellIs" dxfId="1" priority="9" operator="equal">
      <formula>TRUE</formula>
    </cfRule>
  </conditionalFormatting>
  <conditionalFormatting sqref="C78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31:I31 K87:P227 S87:S227 K48:M82 K85:M85 M83:M84 M86 K46:M46 K31:M39" formulaRange="1"/>
    <ignoredError sqref="Q228:R238" formula="1"/>
    <ignoredError sqref="Q87:R227 S48:S86 N48:R82 Q83:Q84 Q86 N85:R85 O83:O84 O86 N46:S46 N31:S39" formula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WORKINGS&gt;&gt;</vt:lpstr>
      <vt:lpstr>Valuation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2025-07-12T09:54:59Z</dcterms:modified>
</cp:coreProperties>
</file>