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FAECC6DB-A05A-42DA-ADC1-AA5AA76C9D2A}" xr6:coauthVersionLast="47" xr6:coauthVersionMax="47" xr10:uidLastSave="{00000000-0000-0000-0000-000000000000}"/>
  <bookViews>
    <workbookView xWindow="44550" yWindow="15" windowWidth="22890" windowHeight="15240" tabRatio="767" activeTab="5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  <sheet name="Chart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1" l="1"/>
  <c r="D2" i="11" s="1"/>
  <c r="E2" i="11" s="1"/>
  <c r="F2" i="11" s="1"/>
  <c r="G2" i="11" s="1"/>
  <c r="L4" i="11"/>
  <c r="M4" i="11"/>
  <c r="N4" i="11"/>
  <c r="C6" i="11"/>
  <c r="D6" i="11"/>
  <c r="E6" i="11"/>
  <c r="F6" i="11"/>
  <c r="G6" i="11"/>
  <c r="H6" i="11"/>
  <c r="I6" i="11"/>
  <c r="I16" i="11" s="1"/>
  <c r="J6" i="11"/>
  <c r="J16" i="11" s="1"/>
  <c r="K6" i="11"/>
  <c r="L6" i="11"/>
  <c r="M6" i="11"/>
  <c r="N6" i="11"/>
  <c r="C7" i="11"/>
  <c r="D7" i="11"/>
  <c r="E7" i="11"/>
  <c r="F7" i="11"/>
  <c r="G7" i="11"/>
  <c r="H7" i="11"/>
  <c r="I7" i="11"/>
  <c r="I17" i="11" s="1"/>
  <c r="J7" i="11"/>
  <c r="J17" i="11" s="1"/>
  <c r="K7" i="11"/>
  <c r="L13" i="11"/>
  <c r="M13" i="11"/>
  <c r="N13" i="11"/>
  <c r="G14" i="11"/>
  <c r="H14" i="11"/>
  <c r="I14" i="11"/>
  <c r="J14" i="11"/>
  <c r="K14" i="11"/>
  <c r="L14" i="11"/>
  <c r="M14" i="11"/>
  <c r="N14" i="11"/>
  <c r="G15" i="11"/>
  <c r="H15" i="11"/>
  <c r="I15" i="11"/>
  <c r="J15" i="11"/>
  <c r="K15" i="11"/>
  <c r="L15" i="11"/>
  <c r="M15" i="11"/>
  <c r="N15" i="11"/>
  <c r="G16" i="11"/>
  <c r="H16" i="11"/>
  <c r="K16" i="11"/>
  <c r="L16" i="11"/>
  <c r="M16" i="11"/>
  <c r="N16" i="11"/>
  <c r="G17" i="11"/>
  <c r="H17" i="11"/>
  <c r="K17" i="11"/>
  <c r="L17" i="11"/>
  <c r="M17" i="11"/>
  <c r="N17" i="11"/>
  <c r="M27" i="10"/>
  <c r="O16" i="10"/>
  <c r="O18" i="10" s="1"/>
  <c r="N16" i="10"/>
  <c r="N18" i="10" s="1"/>
  <c r="M16" i="10"/>
  <c r="M18" i="10" s="1"/>
  <c r="L16" i="10"/>
  <c r="L18" i="10" s="1"/>
  <c r="K16" i="10"/>
  <c r="K18" i="10" s="1"/>
  <c r="J16" i="10"/>
  <c r="J18" i="10" s="1"/>
  <c r="I16" i="10"/>
  <c r="I18" i="10" s="1"/>
  <c r="H16" i="10"/>
  <c r="H18" i="10" s="1"/>
  <c r="G16" i="10"/>
  <c r="G18" i="10" s="1"/>
  <c r="F16" i="10"/>
  <c r="F18" i="10" s="1"/>
  <c r="G13" i="11" l="1"/>
  <c r="H2" i="11"/>
  <c r="H27" i="10"/>
  <c r="I27" i="10"/>
  <c r="L27" i="10"/>
  <c r="K27" i="10"/>
  <c r="F27" i="10"/>
  <c r="N27" i="10"/>
  <c r="J27" i="10"/>
  <c r="G27" i="10"/>
  <c r="O27" i="10"/>
  <c r="A2" i="4"/>
  <c r="E48" i="10"/>
  <c r="E8" i="10"/>
  <c r="E37" i="10"/>
  <c r="H13" i="11" l="1"/>
  <c r="I2" i="11"/>
  <c r="G16" i="4"/>
  <c r="H16" i="4" s="1"/>
  <c r="I16" i="4" s="1"/>
  <c r="J16" i="4" s="1"/>
  <c r="F26" i="10"/>
  <c r="G26" i="10"/>
  <c r="F53" i="10"/>
  <c r="F21" i="10"/>
  <c r="L28" i="10"/>
  <c r="I28" i="10"/>
  <c r="H28" i="10"/>
  <c r="G28" i="10"/>
  <c r="E49" i="10"/>
  <c r="E38" i="10"/>
  <c r="E9" i="10"/>
  <c r="N53" i="10"/>
  <c r="M53" i="10"/>
  <c r="L53" i="10"/>
  <c r="K53" i="10"/>
  <c r="J53" i="10"/>
  <c r="I53" i="10"/>
  <c r="H53" i="10"/>
  <c r="G53" i="10"/>
  <c r="O53" i="10"/>
  <c r="O26" i="10"/>
  <c r="N26" i="10"/>
  <c r="M26" i="10"/>
  <c r="L26" i="10"/>
  <c r="K26" i="10"/>
  <c r="J26" i="10"/>
  <c r="I26" i="10"/>
  <c r="H26" i="10"/>
  <c r="N21" i="10"/>
  <c r="M21" i="10"/>
  <c r="L21" i="10"/>
  <c r="K21" i="10"/>
  <c r="J21" i="10"/>
  <c r="I21" i="10"/>
  <c r="H21" i="10"/>
  <c r="G21" i="10"/>
  <c r="O21" i="10"/>
  <c r="K28" i="10"/>
  <c r="J28" i="10"/>
  <c r="N28" i="10"/>
  <c r="M28" i="10"/>
  <c r="D5" i="10"/>
  <c r="D3" i="10"/>
  <c r="A1" i="4"/>
  <c r="A3" i="2"/>
  <c r="A1" i="2"/>
  <c r="A2" i="2"/>
  <c r="I13" i="11" l="1"/>
  <c r="J2" i="11"/>
  <c r="F22" i="10"/>
  <c r="F29" i="10" s="1"/>
  <c r="F28" i="10"/>
  <c r="G22" i="10"/>
  <c r="H22" i="10"/>
  <c r="J22" i="10"/>
  <c r="L22" i="10"/>
  <c r="I22" i="10"/>
  <c r="K22" i="10"/>
  <c r="M22" i="10"/>
  <c r="N22" i="10"/>
  <c r="D4" i="10"/>
  <c r="K2" i="11" l="1"/>
  <c r="K13" i="11" s="1"/>
  <c r="J13" i="11"/>
  <c r="N24" i="10"/>
  <c r="N35" i="10" s="1"/>
  <c r="N29" i="10"/>
  <c r="M24" i="10"/>
  <c r="M35" i="10" s="1"/>
  <c r="M29" i="10"/>
  <c r="I24" i="10"/>
  <c r="I29" i="10"/>
  <c r="K24" i="10"/>
  <c r="K35" i="10" s="1"/>
  <c r="K29" i="10"/>
  <c r="J24" i="10"/>
  <c r="J35" i="10" s="1"/>
  <c r="J29" i="10"/>
  <c r="H24" i="10"/>
  <c r="H35" i="10" s="1"/>
  <c r="H29" i="10"/>
  <c r="L24" i="10"/>
  <c r="L29" i="10"/>
  <c r="G24" i="10"/>
  <c r="G35" i="10" s="1"/>
  <c r="G29" i="10"/>
  <c r="O28" i="10"/>
  <c r="F24" i="10"/>
  <c r="O22" i="10"/>
  <c r="I30" i="10" l="1"/>
  <c r="I35" i="10"/>
  <c r="M30" i="10"/>
  <c r="N30" i="10"/>
  <c r="J30" i="10"/>
  <c r="L30" i="10"/>
  <c r="L35" i="10"/>
  <c r="O29" i="10"/>
  <c r="H30" i="10"/>
  <c r="K30" i="10"/>
  <c r="F35" i="10"/>
  <c r="F30" i="10"/>
  <c r="G30" i="10"/>
  <c r="O24" i="10"/>
  <c r="C46" i="10" a="1"/>
  <c r="C46" i="10" s="1"/>
  <c r="O30" i="10" l="1"/>
  <c r="O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<sst xmlns="http://schemas.openxmlformats.org/spreadsheetml/2006/main" count="92" uniqueCount="86">
  <si>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</si>
  <si>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</si>
  <si>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</si>
  <si>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</si>
  <si>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</si>
  <si>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</si>
  <si>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</si>
  <si>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</si>
  <si>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</si>
  <si>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</si>
  <si>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</si>
  <si>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</si>
  <si>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</si>
  <si>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</si>
  <si>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</si>
  <si>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</si>
  <si>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</si>
  <si>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</si>
  <si>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</si>
  <si>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</si>
  <si>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</si>
  <si>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</si>
  <si>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</si>
  <si>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</si>
  <si>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</si>
  <si>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</si>
  <si>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</si>
  <si>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</si>
  <si>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</si>
  <si>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</si>
  <si>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</si>
  <si>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</si>
  <si>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</si>
  <si>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</si>
  <si>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</si>
  <si>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</si>
  <si>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</si>
  <si>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</si>
  <si>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</si>
  <si>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</si>
  <si>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</si>
  <si>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</si>
  <si>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FY15</t>
  </si>
  <si>
    <t>Jun 15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</si>
  <si>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</si>
  <si>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</si>
  <si>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</si>
  <si>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</si>
  <si>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</si>
  <si>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</si>
  <si>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</si>
  <si>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</si>
  <si>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</si>
  <si>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</si>
  <si>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</si>
  <si>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</si>
  <si>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</si>
  <si>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</si>
  <si>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</si>
  <si>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</si>
  <si>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</si>
  <si>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</si>
  <si>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</si>
  <si>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</si>
  <si>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 xml:space="preserve">Source: </t>
  </si>
  <si>
    <t>Interest expenses</t>
  </si>
  <si>
    <t>Interest income</t>
  </si>
  <si>
    <t>Net interest income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</si>
  <si>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</si>
  <si>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</si>
  <si>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</si>
  <si>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</si>
  <si>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</si>
  <si>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</si>
  <si>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</si>
  <si>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</si>
  <si>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</si>
  <si>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Net income margin</t>
  </si>
  <si>
    <t>Revenue growth y-o-y</t>
  </si>
  <si>
    <t>Increased revenue</t>
  </si>
  <si>
    <t>Previous years revenue</t>
  </si>
  <si>
    <t>2027E</t>
  </si>
  <si>
    <t>2026E</t>
  </si>
  <si>
    <t>2025E</t>
  </si>
  <si>
    <t>IBKR</t>
  </si>
  <si>
    <t>Interactive Brokers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</si>
</sst>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0.0%"/>
    <numFmt numFmtId="168" formatCode="_-* #,##0\ _€_-;\-* #,##0\ _€_-;_-* &quot;-&quot;\ _€_-;_-@_-"/>
    <numFmt numFmtId="169" formatCode="_-* #,##0.0\ _€_-;\-* #,##0.0\ _€_-;_-* &quot;-&quot;?\ _€_-;_-@_-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10" fillId="0" borderId="0" xfId="2" applyFont="1"/>
    <xf numFmtId="167" fontId="10" fillId="0" borderId="0" xfId="2" applyNumberFormat="1" applyFont="1"/>
    <xf numFmtId="168" fontId="10" fillId="0" borderId="0" xfId="2" applyNumberFormat="1" applyFont="1"/>
    <xf numFmtId="0" fontId="10" fillId="0" borderId="0" xfId="2" applyFont="1" applyAlignment="1">
      <alignment horizontal="right"/>
    </xf>
    <xf numFmtId="167" fontId="11" fillId="0" borderId="0" xfId="3" applyNumberFormat="1" applyFont="1"/>
    <xf numFmtId="169" fontId="10" fillId="0" borderId="0" xfId="2" applyNumberFormat="1" applyFont="1"/>
  </cellXfs>
  <cellStyles count="4">
    <cellStyle name="Normal" xfId="0" builtinId="0"/>
    <cellStyle name="Normal 2" xfId="2" xr:uid="{413C5C18-3B40-402F-B728-7A987C6C7BCF}"/>
    <cellStyle name="Percent" xfId="1" builtinId="5"/>
    <cellStyle name="Percent 2" xfId="3" xr:uid="{3EF4C7D3-B5BD-47A3-A00A-5EFB3FB9E5C3}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Interactive Brokers ($IBKR)</a:t>
            </a:r>
          </a:p>
        </c:rich>
      </c:tx>
      <c:layout>
        <c:manualLayout>
          <c:xMode val="edge"/>
          <c:yMode val="edge"/>
          <c:x val="1.3795853812010022E-2"/>
          <c:y val="2.430555555555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0.13733127812031329"/>
          <c:y val="0.12731291035070288"/>
          <c:w val="0.78097776053717827"/>
          <c:h val="0.680487550420499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Chart!$F$14</c:f>
              <c:strCache>
                <c:ptCount val="1"/>
                <c:pt idx="0">
                  <c:v>Previous years revenue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Chart!$G$13:$N$13</c:f>
              <c:strCach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2025E</c:v>
                </c:pt>
                <c:pt idx="6">
                  <c:v>2026E</c:v>
                </c:pt>
                <c:pt idx="7">
                  <c:v>2027E</c:v>
                </c:pt>
              </c:strCache>
            </c:strRef>
          </c:cat>
          <c:val>
            <c:numRef>
              <c:f>Chart!$G$14:$N$14</c:f>
              <c:numCache>
                <c:formatCode>_-* #,##0\ _€_-;\-* #,##0\ _€_-;_-* "-"\ _€_-;_-@_-</c:formatCode>
                <c:ptCount val="8"/>
                <c:pt idx="0">
                  <c:v>1997</c:v>
                </c:pt>
                <c:pt idx="1">
                  <c:v>2237</c:v>
                </c:pt>
                <c:pt idx="2">
                  <c:v>2751</c:v>
                </c:pt>
                <c:pt idx="3">
                  <c:v>3167</c:v>
                </c:pt>
                <c:pt idx="4">
                  <c:v>4420</c:v>
                </c:pt>
                <c:pt idx="5">
                  <c:v>5200</c:v>
                </c:pt>
                <c:pt idx="6">
                  <c:v>5415</c:v>
                </c:pt>
                <c:pt idx="7">
                  <c:v>5662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D-4AD7-8806-687F9B45E386}"/>
            </c:ext>
          </c:extLst>
        </c:ser>
        <c:ser>
          <c:idx val="1"/>
          <c:order val="1"/>
          <c:tx>
            <c:strRef>
              <c:f>Chart!$F$15</c:f>
              <c:strCache>
                <c:ptCount val="1"/>
                <c:pt idx="0">
                  <c:v>Increased revenue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Chart!$G$13:$N$13</c:f>
              <c:strCach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2025E</c:v>
                </c:pt>
                <c:pt idx="6">
                  <c:v>2026E</c:v>
                </c:pt>
                <c:pt idx="7">
                  <c:v>2027E</c:v>
                </c:pt>
              </c:strCache>
            </c:strRef>
          </c:cat>
          <c:val>
            <c:numRef>
              <c:f>Chart!$G$15:$N$15</c:f>
              <c:numCache>
                <c:formatCode>_-* #,##0\ _€_-;\-* #,##0\ _€_-;_-* "-"\ _€_-;_-@_-</c:formatCode>
                <c:ptCount val="8"/>
                <c:pt idx="0">
                  <c:v>240</c:v>
                </c:pt>
                <c:pt idx="1">
                  <c:v>514</c:v>
                </c:pt>
                <c:pt idx="2">
                  <c:v>416</c:v>
                </c:pt>
                <c:pt idx="3">
                  <c:v>1253</c:v>
                </c:pt>
                <c:pt idx="4">
                  <c:v>780</c:v>
                </c:pt>
                <c:pt idx="5">
                  <c:v>215</c:v>
                </c:pt>
                <c:pt idx="6">
                  <c:v>247</c:v>
                </c:pt>
                <c:pt idx="7">
                  <c:v>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D-4AD7-8806-687F9B45E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4316336"/>
        <c:axId val="1884150288"/>
      </c:barChart>
      <c:lineChart>
        <c:grouping val="standard"/>
        <c:varyColors val="0"/>
        <c:ser>
          <c:idx val="2"/>
          <c:order val="2"/>
          <c:tx>
            <c:strRef>
              <c:f>Chart!$F$16</c:f>
              <c:strCache>
                <c:ptCount val="1"/>
                <c:pt idx="0">
                  <c:v>Revenue growth y-o-y</c:v>
                </c:pt>
              </c:strCache>
            </c:strRef>
          </c:tx>
          <c:spPr>
            <a:ln w="15875" cap="rnd">
              <a:solidFill>
                <a:srgbClr val="FFC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Pt>
            <c:idx val="5"/>
            <c:marker>
              <c:symbol val="diamond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0DD-4AD7-8806-687F9B45E386}"/>
              </c:ext>
            </c:extLst>
          </c:dPt>
          <c:dPt>
            <c:idx val="6"/>
            <c:marker>
              <c:symbol val="diamond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10DD-4AD7-8806-687F9B45E386}"/>
              </c:ext>
            </c:extLst>
          </c:dPt>
          <c:dPt>
            <c:idx val="7"/>
            <c:marker>
              <c:symbol val="diamond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spPr>
              <a:ln w="15875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10DD-4AD7-8806-687F9B45E386}"/>
              </c:ext>
            </c:extLst>
          </c:dPt>
          <c:dLbls>
            <c:dLbl>
              <c:idx val="5"/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0DD-4AD7-8806-687F9B45E386}"/>
                </c:ext>
              </c:extLst>
            </c:dLbl>
            <c:dLbl>
              <c:idx val="6"/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10DD-4AD7-8806-687F9B45E386}"/>
                </c:ext>
              </c:extLst>
            </c:dLbl>
            <c:dLbl>
              <c:idx val="7"/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10DD-4AD7-8806-687F9B45E386}"/>
                </c:ext>
              </c:extLst>
            </c:dLbl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Chart!$G$13:$N$13</c:f>
              <c:strCach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2025E</c:v>
                </c:pt>
                <c:pt idx="6">
                  <c:v>2026E</c:v>
                </c:pt>
                <c:pt idx="7">
                  <c:v>2027E</c:v>
                </c:pt>
              </c:strCache>
            </c:strRef>
          </c:cat>
          <c:val>
            <c:numRef>
              <c:f>Chart!$G$16:$N$16</c:f>
              <c:numCache>
                <c:formatCode>0.0%</c:formatCode>
                <c:ptCount val="8"/>
                <c:pt idx="0">
                  <c:v>0.1201802704056083</c:v>
                </c:pt>
                <c:pt idx="1">
                  <c:v>0.2297720160929817</c:v>
                </c:pt>
                <c:pt idx="2">
                  <c:v>0.1512177390039986</c:v>
                </c:pt>
                <c:pt idx="3">
                  <c:v>0.39564256394063779</c:v>
                </c:pt>
                <c:pt idx="4">
                  <c:v>0.17647058823529416</c:v>
                </c:pt>
                <c:pt idx="5">
                  <c:v>4.1346153846153921E-2</c:v>
                </c:pt>
                <c:pt idx="6">
                  <c:v>4.5614035087719218E-2</c:v>
                </c:pt>
                <c:pt idx="7">
                  <c:v>7.788767220063586E-2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DD-4AD7-8806-687F9B45E386}"/>
            </c:ext>
          </c:extLst>
        </c:ser>
        <c:ser>
          <c:idx val="3"/>
          <c:order val="3"/>
          <c:tx>
            <c:strRef>
              <c:f>Chart!$F$17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Chart!$G$13:$N$13</c:f>
              <c:strCach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2025E</c:v>
                </c:pt>
                <c:pt idx="6">
                  <c:v>2026E</c:v>
                </c:pt>
                <c:pt idx="7">
                  <c:v>2027E</c:v>
                </c:pt>
              </c:strCache>
            </c:strRef>
          </c:cat>
          <c:val>
            <c:numRef>
              <c:f>Chart!$G$17:$N$17</c:f>
              <c:numCache>
                <c:formatCode>0.0%</c:formatCode>
                <c:ptCount val="8"/>
                <c:pt idx="0">
                  <c:v>8.7170317389360749E-2</c:v>
                </c:pt>
                <c:pt idx="1">
                  <c:v>0.11195928753180662</c:v>
                </c:pt>
                <c:pt idx="2">
                  <c:v>0.11998736975055257</c:v>
                </c:pt>
                <c:pt idx="3">
                  <c:v>0.13574660633484162</c:v>
                </c:pt>
                <c:pt idx="4">
                  <c:v>0.1451923076923077</c:v>
                </c:pt>
                <c:pt idx="5">
                  <c:v>0.14699999999999999</c:v>
                </c:pt>
                <c:pt idx="6">
                  <c:v>0.152</c:v>
                </c:pt>
                <c:pt idx="7">
                  <c:v>0.158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DD-4AD7-8806-687F9B45E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662080"/>
        <c:axId val="1218659104"/>
      </c:lineChart>
      <c:catAx>
        <c:axId val="184431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84150288"/>
        <c:crosses val="autoZero"/>
        <c:auto val="1"/>
        <c:lblAlgn val="ctr"/>
        <c:lblOffset val="100"/>
        <c:noMultiLvlLbl val="0"/>
      </c:catAx>
      <c:valAx>
        <c:axId val="18841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$bn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_-* #,##0\ _€_-;\-* #,##0\ _€_-;_-* &quot;-&quot;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44316336"/>
        <c:crosses val="autoZero"/>
        <c:crossBetween val="between"/>
      </c:valAx>
      <c:valAx>
        <c:axId val="121865910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18662080"/>
        <c:crosses val="max"/>
        <c:crossBetween val="between"/>
      </c:valAx>
      <c:catAx>
        <c:axId val="1218662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8659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000034147314243E-2"/>
          <c:y val="0.86312706019972518"/>
          <c:w val="0.89999988155133237"/>
          <c:h val="5.85941761248294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183159</xdr:colOff>
      <xdr:row>18</xdr:row>
      <xdr:rowOff>188298</xdr:rowOff>
    </xdr:from>
    <xdr:to>
      <xdr:col>13</xdr:col>
      <xdr:colOff>284759</xdr:colOff>
      <xdr:row>36</xdr:row>
      <xdr:rowOff>188297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502156-72D2-4F4F-A5CB-E92E7E2FB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0.92659</cdr:y>
    </cdr:from>
    <cdr:to>
      <cdr:x>0.37226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E513124-2C46-F9EE-A1B2-DF005F364A42}"/>
            </a:ext>
          </a:extLst>
        </cdr:cNvPr>
        <cdr:cNvSpPr/>
      </cdr:nvSpPr>
      <cdr:spPr>
        <a:xfrm xmlns:a="http://schemas.openxmlformats.org/drawingml/2006/main">
          <a:off x="0" y="3428266"/>
          <a:ext cx="2180291" cy="2716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accent1">
              <a:shade val="15000"/>
              <a:alpha val="0"/>
            </a:schemeClr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GB" sz="900" i="1" kern="1200">
              <a:solidFill>
                <a:schemeClr val="tx1"/>
              </a:solidFill>
            </a:rPr>
            <a:t>Source: Koyfin,</a:t>
          </a:r>
          <a:r>
            <a:rPr lang="en-GB" sz="900" i="1" kern="1200" baseline="0">
              <a:solidFill>
                <a:schemeClr val="tx1"/>
              </a:solidFill>
            </a:rPr>
            <a:t> YieldGuy analysis</a:t>
          </a:r>
          <a:endParaRPr lang="en-GB" sz="900" i="1" kern="1200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Interactive Brokers Group,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topLeftCell="A4" zoomScale="133" workbookViewId="0">
      <selection activeCell="E7" sqref="E7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Interactive Brokers Group, Inc.: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85</v>
      </c>
    </row>
    <row r="8" spans="1:11" x14ac:dyDescent="0.2">
      <c r="B8" t="s">
        <v>6</v>
      </c>
      <c r="E8" s="7" t="s">
        <v>84</v>
      </c>
    </row>
    <row r="9" spans="1:11" x14ac:dyDescent="0.2">
      <c r="B9" t="s">
        <v>10</v>
      </c>
      <c r="E9" s="7"/>
    </row>
    <row r="10" spans="1:11" x14ac:dyDescent="0.2">
      <c r="B10" t="s">
        <v>11</v>
      </c>
      <c r="E10" s="7"/>
    </row>
    <row r="11" spans="1:11" x14ac:dyDescent="0.2">
      <c r="B11" t="s">
        <v>7</v>
      </c>
      <c r="E11" s="7"/>
    </row>
    <row r="12" spans="1:11" x14ac:dyDescent="0.2">
      <c r="B12" t="s">
        <v>9</v>
      </c>
      <c r="E12" s="8"/>
    </row>
    <row r="13" spans="1:11" x14ac:dyDescent="0.2">
      <c r="B13" t="s">
        <v>52</v>
      </c>
      <c r="E13" s="36"/>
    </row>
    <row r="14" spans="1:11" x14ac:dyDescent="0.2">
      <c r="B14" t="s">
        <v>32</v>
      </c>
      <c r="E14" s="7"/>
    </row>
    <row r="16" spans="1:11" x14ac:dyDescent="0.2">
      <c r="B16" s="2" t="s">
        <v>45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44</v>
      </c>
    </row>
    <row r="18" spans="2:11" x14ac:dyDescent="0.2">
      <c r="B18" t="s">
        <v>46</v>
      </c>
      <c r="E18" s="32"/>
      <c r="F18" s="32"/>
      <c r="G18" s="32"/>
      <c r="H18" s="32"/>
      <c r="I18" s="32"/>
      <c r="J18" s="32"/>
      <c r="K18" s="33">
        <v>0.01</v>
      </c>
    </row>
    <row r="21" spans="2:11" x14ac:dyDescent="0.2">
      <c r="B21" s="2" t="s">
        <v>48</v>
      </c>
    </row>
    <row r="22" spans="2:11" x14ac:dyDescent="0.2">
      <c r="B22" t="s">
        <v>49</v>
      </c>
      <c r="E22" s="35">
        <v>0.04</v>
      </c>
    </row>
    <row r="23" spans="2:11" x14ac:dyDescent="0.2">
      <c r="B23" t="s">
        <v>50</v>
      </c>
      <c r="E23" s="35">
        <v>0.04</v>
      </c>
    </row>
    <row r="24" spans="2:11" x14ac:dyDescent="0.2">
      <c r="B24" t="s">
        <v>51</v>
      </c>
      <c r="E24" s="7">
        <v>0.78</v>
      </c>
    </row>
    <row r="25" spans="2:11" x14ac:dyDescent="0.2">
      <c r="B25" t="s">
        <v>53</v>
      </c>
      <c r="E25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O748"/>
  <sheetViews>
    <sheetView showGridLines="0" zoomScale="115" zoomScaleNormal="115" workbookViewId="0">
      <selection activeCell="E51" sqref="E51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6" max="16" width="2.85546875" customWidth="1"/>
  </cols>
  <sheetData>
    <row r="1" spans="2:15" s="4" customFormat="1" outlineLevel="1" x14ac:dyDescent="0.2">
      <c r="B1" s="4">
        <v>0.1</v>
      </c>
    </row>
    <row r="2" spans="2:15" s="4" customFormat="1" outlineLevel="1" x14ac:dyDescent="0.2">
      <c r="B2" s="13" t="b">
        <f>AND(C:C)</f>
        <v>1</v>
      </c>
    </row>
    <row r="3" spans="2:15" x14ac:dyDescent="0.2">
      <c r="D3" s="2" t="str">
        <f ca="1">MID(CELL("filename",D3),FIND("]",CELL("filename",D3))+1,256)</f>
        <v>Historical</v>
      </c>
    </row>
    <row r="4" spans="2:15" x14ac:dyDescent="0.2">
      <c r="D4" s="3" t="str">
        <f>Input!$A$2</f>
        <v>Indicative valuation of Interactive Brokers Group, Inc.: Public information</v>
      </c>
    </row>
    <row r="5" spans="2:15" x14ac:dyDescent="0.2">
      <c r="D5" s="3" t="str">
        <f>Input!$A$3</f>
        <v>Educational purposes only, no financial advice</v>
      </c>
    </row>
    <row r="8" spans="2:15" x14ac:dyDescent="0.2">
      <c r="E8" s="2" t="str">
        <f>Input!$E$8&amp;" - P&amp;L"</f>
        <v>IBKR - P&amp;L</v>
      </c>
      <c r="O8" s="5"/>
    </row>
    <row r="9" spans="2:15" x14ac:dyDescent="0.2">
      <c r="E9" s="6">
        <f>+Input!$E$14</f>
        <v>0</v>
      </c>
      <c r="F9" s="28" t="s">
        <v>42</v>
      </c>
      <c r="G9" s="28" t="s">
        <v>41</v>
      </c>
      <c r="H9" s="28" t="s">
        <v>40</v>
      </c>
      <c r="I9" s="28" t="s">
        <v>39</v>
      </c>
      <c r="J9" s="28" t="s">
        <v>38</v>
      </c>
      <c r="K9" s="28" t="s">
        <v>37</v>
      </c>
      <c r="L9" s="28" t="s">
        <v>36</v>
      </c>
      <c r="M9" s="28" t="s">
        <v>35</v>
      </c>
      <c r="N9" s="28" t="s">
        <v>34</v>
      </c>
      <c r="O9" s="28" t="s">
        <v>33</v>
      </c>
    </row>
    <row r="10" spans="2:15" ht="3" customHeight="1" x14ac:dyDescent="0.2"/>
    <row r="11" spans="2:15" x14ac:dyDescent="0.2">
      <c r="E11" s="2" t="s">
        <v>12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2:15" x14ac:dyDescent="0.2">
      <c r="E12" s="9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x14ac:dyDescent="0.2">
      <c r="E13" s="9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5" x14ac:dyDescent="0.2">
      <c r="E14" s="9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2:15" x14ac:dyDescent="0.2">
      <c r="E15" s="9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x14ac:dyDescent="0.2">
      <c r="E16" s="2" t="s">
        <v>70</v>
      </c>
      <c r="F16" s="15">
        <f>SUM(F11:F15)</f>
        <v>0</v>
      </c>
      <c r="G16" s="15">
        <f t="shared" ref="G16:O16" si="0">SUM(G11:G15)</f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K16" s="15">
        <f t="shared" si="0"/>
        <v>0</v>
      </c>
      <c r="L16" s="15">
        <f t="shared" si="0"/>
        <v>0</v>
      </c>
      <c r="M16" s="15">
        <f t="shared" si="0"/>
        <v>0</v>
      </c>
      <c r="N16" s="15">
        <f t="shared" si="0"/>
        <v>0</v>
      </c>
      <c r="O16" s="15">
        <f t="shared" si="0"/>
        <v>0</v>
      </c>
    </row>
    <row r="17" spans="5:15" x14ac:dyDescent="0.2">
      <c r="E17" s="9" t="s">
        <v>69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5:15" x14ac:dyDescent="0.2">
      <c r="E18" s="2" t="s">
        <v>68</v>
      </c>
      <c r="F18" s="15">
        <f>SUM(F16:F17)</f>
        <v>0</v>
      </c>
      <c r="G18" s="15">
        <f t="shared" ref="G18:O18" si="1">SUM(G16:G17)</f>
        <v>0</v>
      </c>
      <c r="H18" s="15">
        <f t="shared" si="1"/>
        <v>0</v>
      </c>
      <c r="I18" s="15">
        <f t="shared" si="1"/>
        <v>0</v>
      </c>
      <c r="J18" s="15">
        <f t="shared" si="1"/>
        <v>0</v>
      </c>
      <c r="K18" s="15">
        <f t="shared" si="1"/>
        <v>0</v>
      </c>
      <c r="L18" s="15">
        <f t="shared" si="1"/>
        <v>0</v>
      </c>
      <c r="M18" s="15">
        <f t="shared" si="1"/>
        <v>0</v>
      </c>
      <c r="N18" s="15">
        <f t="shared" si="1"/>
        <v>0</v>
      </c>
      <c r="O18" s="15">
        <f t="shared" si="1"/>
        <v>0</v>
      </c>
    </row>
    <row r="19" spans="5:15" x14ac:dyDescent="0.2">
      <c r="E19" s="12" t="s">
        <v>65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5:15" x14ac:dyDescent="0.2">
      <c r="E20" s="12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5:15" x14ac:dyDescent="0.2">
      <c r="E21" s="10" t="s">
        <v>67</v>
      </c>
      <c r="F21" s="18">
        <f t="shared" ref="F21" si="2">SUM(F19:F20)</f>
        <v>0</v>
      </c>
      <c r="G21" s="18">
        <f t="shared" ref="G21:N21" si="3">SUM(G19:G20)</f>
        <v>0</v>
      </c>
      <c r="H21" s="18">
        <f t="shared" si="3"/>
        <v>0</v>
      </c>
      <c r="I21" s="18">
        <f t="shared" si="3"/>
        <v>0</v>
      </c>
      <c r="J21" s="18">
        <f t="shared" si="3"/>
        <v>0</v>
      </c>
      <c r="K21" s="18">
        <f t="shared" si="3"/>
        <v>0</v>
      </c>
      <c r="L21" s="18">
        <f t="shared" si="3"/>
        <v>0</v>
      </c>
      <c r="M21" s="18">
        <f t="shared" si="3"/>
        <v>0</v>
      </c>
      <c r="N21" s="18">
        <f t="shared" si="3"/>
        <v>0</v>
      </c>
      <c r="O21" s="18">
        <f>SUM(O19:O20)</f>
        <v>0</v>
      </c>
    </row>
    <row r="22" spans="5:15" x14ac:dyDescent="0.2">
      <c r="E22" s="11" t="s">
        <v>13</v>
      </c>
      <c r="F22" s="15">
        <f t="shared" ref="F22" si="4">+F18+F21</f>
        <v>0</v>
      </c>
      <c r="G22" s="15">
        <f t="shared" ref="G22:N22" si="5">+G18+G21</f>
        <v>0</v>
      </c>
      <c r="H22" s="15">
        <f t="shared" si="5"/>
        <v>0</v>
      </c>
      <c r="I22" s="15">
        <f t="shared" si="5"/>
        <v>0</v>
      </c>
      <c r="J22" s="15">
        <f t="shared" si="5"/>
        <v>0</v>
      </c>
      <c r="K22" s="15">
        <f t="shared" si="5"/>
        <v>0</v>
      </c>
      <c r="L22" s="15">
        <f t="shared" si="5"/>
        <v>0</v>
      </c>
      <c r="M22" s="15">
        <f t="shared" si="5"/>
        <v>0</v>
      </c>
      <c r="N22" s="15">
        <f t="shared" si="5"/>
        <v>0</v>
      </c>
      <c r="O22" s="15">
        <f>+O18+O21</f>
        <v>0</v>
      </c>
    </row>
    <row r="23" spans="5:15" x14ac:dyDescent="0.2">
      <c r="E23" t="s">
        <v>14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5:15" ht="13.5" thickBot="1" x14ac:dyDescent="0.25">
      <c r="E24" s="2" t="s">
        <v>15</v>
      </c>
      <c r="F24" s="19">
        <f t="shared" ref="F24:O24" si="6">SUM(F22:F23)</f>
        <v>0</v>
      </c>
      <c r="G24" s="19">
        <f t="shared" si="6"/>
        <v>0</v>
      </c>
      <c r="H24" s="19">
        <f t="shared" si="6"/>
        <v>0</v>
      </c>
      <c r="I24" s="19">
        <f t="shared" si="6"/>
        <v>0</v>
      </c>
      <c r="J24" s="19">
        <f t="shared" si="6"/>
        <v>0</v>
      </c>
      <c r="K24" s="19">
        <f t="shared" si="6"/>
        <v>0</v>
      </c>
      <c r="L24" s="19">
        <f t="shared" si="6"/>
        <v>0</v>
      </c>
      <c r="M24" s="19">
        <f t="shared" si="6"/>
        <v>0</v>
      </c>
      <c r="N24" s="19">
        <f t="shared" si="6"/>
        <v>0</v>
      </c>
      <c r="O24" s="19">
        <f t="shared" si="6"/>
        <v>0</v>
      </c>
    </row>
    <row r="25" spans="5:15" ht="3" customHeight="1" x14ac:dyDescent="0.2"/>
    <row r="26" spans="5:15" x14ac:dyDescent="0.2">
      <c r="E26" s="29" t="s">
        <v>29</v>
      </c>
      <c r="F26" s="21" t="str">
        <f t="shared" ref="F26:O26" si="7">IFERROR(+F11/E11-1,"n/a")</f>
        <v>n/a</v>
      </c>
      <c r="G26" s="21" t="str">
        <f t="shared" si="7"/>
        <v>n/a</v>
      </c>
      <c r="H26" s="21" t="str">
        <f t="shared" si="7"/>
        <v>n/a</v>
      </c>
      <c r="I26" s="21" t="str">
        <f t="shared" si="7"/>
        <v>n/a</v>
      </c>
      <c r="J26" s="21" t="str">
        <f t="shared" si="7"/>
        <v>n/a</v>
      </c>
      <c r="K26" s="21" t="str">
        <f t="shared" si="7"/>
        <v>n/a</v>
      </c>
      <c r="L26" s="21" t="str">
        <f t="shared" si="7"/>
        <v>n/a</v>
      </c>
      <c r="M26" s="21" t="str">
        <f t="shared" si="7"/>
        <v>n/a</v>
      </c>
      <c r="N26" s="21" t="str">
        <f t="shared" si="7"/>
        <v>n/a</v>
      </c>
      <c r="O26" s="22" t="str">
        <f t="shared" si="7"/>
        <v>n/a</v>
      </c>
    </row>
    <row r="27" spans="5:15" x14ac:dyDescent="0.2">
      <c r="E27" s="30" t="s">
        <v>71</v>
      </c>
      <c r="F27" s="23" t="str">
        <f t="shared" ref="F27:O27" si="8">IFERROR(+F16/F11,"n/a")</f>
        <v>n/a</v>
      </c>
      <c r="G27" s="23" t="str">
        <f t="shared" si="8"/>
        <v>n/a</v>
      </c>
      <c r="H27" s="23" t="str">
        <f t="shared" si="8"/>
        <v>n/a</v>
      </c>
      <c r="I27" s="23" t="str">
        <f t="shared" si="8"/>
        <v>n/a</v>
      </c>
      <c r="J27" s="23" t="str">
        <f t="shared" si="8"/>
        <v>n/a</v>
      </c>
      <c r="K27" s="23" t="str">
        <f t="shared" si="8"/>
        <v>n/a</v>
      </c>
      <c r="L27" s="23" t="str">
        <f t="shared" si="8"/>
        <v>n/a</v>
      </c>
      <c r="M27" s="23" t="str">
        <f t="shared" si="8"/>
        <v>n/a</v>
      </c>
      <c r="N27" s="23" t="str">
        <f t="shared" si="8"/>
        <v>n/a</v>
      </c>
      <c r="O27" s="23" t="str">
        <f t="shared" si="8"/>
        <v>n/a</v>
      </c>
    </row>
    <row r="28" spans="5:15" x14ac:dyDescent="0.2">
      <c r="E28" s="30" t="s">
        <v>30</v>
      </c>
      <c r="F28" s="23" t="str">
        <f t="shared" ref="F28:O28" si="9">IFERROR(+F18/F11,"n/a")</f>
        <v>n/a</v>
      </c>
      <c r="G28" s="23" t="str">
        <f t="shared" si="9"/>
        <v>n/a</v>
      </c>
      <c r="H28" s="23" t="str">
        <f t="shared" si="9"/>
        <v>n/a</v>
      </c>
      <c r="I28" s="23" t="str">
        <f t="shared" si="9"/>
        <v>n/a</v>
      </c>
      <c r="J28" s="23" t="str">
        <f t="shared" si="9"/>
        <v>n/a</v>
      </c>
      <c r="K28" s="23" t="str">
        <f t="shared" si="9"/>
        <v>n/a</v>
      </c>
      <c r="L28" s="23" t="str">
        <f t="shared" si="9"/>
        <v>n/a</v>
      </c>
      <c r="M28" s="23" t="str">
        <f t="shared" si="9"/>
        <v>n/a</v>
      </c>
      <c r="N28" s="23" t="str">
        <f t="shared" si="9"/>
        <v>n/a</v>
      </c>
      <c r="O28" s="24" t="str">
        <f t="shared" si="9"/>
        <v>n/a</v>
      </c>
    </row>
    <row r="29" spans="5:15" x14ac:dyDescent="0.2">
      <c r="E29" s="30" t="s">
        <v>47</v>
      </c>
      <c r="F29" s="23" t="e">
        <f t="shared" ref="F29:O29" si="10">-F23/F22</f>
        <v>#DIV/0!</v>
      </c>
      <c r="G29" s="23" t="e">
        <f t="shared" si="10"/>
        <v>#DIV/0!</v>
      </c>
      <c r="H29" s="23" t="e">
        <f t="shared" si="10"/>
        <v>#DIV/0!</v>
      </c>
      <c r="I29" s="23" t="e">
        <f t="shared" si="10"/>
        <v>#DIV/0!</v>
      </c>
      <c r="J29" s="23" t="e">
        <f t="shared" si="10"/>
        <v>#DIV/0!</v>
      </c>
      <c r="K29" s="23" t="e">
        <f t="shared" si="10"/>
        <v>#DIV/0!</v>
      </c>
      <c r="L29" s="23" t="e">
        <f t="shared" si="10"/>
        <v>#DIV/0!</v>
      </c>
      <c r="M29" s="23" t="e">
        <f t="shared" si="10"/>
        <v>#DIV/0!</v>
      </c>
      <c r="N29" s="23" t="e">
        <f t="shared" si="10"/>
        <v>#DIV/0!</v>
      </c>
      <c r="O29" s="24" t="e">
        <f t="shared" si="10"/>
        <v>#DIV/0!</v>
      </c>
    </row>
    <row r="30" spans="5:15" x14ac:dyDescent="0.2">
      <c r="E30" s="31" t="s">
        <v>31</v>
      </c>
      <c r="F30" s="25" t="str">
        <f t="shared" ref="F30" si="11">IFERROR(+F24/E24-1,"n/a")</f>
        <v>n/a</v>
      </c>
      <c r="G30" s="25" t="str">
        <f t="shared" ref="G30" si="12">IFERROR(+G24/F24-1,"n/a")</f>
        <v>n/a</v>
      </c>
      <c r="H30" s="25" t="str">
        <f t="shared" ref="H30:O30" si="13">IFERROR(+H24/G24-1,"n/a")</f>
        <v>n/a</v>
      </c>
      <c r="I30" s="25" t="str">
        <f t="shared" si="13"/>
        <v>n/a</v>
      </c>
      <c r="J30" s="25" t="str">
        <f t="shared" si="13"/>
        <v>n/a</v>
      </c>
      <c r="K30" s="25" t="str">
        <f t="shared" si="13"/>
        <v>n/a</v>
      </c>
      <c r="L30" s="25" t="str">
        <f t="shared" si="13"/>
        <v>n/a</v>
      </c>
      <c r="M30" s="25" t="str">
        <f t="shared" si="13"/>
        <v>n/a</v>
      </c>
      <c r="N30" s="25" t="str">
        <f t="shared" si="13"/>
        <v>n/a</v>
      </c>
      <c r="O30" s="26" t="str">
        <f t="shared" si="13"/>
        <v>n/a</v>
      </c>
    </row>
    <row r="31" spans="5:15" ht="3" customHeight="1" x14ac:dyDescent="0.2"/>
    <row r="32" spans="5:15" ht="10.5" customHeight="1" x14ac:dyDescent="0.2">
      <c r="E32" s="27" t="s">
        <v>64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3:15" x14ac:dyDescent="0.2"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3:15" x14ac:dyDescent="0.2">
      <c r="E34" s="4" t="s">
        <v>17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3:15" x14ac:dyDescent="0.2">
      <c r="C35" s="13" t="b" cm="1">
        <f t="array" ref="C35">AND(G35:O35&lt;$B$1,G35:O35&gt;-$B$1)</f>
        <v>1</v>
      </c>
      <c r="E35" s="4" t="s">
        <v>16</v>
      </c>
      <c r="F35" s="17">
        <f t="shared" ref="F35:O35" si="14">+F34-F24</f>
        <v>0</v>
      </c>
      <c r="G35" s="17">
        <f t="shared" si="14"/>
        <v>0</v>
      </c>
      <c r="H35" s="17">
        <f t="shared" si="14"/>
        <v>0</v>
      </c>
      <c r="I35" s="17">
        <f t="shared" si="14"/>
        <v>0</v>
      </c>
      <c r="J35" s="17">
        <f t="shared" si="14"/>
        <v>0</v>
      </c>
      <c r="K35" s="17">
        <f t="shared" si="14"/>
        <v>0</v>
      </c>
      <c r="L35" s="17">
        <f t="shared" si="14"/>
        <v>0</v>
      </c>
      <c r="M35" s="17">
        <f t="shared" si="14"/>
        <v>0</v>
      </c>
      <c r="N35" s="17">
        <f t="shared" si="14"/>
        <v>0</v>
      </c>
      <c r="O35" s="17">
        <f t="shared" si="14"/>
        <v>0</v>
      </c>
    </row>
    <row r="36" spans="3:15" x14ac:dyDescent="0.2"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3:15" x14ac:dyDescent="0.2">
      <c r="E37" s="2" t="str">
        <f>Input!$E$8&amp;" - BS"</f>
        <v>IBKR - BS</v>
      </c>
      <c r="O37" s="5"/>
    </row>
    <row r="38" spans="3:15" x14ac:dyDescent="0.2">
      <c r="E38" s="6">
        <f>+Input!$E$14</f>
        <v>0</v>
      </c>
      <c r="F38" s="20" t="s">
        <v>54</v>
      </c>
      <c r="G38" s="20" t="s">
        <v>55</v>
      </c>
      <c r="H38" s="20" t="s">
        <v>56</v>
      </c>
      <c r="I38" s="20" t="s">
        <v>57</v>
      </c>
      <c r="J38" s="20" t="s">
        <v>58</v>
      </c>
      <c r="K38" s="20" t="s">
        <v>59</v>
      </c>
      <c r="L38" s="20" t="s">
        <v>60</v>
      </c>
      <c r="M38" s="20" t="s">
        <v>61</v>
      </c>
      <c r="N38" s="20" t="s">
        <v>62</v>
      </c>
      <c r="O38" s="20" t="s">
        <v>63</v>
      </c>
    </row>
    <row r="39" spans="3:15" ht="3" customHeight="1" x14ac:dyDescent="0.2"/>
    <row r="40" spans="3:15" x14ac:dyDescent="0.2">
      <c r="E40" s="2" t="s">
        <v>27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3:15" x14ac:dyDescent="0.2">
      <c r="E41" s="11" t="s">
        <v>72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3:15" x14ac:dyDescent="0.2">
      <c r="E42" s="11" t="s">
        <v>73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3:15" x14ac:dyDescent="0.2">
      <c r="E43" s="9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3:15" x14ac:dyDescent="0.2"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3:15" x14ac:dyDescent="0.2">
      <c r="E45" s="4" t="s">
        <v>17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3:15" x14ac:dyDescent="0.2">
      <c r="C46" s="13" t="b" cm="1">
        <f t="array" ref="C46">AND(G46:O46&lt;$B$1,G46:O46&gt;-$B$1)</f>
        <v>1</v>
      </c>
      <c r="E46" s="4" t="s">
        <v>16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3:15" x14ac:dyDescent="0.2"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3:15" x14ac:dyDescent="0.2">
      <c r="E48" s="2" t="str">
        <f>Input!$E$8&amp;" - CF"</f>
        <v>IBKR - CF</v>
      </c>
      <c r="O48" s="5"/>
    </row>
    <row r="49" spans="5:15" x14ac:dyDescent="0.2">
      <c r="E49" s="6">
        <f>+Input!$E$14</f>
        <v>0</v>
      </c>
      <c r="F49" s="20" t="s">
        <v>43</v>
      </c>
      <c r="G49" s="20" t="s">
        <v>18</v>
      </c>
      <c r="H49" s="20" t="s">
        <v>19</v>
      </c>
      <c r="I49" s="20" t="s">
        <v>20</v>
      </c>
      <c r="J49" s="20" t="s">
        <v>21</v>
      </c>
      <c r="K49" s="20" t="s">
        <v>22</v>
      </c>
      <c r="L49" s="20" t="s">
        <v>23</v>
      </c>
      <c r="M49" s="20" t="s">
        <v>24</v>
      </c>
      <c r="N49" s="20" t="s">
        <v>25</v>
      </c>
      <c r="O49" s="20" t="s">
        <v>26</v>
      </c>
    </row>
    <row r="50" spans="5:15" ht="3" customHeight="1" x14ac:dyDescent="0.2"/>
    <row r="51" spans="5:15" x14ac:dyDescent="0.2">
      <c r="E51" s="9" t="s">
        <v>75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5:15" x14ac:dyDescent="0.2">
      <c r="E52" s="9" t="s">
        <v>74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">
      <c r="E53" s="2" t="s">
        <v>28</v>
      </c>
      <c r="F53" s="15">
        <f t="shared" ref="F53:N53" si="15">+F51+F52</f>
        <v>0</v>
      </c>
      <c r="G53" s="15">
        <f t="shared" si="15"/>
        <v>0</v>
      </c>
      <c r="H53" s="15">
        <f t="shared" si="15"/>
        <v>0</v>
      </c>
      <c r="I53" s="15">
        <f t="shared" si="15"/>
        <v>0</v>
      </c>
      <c r="J53" s="15">
        <f t="shared" si="15"/>
        <v>0</v>
      </c>
      <c r="K53" s="15">
        <f t="shared" si="15"/>
        <v>0</v>
      </c>
      <c r="L53" s="15">
        <f t="shared" si="15"/>
        <v>0</v>
      </c>
      <c r="M53" s="15">
        <f t="shared" si="15"/>
        <v>0</v>
      </c>
      <c r="N53" s="15">
        <f t="shared" si="15"/>
        <v>0</v>
      </c>
      <c r="O53" s="15">
        <f>+O51+O52</f>
        <v>0</v>
      </c>
    </row>
    <row r="54" spans="5:15" x14ac:dyDescent="0.2">
      <c r="E54" s="9" t="s">
        <v>76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7" spans="5:15" x14ac:dyDescent="0.2"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5:15" x14ac:dyDescent="0.2"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5:15" x14ac:dyDescent="0.2"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5:15" x14ac:dyDescent="0.2"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5:15" x14ac:dyDescent="0.2"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5:15" x14ac:dyDescent="0.2"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5:15" x14ac:dyDescent="0.2"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5:15" x14ac:dyDescent="0.2"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6:15" x14ac:dyDescent="0.2"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6:15" x14ac:dyDescent="0.2"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6:15" x14ac:dyDescent="0.2"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6:15" x14ac:dyDescent="0.2"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6:15" x14ac:dyDescent="0.2"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6:15" x14ac:dyDescent="0.2"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6:15" x14ac:dyDescent="0.2"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6:15" x14ac:dyDescent="0.2"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6:15" x14ac:dyDescent="0.2"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6:15" x14ac:dyDescent="0.2"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6:15" x14ac:dyDescent="0.2"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6:15" x14ac:dyDescent="0.2"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6:15" x14ac:dyDescent="0.2"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6:15" x14ac:dyDescent="0.2"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6:15" x14ac:dyDescent="0.2"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6:15" x14ac:dyDescent="0.2"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6:15" x14ac:dyDescent="0.2"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6:15" x14ac:dyDescent="0.2"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6:15" x14ac:dyDescent="0.2"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6:15" x14ac:dyDescent="0.2"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6:15" x14ac:dyDescent="0.2"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6:15" x14ac:dyDescent="0.2"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6:15" x14ac:dyDescent="0.2"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6:15" x14ac:dyDescent="0.2"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6:15" x14ac:dyDescent="0.2"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6:15" x14ac:dyDescent="0.2"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6:15" x14ac:dyDescent="0.2"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6:15" x14ac:dyDescent="0.2"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6:15" x14ac:dyDescent="0.2"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6:15" x14ac:dyDescent="0.2"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6:15" x14ac:dyDescent="0.2"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6:15" x14ac:dyDescent="0.2"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6:15" x14ac:dyDescent="0.2"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6:15" x14ac:dyDescent="0.2"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6:15" x14ac:dyDescent="0.2"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6:15" x14ac:dyDescent="0.2"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6:15" x14ac:dyDescent="0.2"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6:15" x14ac:dyDescent="0.2"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6:15" x14ac:dyDescent="0.2"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6:15" x14ac:dyDescent="0.2"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6:15" x14ac:dyDescent="0.2"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6:15" x14ac:dyDescent="0.2"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6:15" x14ac:dyDescent="0.2"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6:15" x14ac:dyDescent="0.2"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6:15" x14ac:dyDescent="0.2"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6:15" x14ac:dyDescent="0.2"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6:15" x14ac:dyDescent="0.2"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6:15" x14ac:dyDescent="0.2"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6:15" x14ac:dyDescent="0.2"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6:15" x14ac:dyDescent="0.2"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6:15" x14ac:dyDescent="0.2"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6:15" x14ac:dyDescent="0.2"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6:15" x14ac:dyDescent="0.2"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6:15" x14ac:dyDescent="0.2"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6:15" x14ac:dyDescent="0.2"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6:15" x14ac:dyDescent="0.2"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6:15" x14ac:dyDescent="0.2"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6:15" x14ac:dyDescent="0.2"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6:15" x14ac:dyDescent="0.2"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6:15" x14ac:dyDescent="0.2"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6:15" x14ac:dyDescent="0.2"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6:15" x14ac:dyDescent="0.2"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6:15" x14ac:dyDescent="0.2"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6:15" x14ac:dyDescent="0.2"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6:15" x14ac:dyDescent="0.2"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6:15" x14ac:dyDescent="0.2"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6:15" x14ac:dyDescent="0.2"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6:15" x14ac:dyDescent="0.2"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6:15" x14ac:dyDescent="0.2"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6:15" x14ac:dyDescent="0.2"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6:15" x14ac:dyDescent="0.2"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6:15" x14ac:dyDescent="0.2"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6:15" x14ac:dyDescent="0.2"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6:15" x14ac:dyDescent="0.2"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6:15" x14ac:dyDescent="0.2"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6:15" x14ac:dyDescent="0.2"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6:15" x14ac:dyDescent="0.2"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6:15" x14ac:dyDescent="0.2"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6:15" x14ac:dyDescent="0.2"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6:15" x14ac:dyDescent="0.2"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6:15" x14ac:dyDescent="0.2"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6:15" x14ac:dyDescent="0.2"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6:15" x14ac:dyDescent="0.2"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6:15" x14ac:dyDescent="0.2"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6:15" x14ac:dyDescent="0.2"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6:15" x14ac:dyDescent="0.2"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6:15" x14ac:dyDescent="0.2"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6:15" x14ac:dyDescent="0.2"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6:15" x14ac:dyDescent="0.2"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6:15" x14ac:dyDescent="0.2"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6:15" x14ac:dyDescent="0.2"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6:15" x14ac:dyDescent="0.2"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6:15" x14ac:dyDescent="0.2"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6:15" x14ac:dyDescent="0.2"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6:15" x14ac:dyDescent="0.2"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6:15" x14ac:dyDescent="0.2"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6:15" x14ac:dyDescent="0.2"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6:15" x14ac:dyDescent="0.2"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6:15" x14ac:dyDescent="0.2"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6:15" x14ac:dyDescent="0.2"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6:15" x14ac:dyDescent="0.2"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6:15" x14ac:dyDescent="0.2"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6:15" x14ac:dyDescent="0.2"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6:15" x14ac:dyDescent="0.2"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6:15" x14ac:dyDescent="0.2"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6:15" x14ac:dyDescent="0.2"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6:15" x14ac:dyDescent="0.2"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6:15" x14ac:dyDescent="0.2"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6:15" x14ac:dyDescent="0.2"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6:15" x14ac:dyDescent="0.2"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6:15" x14ac:dyDescent="0.2"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6:15" x14ac:dyDescent="0.2"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6:15" x14ac:dyDescent="0.2"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6:15" x14ac:dyDescent="0.2"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6:15" x14ac:dyDescent="0.2"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6:15" x14ac:dyDescent="0.2"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6:15" x14ac:dyDescent="0.2"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6:15" x14ac:dyDescent="0.2"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6:15" x14ac:dyDescent="0.2"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6:15" x14ac:dyDescent="0.2"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6:15" x14ac:dyDescent="0.2"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6:15" x14ac:dyDescent="0.2"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6:15" x14ac:dyDescent="0.2"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6:15" x14ac:dyDescent="0.2"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6:15" x14ac:dyDescent="0.2"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6:15" x14ac:dyDescent="0.2"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6:15" x14ac:dyDescent="0.2"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6:15" x14ac:dyDescent="0.2"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6:15" x14ac:dyDescent="0.2"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6:15" x14ac:dyDescent="0.2"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6:15" x14ac:dyDescent="0.2"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6:15" x14ac:dyDescent="0.2"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6:15" x14ac:dyDescent="0.2"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6:15" x14ac:dyDescent="0.2"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6:15" x14ac:dyDescent="0.2"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6:15" x14ac:dyDescent="0.2"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6:15" x14ac:dyDescent="0.2"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6:15" x14ac:dyDescent="0.2"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6:15" x14ac:dyDescent="0.2"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6:15" x14ac:dyDescent="0.2"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6:15" x14ac:dyDescent="0.2"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6:15" x14ac:dyDescent="0.2"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6:15" x14ac:dyDescent="0.2"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6:15" x14ac:dyDescent="0.2"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6:15" x14ac:dyDescent="0.2"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6:15" x14ac:dyDescent="0.2"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6:15" x14ac:dyDescent="0.2"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6:15" x14ac:dyDescent="0.2"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6:15" x14ac:dyDescent="0.2"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6:15" x14ac:dyDescent="0.2"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6:15" x14ac:dyDescent="0.2"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6:15" x14ac:dyDescent="0.2"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6:15" x14ac:dyDescent="0.2"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6:15" x14ac:dyDescent="0.2"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6:15" x14ac:dyDescent="0.2"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6:15" x14ac:dyDescent="0.2"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6:15" x14ac:dyDescent="0.2"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6:15" x14ac:dyDescent="0.2"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6:15" x14ac:dyDescent="0.2"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6:15" x14ac:dyDescent="0.2"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6:15" x14ac:dyDescent="0.2"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6:15" x14ac:dyDescent="0.2"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6:15" x14ac:dyDescent="0.2"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6:15" x14ac:dyDescent="0.2"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6:15" x14ac:dyDescent="0.2"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6:15" x14ac:dyDescent="0.2"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6:15" x14ac:dyDescent="0.2"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6:15" x14ac:dyDescent="0.2"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6:15" x14ac:dyDescent="0.2"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6:15" x14ac:dyDescent="0.2"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6:15" x14ac:dyDescent="0.2"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6:15" x14ac:dyDescent="0.2"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6:15" x14ac:dyDescent="0.2"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6:15" x14ac:dyDescent="0.2"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6:15" x14ac:dyDescent="0.2"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6:15" x14ac:dyDescent="0.2"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6:15" x14ac:dyDescent="0.2"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6:15" x14ac:dyDescent="0.2"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6:15" x14ac:dyDescent="0.2"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6:15" x14ac:dyDescent="0.2"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6:15" x14ac:dyDescent="0.2"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6:15" x14ac:dyDescent="0.2"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6:15" x14ac:dyDescent="0.2"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6:15" x14ac:dyDescent="0.2"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6:15" x14ac:dyDescent="0.2"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6:15" x14ac:dyDescent="0.2"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6:15" x14ac:dyDescent="0.2"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6:15" x14ac:dyDescent="0.2"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6:15" x14ac:dyDescent="0.2"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6:15" x14ac:dyDescent="0.2"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6:15" x14ac:dyDescent="0.2"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6:15" x14ac:dyDescent="0.2"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6:15" x14ac:dyDescent="0.2"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6:15" x14ac:dyDescent="0.2"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6:15" x14ac:dyDescent="0.2"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6:15" x14ac:dyDescent="0.2"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6:15" x14ac:dyDescent="0.2"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6:15" x14ac:dyDescent="0.2"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6:15" x14ac:dyDescent="0.2"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6:15" x14ac:dyDescent="0.2"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6:15" x14ac:dyDescent="0.2"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6:15" x14ac:dyDescent="0.2"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6:15" x14ac:dyDescent="0.2"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6:15" x14ac:dyDescent="0.2"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6:15" x14ac:dyDescent="0.2"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6:15" x14ac:dyDescent="0.2"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6:15" x14ac:dyDescent="0.2"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6:15" x14ac:dyDescent="0.2"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6:15" x14ac:dyDescent="0.2"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6:15" x14ac:dyDescent="0.2"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6:15" x14ac:dyDescent="0.2"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6:15" x14ac:dyDescent="0.2"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6:15" x14ac:dyDescent="0.2"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6:15" x14ac:dyDescent="0.2"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6:15" x14ac:dyDescent="0.2"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6:15" x14ac:dyDescent="0.2"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6:15" x14ac:dyDescent="0.2"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6:15" x14ac:dyDescent="0.2"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6:15" x14ac:dyDescent="0.2"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6:15" x14ac:dyDescent="0.2"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6:15" x14ac:dyDescent="0.2"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6:15" x14ac:dyDescent="0.2"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6:15" x14ac:dyDescent="0.2"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6:15" x14ac:dyDescent="0.2"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6:15" x14ac:dyDescent="0.2"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6:15" x14ac:dyDescent="0.2"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6:15" x14ac:dyDescent="0.2"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6:15" x14ac:dyDescent="0.2"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6:15" x14ac:dyDescent="0.2"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6:15" x14ac:dyDescent="0.2"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6:15" x14ac:dyDescent="0.2"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6:15" x14ac:dyDescent="0.2"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6:15" x14ac:dyDescent="0.2"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6:15" x14ac:dyDescent="0.2"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6:15" x14ac:dyDescent="0.2"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6:15" x14ac:dyDescent="0.2"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6:15" x14ac:dyDescent="0.2"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6:15" x14ac:dyDescent="0.2"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6:15" x14ac:dyDescent="0.2"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6:15" x14ac:dyDescent="0.2"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6:15" x14ac:dyDescent="0.2"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6:15" x14ac:dyDescent="0.2"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6:15" x14ac:dyDescent="0.2"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6:15" x14ac:dyDescent="0.2"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6:15" x14ac:dyDescent="0.2"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6:15" x14ac:dyDescent="0.2"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6:15" x14ac:dyDescent="0.2"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6:15" x14ac:dyDescent="0.2"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6:15" x14ac:dyDescent="0.2"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6:15" x14ac:dyDescent="0.2"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6:15" x14ac:dyDescent="0.2"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6:15" x14ac:dyDescent="0.2"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6:15" x14ac:dyDescent="0.2"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6:15" x14ac:dyDescent="0.2"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6:15" x14ac:dyDescent="0.2"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6:15" x14ac:dyDescent="0.2"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6:15" x14ac:dyDescent="0.2"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6:15" x14ac:dyDescent="0.2"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6:15" x14ac:dyDescent="0.2"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6:15" x14ac:dyDescent="0.2"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6:15" x14ac:dyDescent="0.2"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6:15" x14ac:dyDescent="0.2"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6:15" x14ac:dyDescent="0.2"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6:15" x14ac:dyDescent="0.2"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6:15" x14ac:dyDescent="0.2"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6:15" x14ac:dyDescent="0.2"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6:15" x14ac:dyDescent="0.2"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6:15" x14ac:dyDescent="0.2"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6:15" x14ac:dyDescent="0.2"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6:15" x14ac:dyDescent="0.2"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6:15" x14ac:dyDescent="0.2"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6:15" x14ac:dyDescent="0.2"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6:15" x14ac:dyDescent="0.2"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6:15" x14ac:dyDescent="0.2"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6:15" x14ac:dyDescent="0.2"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6:15" x14ac:dyDescent="0.2"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6:15" x14ac:dyDescent="0.2"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6:15" x14ac:dyDescent="0.2"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6:15" x14ac:dyDescent="0.2"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6:15" x14ac:dyDescent="0.2"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6:15" x14ac:dyDescent="0.2"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6:15" x14ac:dyDescent="0.2"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6:15" x14ac:dyDescent="0.2"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6:15" x14ac:dyDescent="0.2"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6:15" x14ac:dyDescent="0.2"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6:15" x14ac:dyDescent="0.2"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6:15" x14ac:dyDescent="0.2"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6:15" x14ac:dyDescent="0.2"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6:15" x14ac:dyDescent="0.2"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6:15" x14ac:dyDescent="0.2"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6:15" x14ac:dyDescent="0.2"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6:15" x14ac:dyDescent="0.2"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6:15" x14ac:dyDescent="0.2"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6:15" x14ac:dyDescent="0.2"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6:15" x14ac:dyDescent="0.2"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6:15" x14ac:dyDescent="0.2"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6:15" x14ac:dyDescent="0.2"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6:15" x14ac:dyDescent="0.2"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6:15" x14ac:dyDescent="0.2"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6:15" x14ac:dyDescent="0.2"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6:15" x14ac:dyDescent="0.2"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6:15" x14ac:dyDescent="0.2"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6:15" x14ac:dyDescent="0.2"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6:15" x14ac:dyDescent="0.2"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6:15" x14ac:dyDescent="0.2"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6:15" x14ac:dyDescent="0.2"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6:15" x14ac:dyDescent="0.2"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6:15" x14ac:dyDescent="0.2"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6:15" x14ac:dyDescent="0.2"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6:15" x14ac:dyDescent="0.2"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6:15" x14ac:dyDescent="0.2"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6:15" x14ac:dyDescent="0.2"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6:15" x14ac:dyDescent="0.2"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6:15" x14ac:dyDescent="0.2"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6:15" x14ac:dyDescent="0.2"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6:15" x14ac:dyDescent="0.2"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6:15" x14ac:dyDescent="0.2"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6:15" x14ac:dyDescent="0.2"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6:15" x14ac:dyDescent="0.2"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6:15" x14ac:dyDescent="0.2"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6:15" x14ac:dyDescent="0.2"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6:15" x14ac:dyDescent="0.2"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6:15" x14ac:dyDescent="0.2"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6:15" x14ac:dyDescent="0.2"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6:15" x14ac:dyDescent="0.2"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6:15" x14ac:dyDescent="0.2"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6:15" x14ac:dyDescent="0.2"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6:15" x14ac:dyDescent="0.2"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6:15" x14ac:dyDescent="0.2"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6:15" x14ac:dyDescent="0.2"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6:15" x14ac:dyDescent="0.2"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6:15" x14ac:dyDescent="0.2"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6:15" x14ac:dyDescent="0.2"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6:15" x14ac:dyDescent="0.2"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6:15" x14ac:dyDescent="0.2"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6:15" x14ac:dyDescent="0.2"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6:15" x14ac:dyDescent="0.2"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6:15" x14ac:dyDescent="0.2"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6:15" x14ac:dyDescent="0.2"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6:15" x14ac:dyDescent="0.2"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6:15" x14ac:dyDescent="0.2"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6:15" x14ac:dyDescent="0.2"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6:15" x14ac:dyDescent="0.2"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6:15" x14ac:dyDescent="0.2"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6:15" x14ac:dyDescent="0.2"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6:15" x14ac:dyDescent="0.2"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6:15" x14ac:dyDescent="0.2"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6:15" x14ac:dyDescent="0.2"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6:15" x14ac:dyDescent="0.2"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6:15" x14ac:dyDescent="0.2"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6:15" x14ac:dyDescent="0.2"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6:15" x14ac:dyDescent="0.2"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6:15" x14ac:dyDescent="0.2"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6:15" x14ac:dyDescent="0.2"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6:15" x14ac:dyDescent="0.2"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6:15" x14ac:dyDescent="0.2"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6:15" x14ac:dyDescent="0.2"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6:15" x14ac:dyDescent="0.2"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6:15" x14ac:dyDescent="0.2"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6:15" x14ac:dyDescent="0.2"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6:15" x14ac:dyDescent="0.2"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6:15" x14ac:dyDescent="0.2"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6:15" x14ac:dyDescent="0.2"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6:15" x14ac:dyDescent="0.2"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6:15" x14ac:dyDescent="0.2"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6:15" x14ac:dyDescent="0.2"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6:15" x14ac:dyDescent="0.2"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6:15" x14ac:dyDescent="0.2"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6:15" x14ac:dyDescent="0.2"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6:15" x14ac:dyDescent="0.2"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6:15" x14ac:dyDescent="0.2"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6:15" x14ac:dyDescent="0.2"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6:15" x14ac:dyDescent="0.2"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6:15" x14ac:dyDescent="0.2"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6:15" x14ac:dyDescent="0.2"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6:15" x14ac:dyDescent="0.2"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6:15" x14ac:dyDescent="0.2"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6:15" x14ac:dyDescent="0.2"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6:15" x14ac:dyDescent="0.2"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6:15" x14ac:dyDescent="0.2"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6:15" x14ac:dyDescent="0.2"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6:15" x14ac:dyDescent="0.2"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6:15" x14ac:dyDescent="0.2"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6:15" x14ac:dyDescent="0.2"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6:15" x14ac:dyDescent="0.2"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6:15" x14ac:dyDescent="0.2"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6:15" x14ac:dyDescent="0.2"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6:15" x14ac:dyDescent="0.2"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6:15" x14ac:dyDescent="0.2"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6:15" x14ac:dyDescent="0.2"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6:15" x14ac:dyDescent="0.2"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6:15" x14ac:dyDescent="0.2"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6:15" x14ac:dyDescent="0.2"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6:15" x14ac:dyDescent="0.2"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6:15" x14ac:dyDescent="0.2"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6:15" x14ac:dyDescent="0.2"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6:15" x14ac:dyDescent="0.2"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6:15" x14ac:dyDescent="0.2"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6:15" x14ac:dyDescent="0.2"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6:15" x14ac:dyDescent="0.2"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6:15" x14ac:dyDescent="0.2"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6:15" x14ac:dyDescent="0.2"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6:15" x14ac:dyDescent="0.2"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6:15" x14ac:dyDescent="0.2"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6:15" x14ac:dyDescent="0.2"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6:15" x14ac:dyDescent="0.2"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6:15" x14ac:dyDescent="0.2"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6:15" x14ac:dyDescent="0.2"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6:15" x14ac:dyDescent="0.2"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6:15" x14ac:dyDescent="0.2"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6:15" x14ac:dyDescent="0.2"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6:15" x14ac:dyDescent="0.2"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6:15" x14ac:dyDescent="0.2"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6:15" x14ac:dyDescent="0.2"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6:15" x14ac:dyDescent="0.2"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6:15" x14ac:dyDescent="0.2"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6:15" x14ac:dyDescent="0.2"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6:15" x14ac:dyDescent="0.2"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6:15" x14ac:dyDescent="0.2"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6:15" x14ac:dyDescent="0.2"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6:15" x14ac:dyDescent="0.2"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6:15" x14ac:dyDescent="0.2"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6:15" x14ac:dyDescent="0.2"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6:15" x14ac:dyDescent="0.2"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6:15" x14ac:dyDescent="0.2"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6:15" x14ac:dyDescent="0.2"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6:15" x14ac:dyDescent="0.2"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6:15" x14ac:dyDescent="0.2"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6:15" x14ac:dyDescent="0.2"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6:15" x14ac:dyDescent="0.2"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6:15" x14ac:dyDescent="0.2"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6:15" x14ac:dyDescent="0.2"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6:15" x14ac:dyDescent="0.2"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6:15" x14ac:dyDescent="0.2"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6:15" x14ac:dyDescent="0.2"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6:15" x14ac:dyDescent="0.2"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6:15" x14ac:dyDescent="0.2"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6:15" x14ac:dyDescent="0.2"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6:15" x14ac:dyDescent="0.2"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6:15" x14ac:dyDescent="0.2"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6:15" x14ac:dyDescent="0.2"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6:15" x14ac:dyDescent="0.2"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6:15" x14ac:dyDescent="0.2"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6:15" x14ac:dyDescent="0.2"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6:15" x14ac:dyDescent="0.2"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6:15" x14ac:dyDescent="0.2"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6:15" x14ac:dyDescent="0.2"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6:15" x14ac:dyDescent="0.2"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6:15" x14ac:dyDescent="0.2"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6:15" x14ac:dyDescent="0.2"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6:15" x14ac:dyDescent="0.2"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6:15" x14ac:dyDescent="0.2"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6:15" x14ac:dyDescent="0.2"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6:15" x14ac:dyDescent="0.2"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6:15" x14ac:dyDescent="0.2"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6:15" x14ac:dyDescent="0.2"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6:15" x14ac:dyDescent="0.2"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6:15" x14ac:dyDescent="0.2"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6:15" x14ac:dyDescent="0.2"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6:15" x14ac:dyDescent="0.2"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6:15" x14ac:dyDescent="0.2"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6:15" x14ac:dyDescent="0.2"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6:15" x14ac:dyDescent="0.2"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6:15" x14ac:dyDescent="0.2"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6:15" x14ac:dyDescent="0.2"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6:15" x14ac:dyDescent="0.2"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6:15" x14ac:dyDescent="0.2"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6:15" x14ac:dyDescent="0.2"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6:15" x14ac:dyDescent="0.2"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6:15" x14ac:dyDescent="0.2"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6:15" x14ac:dyDescent="0.2"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6:15" x14ac:dyDescent="0.2"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6:15" x14ac:dyDescent="0.2"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6:15" x14ac:dyDescent="0.2"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6:15" x14ac:dyDescent="0.2"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6:15" x14ac:dyDescent="0.2"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6:15" x14ac:dyDescent="0.2"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6:15" x14ac:dyDescent="0.2"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6:15" x14ac:dyDescent="0.2"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6:15" x14ac:dyDescent="0.2"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6:15" x14ac:dyDescent="0.2"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6:15" x14ac:dyDescent="0.2"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6:15" x14ac:dyDescent="0.2"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6:15" x14ac:dyDescent="0.2"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6:15" x14ac:dyDescent="0.2"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6:15" x14ac:dyDescent="0.2"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6:15" x14ac:dyDescent="0.2"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6:15" x14ac:dyDescent="0.2"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6:15" x14ac:dyDescent="0.2"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6:15" x14ac:dyDescent="0.2"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6:15" x14ac:dyDescent="0.2"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6:15" x14ac:dyDescent="0.2"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6:15" x14ac:dyDescent="0.2"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6:15" x14ac:dyDescent="0.2"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6:15" x14ac:dyDescent="0.2"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6:15" x14ac:dyDescent="0.2"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6:15" x14ac:dyDescent="0.2"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6:15" x14ac:dyDescent="0.2"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6:15" x14ac:dyDescent="0.2"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6:15" x14ac:dyDescent="0.2"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6:15" x14ac:dyDescent="0.2"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6:15" x14ac:dyDescent="0.2"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6:15" x14ac:dyDescent="0.2"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6:15" x14ac:dyDescent="0.2"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6:15" x14ac:dyDescent="0.2"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6:15" x14ac:dyDescent="0.2"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6:15" x14ac:dyDescent="0.2"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6:15" x14ac:dyDescent="0.2"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6:15" x14ac:dyDescent="0.2"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6:15" x14ac:dyDescent="0.2"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6:15" x14ac:dyDescent="0.2"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6:15" x14ac:dyDescent="0.2"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6:15" x14ac:dyDescent="0.2"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6:15" x14ac:dyDescent="0.2"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6:15" x14ac:dyDescent="0.2"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6:15" x14ac:dyDescent="0.2"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6:15" x14ac:dyDescent="0.2"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6:15" x14ac:dyDescent="0.2"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6:15" x14ac:dyDescent="0.2"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6:15" x14ac:dyDescent="0.2"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6:15" x14ac:dyDescent="0.2"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6:15" x14ac:dyDescent="0.2"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6:15" x14ac:dyDescent="0.2"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6:15" x14ac:dyDescent="0.2"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6:15" x14ac:dyDescent="0.2"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6:15" x14ac:dyDescent="0.2"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6:15" x14ac:dyDescent="0.2"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6:15" x14ac:dyDescent="0.2"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6:15" x14ac:dyDescent="0.2"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6:15" x14ac:dyDescent="0.2"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6:15" x14ac:dyDescent="0.2"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6:15" x14ac:dyDescent="0.2"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6:15" x14ac:dyDescent="0.2"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6:15" x14ac:dyDescent="0.2"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6:15" x14ac:dyDescent="0.2"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6:15" x14ac:dyDescent="0.2"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6:15" x14ac:dyDescent="0.2"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6:15" x14ac:dyDescent="0.2"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6:15" x14ac:dyDescent="0.2"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6:15" x14ac:dyDescent="0.2"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6:15" x14ac:dyDescent="0.2"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6:15" x14ac:dyDescent="0.2"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6:15" x14ac:dyDescent="0.2"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6:15" x14ac:dyDescent="0.2"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6:15" x14ac:dyDescent="0.2"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6:15" x14ac:dyDescent="0.2"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6:15" x14ac:dyDescent="0.2"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6:15" x14ac:dyDescent="0.2"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6:15" x14ac:dyDescent="0.2"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6:15" x14ac:dyDescent="0.2"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6:15" x14ac:dyDescent="0.2"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6:15" x14ac:dyDescent="0.2"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6:15" x14ac:dyDescent="0.2"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6:15" x14ac:dyDescent="0.2"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6:15" x14ac:dyDescent="0.2"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6:15" x14ac:dyDescent="0.2"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6:15" x14ac:dyDescent="0.2"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6:15" x14ac:dyDescent="0.2"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6:15" x14ac:dyDescent="0.2"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6:15" x14ac:dyDescent="0.2"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6:15" x14ac:dyDescent="0.2"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6:15" x14ac:dyDescent="0.2"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6:15" x14ac:dyDescent="0.2"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6:15" x14ac:dyDescent="0.2"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6:15" x14ac:dyDescent="0.2"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6:15" x14ac:dyDescent="0.2"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6:15" x14ac:dyDescent="0.2"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6:15" x14ac:dyDescent="0.2"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6:15" x14ac:dyDescent="0.2"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6:15" x14ac:dyDescent="0.2"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6:15" x14ac:dyDescent="0.2"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6:15" x14ac:dyDescent="0.2"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6:15" x14ac:dyDescent="0.2"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6:15" x14ac:dyDescent="0.2"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6:15" x14ac:dyDescent="0.2"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6:15" x14ac:dyDescent="0.2"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6:15" x14ac:dyDescent="0.2"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6:15" x14ac:dyDescent="0.2"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6:15" x14ac:dyDescent="0.2"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6:15" x14ac:dyDescent="0.2"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6:15" x14ac:dyDescent="0.2"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6:15" x14ac:dyDescent="0.2"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6:15" x14ac:dyDescent="0.2"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6:15" x14ac:dyDescent="0.2"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6:15" x14ac:dyDescent="0.2"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6:15" x14ac:dyDescent="0.2"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6:15" x14ac:dyDescent="0.2"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6:15" x14ac:dyDescent="0.2"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6:15" x14ac:dyDescent="0.2"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6:15" x14ac:dyDescent="0.2"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6:15" x14ac:dyDescent="0.2"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6:15" x14ac:dyDescent="0.2"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6:15" x14ac:dyDescent="0.2"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6:15" x14ac:dyDescent="0.2"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6:15" x14ac:dyDescent="0.2"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6:15" x14ac:dyDescent="0.2"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6:15" x14ac:dyDescent="0.2"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6:15" x14ac:dyDescent="0.2"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6:15" x14ac:dyDescent="0.2"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6:15" x14ac:dyDescent="0.2"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6:15" x14ac:dyDescent="0.2"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6:15" x14ac:dyDescent="0.2"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6:15" x14ac:dyDescent="0.2"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6:15" x14ac:dyDescent="0.2"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6:15" x14ac:dyDescent="0.2"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6:15" x14ac:dyDescent="0.2"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6:15" x14ac:dyDescent="0.2"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6:15" x14ac:dyDescent="0.2"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6:15" x14ac:dyDescent="0.2"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6:15" x14ac:dyDescent="0.2"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6:15" x14ac:dyDescent="0.2"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6:15" x14ac:dyDescent="0.2"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6:15" x14ac:dyDescent="0.2"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6:15" x14ac:dyDescent="0.2"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6:15" x14ac:dyDescent="0.2"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6:15" x14ac:dyDescent="0.2"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6:15" x14ac:dyDescent="0.2"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6:15" x14ac:dyDescent="0.2"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6:15" x14ac:dyDescent="0.2"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6:15" x14ac:dyDescent="0.2"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6:15" x14ac:dyDescent="0.2"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6:15" x14ac:dyDescent="0.2"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6:15" x14ac:dyDescent="0.2"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6:15" x14ac:dyDescent="0.2"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6:15" x14ac:dyDescent="0.2"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6:15" x14ac:dyDescent="0.2"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6:15" x14ac:dyDescent="0.2"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6:15" x14ac:dyDescent="0.2"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6:15" x14ac:dyDescent="0.2"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6:15" x14ac:dyDescent="0.2"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6:15" x14ac:dyDescent="0.2"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6:15" x14ac:dyDescent="0.2"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6:15" x14ac:dyDescent="0.2"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6:15" x14ac:dyDescent="0.2"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6:15" x14ac:dyDescent="0.2"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6:15" x14ac:dyDescent="0.2"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6:15" x14ac:dyDescent="0.2"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6:15" x14ac:dyDescent="0.2"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6:15" x14ac:dyDescent="0.2"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6:15" x14ac:dyDescent="0.2"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6:15" x14ac:dyDescent="0.2"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6:15" x14ac:dyDescent="0.2"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6:15" x14ac:dyDescent="0.2"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6:15" x14ac:dyDescent="0.2"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6:15" x14ac:dyDescent="0.2"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6:15" x14ac:dyDescent="0.2"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6:15" x14ac:dyDescent="0.2"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6:15" x14ac:dyDescent="0.2"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6:15" x14ac:dyDescent="0.2"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6:15" x14ac:dyDescent="0.2"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6:15" x14ac:dyDescent="0.2"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6:15" x14ac:dyDescent="0.2"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6:15" x14ac:dyDescent="0.2"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6:15" x14ac:dyDescent="0.2"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6:15" x14ac:dyDescent="0.2"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6:15" x14ac:dyDescent="0.2"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6:15" x14ac:dyDescent="0.2"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6:15" x14ac:dyDescent="0.2"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6:15" x14ac:dyDescent="0.2"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6:15" x14ac:dyDescent="0.2"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6:15" x14ac:dyDescent="0.2"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6:15" x14ac:dyDescent="0.2"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6:15" x14ac:dyDescent="0.2"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6:15" x14ac:dyDescent="0.2"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6:15" x14ac:dyDescent="0.2"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6:15" x14ac:dyDescent="0.2"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6:15" x14ac:dyDescent="0.2"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6:15" x14ac:dyDescent="0.2"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6:15" x14ac:dyDescent="0.2"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6:15" x14ac:dyDescent="0.2"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6:15" x14ac:dyDescent="0.2"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6:15" x14ac:dyDescent="0.2"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6:15" x14ac:dyDescent="0.2"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6:15" x14ac:dyDescent="0.2"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6:15" x14ac:dyDescent="0.2"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6:15" x14ac:dyDescent="0.2"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6:15" x14ac:dyDescent="0.2"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6:15" x14ac:dyDescent="0.2"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6:15" x14ac:dyDescent="0.2"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6:15" x14ac:dyDescent="0.2"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6:15" x14ac:dyDescent="0.2"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6:15" x14ac:dyDescent="0.2"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6:15" x14ac:dyDescent="0.2"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6:15" x14ac:dyDescent="0.2"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</sheetData>
  <conditionalFormatting sqref="B2">
    <cfRule type="cellIs" dxfId="2" priority="6" operator="equal">
      <formula>TRUE</formula>
    </cfRule>
  </conditionalFormatting>
  <conditionalFormatting sqref="C35">
    <cfRule type="cellIs" dxfId="1" priority="9" operator="equal">
      <formula>TRUE</formula>
    </cfRule>
  </conditionalFormatting>
  <conditionalFormatting sqref="C46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3448-82CF-45F2-9FC6-DF7697D08D0B}">
  <dimension ref="A2:N17"/>
  <sheetViews>
    <sheetView tabSelected="1" zoomScale="85" zoomScaleNormal="85" workbookViewId="0"/>
  </sheetViews>
  <sheetFormatPr defaultColWidth="12.42578125" defaultRowHeight="15" x14ac:dyDescent="0.2"/>
  <cols>
    <col min="1" max="1" width="21.140625" style="37" bestFit="1" customWidth="1"/>
    <col min="2" max="16384" width="12.42578125" style="37"/>
  </cols>
  <sheetData>
    <row r="2" spans="1:14" x14ac:dyDescent="0.2">
      <c r="B2" s="37">
        <v>2015</v>
      </c>
      <c r="C2" s="37">
        <f t="shared" ref="C2:K2" si="0">B2+1</f>
        <v>2016</v>
      </c>
      <c r="D2" s="37">
        <f t="shared" si="0"/>
        <v>2017</v>
      </c>
      <c r="E2" s="37">
        <f t="shared" si="0"/>
        <v>2018</v>
      </c>
      <c r="F2" s="37">
        <f t="shared" si="0"/>
        <v>2019</v>
      </c>
      <c r="G2" s="37">
        <f t="shared" si="0"/>
        <v>2020</v>
      </c>
      <c r="H2" s="37">
        <f t="shared" si="0"/>
        <v>2021</v>
      </c>
      <c r="I2" s="37">
        <f t="shared" si="0"/>
        <v>2022</v>
      </c>
      <c r="J2" s="37">
        <f t="shared" si="0"/>
        <v>2023</v>
      </c>
      <c r="K2" s="37">
        <f t="shared" si="0"/>
        <v>2024</v>
      </c>
      <c r="L2" s="40" t="s">
        <v>83</v>
      </c>
      <c r="M2" s="40" t="s">
        <v>82</v>
      </c>
      <c r="N2" s="40" t="s">
        <v>81</v>
      </c>
    </row>
    <row r="3" spans="1:14" x14ac:dyDescent="0.2">
      <c r="A3" s="37" t="s">
        <v>12</v>
      </c>
      <c r="B3" s="42">
        <v>1395</v>
      </c>
      <c r="C3" s="42">
        <v>1436</v>
      </c>
      <c r="D3" s="42">
        <v>1581</v>
      </c>
      <c r="E3" s="42">
        <v>1922</v>
      </c>
      <c r="F3" s="42">
        <v>1997</v>
      </c>
      <c r="G3" s="42">
        <v>2237</v>
      </c>
      <c r="H3" s="42">
        <v>2751</v>
      </c>
      <c r="I3" s="42">
        <v>3167</v>
      </c>
      <c r="J3" s="42">
        <v>4420</v>
      </c>
      <c r="K3" s="42">
        <v>5200</v>
      </c>
      <c r="L3" s="42">
        <v>5415</v>
      </c>
      <c r="M3" s="42">
        <v>5662</v>
      </c>
      <c r="N3" s="42">
        <v>6103</v>
      </c>
    </row>
    <row r="4" spans="1:14" x14ac:dyDescent="0.2">
      <c r="B4" s="42">
        <v>49</v>
      </c>
      <c r="C4" s="42">
        <v>84</v>
      </c>
      <c r="D4" s="42">
        <v>76</v>
      </c>
      <c r="E4" s="42">
        <v>169</v>
      </c>
      <c r="F4" s="42">
        <v>161</v>
      </c>
      <c r="G4" s="42">
        <v>195</v>
      </c>
      <c r="H4" s="42">
        <v>308</v>
      </c>
      <c r="I4" s="42">
        <v>380</v>
      </c>
      <c r="J4" s="42">
        <v>600</v>
      </c>
      <c r="K4" s="42">
        <v>755</v>
      </c>
      <c r="L4" s="42">
        <f>L3*L7</f>
        <v>796.005</v>
      </c>
      <c r="M4" s="42">
        <f>M3*M7</f>
        <v>860.62400000000002</v>
      </c>
      <c r="N4" s="42">
        <f>N3*N7</f>
        <v>964.274</v>
      </c>
    </row>
    <row r="6" spans="1:14" x14ac:dyDescent="0.2">
      <c r="A6" s="37" t="s">
        <v>78</v>
      </c>
      <c r="C6" s="41">
        <f t="shared" ref="C6:N6" si="1">C3/B3-1</f>
        <v>2.9390681003584218E-2</v>
      </c>
      <c r="D6" s="41">
        <f t="shared" si="1"/>
        <v>0.10097493036211702</v>
      </c>
      <c r="E6" s="41">
        <f t="shared" si="1"/>
        <v>0.21568627450980382</v>
      </c>
      <c r="F6" s="41">
        <f t="shared" si="1"/>
        <v>3.9021852237252963E-2</v>
      </c>
      <c r="G6" s="41">
        <f t="shared" si="1"/>
        <v>0.1201802704056083</v>
      </c>
      <c r="H6" s="41">
        <f t="shared" si="1"/>
        <v>0.2297720160929817</v>
      </c>
      <c r="I6" s="41">
        <f t="shared" si="1"/>
        <v>0.1512177390039986</v>
      </c>
      <c r="J6" s="41">
        <f t="shared" si="1"/>
        <v>0.39564256394063779</v>
      </c>
      <c r="K6" s="41">
        <f t="shared" si="1"/>
        <v>0.17647058823529416</v>
      </c>
      <c r="L6" s="41">
        <f t="shared" si="1"/>
        <v>4.1346153846153921E-2</v>
      </c>
      <c r="M6" s="41">
        <f t="shared" si="1"/>
        <v>4.5614035087719218E-2</v>
      </c>
      <c r="N6" s="41">
        <f t="shared" si="1"/>
        <v>7.788767220063586E-2</v>
      </c>
    </row>
    <row r="7" spans="1:14" x14ac:dyDescent="0.2">
      <c r="A7" s="37" t="s">
        <v>77</v>
      </c>
      <c r="C7" s="41">
        <f t="shared" ref="C7:K7" si="2">C4/C3</f>
        <v>5.8495821727019497E-2</v>
      </c>
      <c r="D7" s="41">
        <f t="shared" si="2"/>
        <v>4.8070841239721697E-2</v>
      </c>
      <c r="E7" s="41">
        <f t="shared" si="2"/>
        <v>8.7929240374609779E-2</v>
      </c>
      <c r="F7" s="41">
        <f t="shared" si="2"/>
        <v>8.0620931397095641E-2</v>
      </c>
      <c r="G7" s="41">
        <f t="shared" si="2"/>
        <v>8.7170317389360749E-2</v>
      </c>
      <c r="H7" s="41">
        <f t="shared" si="2"/>
        <v>0.11195928753180662</v>
      </c>
      <c r="I7" s="41">
        <f t="shared" si="2"/>
        <v>0.11998736975055257</v>
      </c>
      <c r="J7" s="41">
        <f t="shared" si="2"/>
        <v>0.13574660633484162</v>
      </c>
      <c r="K7" s="41">
        <f t="shared" si="2"/>
        <v>0.1451923076923077</v>
      </c>
      <c r="L7" s="41">
        <v>0.14699999999999999</v>
      </c>
      <c r="M7" s="41">
        <v>0.152</v>
      </c>
      <c r="N7" s="41">
        <v>0.158</v>
      </c>
    </row>
    <row r="11" spans="1:14" x14ac:dyDescent="0.2">
      <c r="A11" s="37" t="s">
        <v>15</v>
      </c>
    </row>
    <row r="13" spans="1:14" x14ac:dyDescent="0.2">
      <c r="G13" s="37">
        <f t="shared" ref="G13:N13" si="3">G2</f>
        <v>2020</v>
      </c>
      <c r="H13" s="37">
        <f t="shared" si="3"/>
        <v>2021</v>
      </c>
      <c r="I13" s="37">
        <f t="shared" si="3"/>
        <v>2022</v>
      </c>
      <c r="J13" s="37">
        <f t="shared" si="3"/>
        <v>2023</v>
      </c>
      <c r="K13" s="37">
        <f t="shared" si="3"/>
        <v>2024</v>
      </c>
      <c r="L13" s="40" t="str">
        <f t="shared" si="3"/>
        <v>2025E</v>
      </c>
      <c r="M13" s="40" t="str">
        <f t="shared" si="3"/>
        <v>2026E</v>
      </c>
      <c r="N13" s="40" t="str">
        <f t="shared" si="3"/>
        <v>2027E</v>
      </c>
    </row>
    <row r="14" spans="1:14" x14ac:dyDescent="0.2">
      <c r="F14" s="37" t="s">
        <v>80</v>
      </c>
      <c r="G14" s="39">
        <f t="shared" ref="G14:N14" si="4">F3</f>
        <v>1997</v>
      </c>
      <c r="H14" s="39">
        <f t="shared" si="4"/>
        <v>2237</v>
      </c>
      <c r="I14" s="39">
        <f t="shared" si="4"/>
        <v>2751</v>
      </c>
      <c r="J14" s="39">
        <f t="shared" si="4"/>
        <v>3167</v>
      </c>
      <c r="K14" s="39">
        <f t="shared" si="4"/>
        <v>4420</v>
      </c>
      <c r="L14" s="39">
        <f t="shared" si="4"/>
        <v>5200</v>
      </c>
      <c r="M14" s="39">
        <f t="shared" si="4"/>
        <v>5415</v>
      </c>
      <c r="N14" s="39">
        <f t="shared" si="4"/>
        <v>5662</v>
      </c>
    </row>
    <row r="15" spans="1:14" x14ac:dyDescent="0.2">
      <c r="F15" s="37" t="s">
        <v>79</v>
      </c>
      <c r="G15" s="39">
        <f t="shared" ref="G15:N15" si="5">G3-F3</f>
        <v>240</v>
      </c>
      <c r="H15" s="39">
        <f t="shared" si="5"/>
        <v>514</v>
      </c>
      <c r="I15" s="39">
        <f t="shared" si="5"/>
        <v>416</v>
      </c>
      <c r="J15" s="39">
        <f t="shared" si="5"/>
        <v>1253</v>
      </c>
      <c r="K15" s="39">
        <f t="shared" si="5"/>
        <v>780</v>
      </c>
      <c r="L15" s="39">
        <f t="shared" si="5"/>
        <v>215</v>
      </c>
      <c r="M15" s="39">
        <f t="shared" si="5"/>
        <v>247</v>
      </c>
      <c r="N15" s="39">
        <f t="shared" si="5"/>
        <v>441</v>
      </c>
    </row>
    <row r="16" spans="1:14" x14ac:dyDescent="0.2">
      <c r="F16" s="37" t="s">
        <v>78</v>
      </c>
      <c r="G16" s="38">
        <f t="shared" ref="G16:N17" si="6">G6</f>
        <v>0.1201802704056083</v>
      </c>
      <c r="H16" s="38">
        <f t="shared" si="6"/>
        <v>0.2297720160929817</v>
      </c>
      <c r="I16" s="38">
        <f t="shared" si="6"/>
        <v>0.1512177390039986</v>
      </c>
      <c r="J16" s="38">
        <f t="shared" si="6"/>
        <v>0.39564256394063779</v>
      </c>
      <c r="K16" s="38">
        <f t="shared" si="6"/>
        <v>0.17647058823529416</v>
      </c>
      <c r="L16" s="38">
        <f t="shared" si="6"/>
        <v>4.1346153846153921E-2</v>
      </c>
      <c r="M16" s="38">
        <f t="shared" si="6"/>
        <v>4.5614035087719218E-2</v>
      </c>
      <c r="N16" s="38">
        <f t="shared" si="6"/>
        <v>7.788767220063586E-2</v>
      </c>
    </row>
    <row r="17" spans="6:14" x14ac:dyDescent="0.2">
      <c r="F17" s="37" t="s">
        <v>77</v>
      </c>
      <c r="G17" s="38">
        <f t="shared" si="6"/>
        <v>8.7170317389360749E-2</v>
      </c>
      <c r="H17" s="38">
        <f t="shared" si="6"/>
        <v>0.11195928753180662</v>
      </c>
      <c r="I17" s="38">
        <f t="shared" si="6"/>
        <v>0.11998736975055257</v>
      </c>
      <c r="J17" s="38">
        <f t="shared" si="6"/>
        <v>0.13574660633484162</v>
      </c>
      <c r="K17" s="38">
        <f t="shared" si="6"/>
        <v>0.1451923076923077</v>
      </c>
      <c r="L17" s="38">
        <f t="shared" si="6"/>
        <v>0.14699999999999999</v>
      </c>
      <c r="M17" s="38">
        <f t="shared" si="6"/>
        <v>0.152</v>
      </c>
      <c r="N17" s="38">
        <f t="shared" si="6"/>
        <v>0.158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Disclaimer</vt:lpstr>
      <vt:lpstr>Input</vt:lpstr>
      <vt:lpstr>WORKINGS&gt;&gt;</vt:lpstr>
      <vt:lpstr>Historical</vt:lpstr>
      <vt:lpstr>INPUT&gt;&gt;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2025-07-02T13:27:37Z</dcterms:modified>
</cp:coreProperties>
</file>