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/Developer/valuations/"/>
    </mc:Choice>
  </mc:AlternateContent>
  <xr:revisionPtr revIDLastSave="0" documentId="13_ncr:1_{EB424305-612B-1441-9159-824D6BD89C9A}" xr6:coauthVersionLast="47" xr6:coauthVersionMax="47" xr10:uidLastSave="{00000000-0000-0000-0000-000000000000}"/>
  <bookViews>
    <workbookView xWindow="0" yWindow="880" windowWidth="36000" windowHeight="22500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65" i="10" l="1"/>
  <c r="V65" i="10"/>
  <c r="U65" i="10"/>
  <c r="Y63" i="10"/>
  <c r="Y65" i="10" s="1"/>
  <c r="X63" i="10"/>
  <c r="X65" i="10" s="1"/>
  <c r="W63" i="10"/>
  <c r="V63" i="10"/>
  <c r="U63" i="10"/>
  <c r="Y59" i="10"/>
  <c r="X59" i="10"/>
  <c r="W59" i="10"/>
  <c r="V59" i="10"/>
  <c r="U59" i="10"/>
  <c r="Y56" i="10"/>
  <c r="X56" i="10"/>
  <c r="W56" i="10"/>
  <c r="V56" i="10"/>
  <c r="U56" i="10"/>
  <c r="AB63" i="10"/>
  <c r="AB65" i="10" s="1"/>
  <c r="AB59" i="10"/>
  <c r="AB56" i="10"/>
  <c r="AA63" i="10"/>
  <c r="AA65" i="10" s="1"/>
  <c r="AA59" i="10"/>
  <c r="AA56" i="10"/>
  <c r="Z63" i="10"/>
  <c r="Z65" i="10" s="1"/>
  <c r="Z59" i="10"/>
  <c r="Z56" i="10"/>
  <c r="T65" i="10"/>
  <c r="T56" i="10"/>
  <c r="T63" i="10"/>
  <c r="T59" i="10"/>
  <c r="AB36" i="10"/>
  <c r="AA36" i="10"/>
  <c r="Z36" i="10"/>
  <c r="Y36" i="10"/>
  <c r="X36" i="10"/>
  <c r="W36" i="10"/>
  <c r="V36" i="10"/>
  <c r="T36" i="10"/>
  <c r="AB31" i="10"/>
  <c r="AA31" i="10"/>
  <c r="Z31" i="10"/>
  <c r="Y31" i="10"/>
  <c r="X31" i="10"/>
  <c r="W31" i="10"/>
  <c r="V31" i="10"/>
  <c r="U31" i="10"/>
  <c r="AB28" i="10"/>
  <c r="AA28" i="10"/>
  <c r="Z28" i="10"/>
  <c r="Y28" i="10"/>
  <c r="X28" i="10"/>
  <c r="W28" i="10"/>
  <c r="V28" i="10"/>
  <c r="U28" i="10"/>
  <c r="AB14" i="10"/>
  <c r="AB18" i="10" s="1"/>
  <c r="AB20" i="10" s="1"/>
  <c r="AA18" i="10"/>
  <c r="AA20" i="10" s="1"/>
  <c r="AA14" i="10"/>
  <c r="Z18" i="10"/>
  <c r="Z20" i="10" s="1"/>
  <c r="Z14" i="10"/>
  <c r="X18" i="10"/>
  <c r="X20" i="10" s="1"/>
  <c r="X14" i="10"/>
  <c r="Y18" i="10"/>
  <c r="Y20" i="10" s="1"/>
  <c r="Y14" i="10"/>
  <c r="W14" i="10"/>
  <c r="W18" i="10" s="1"/>
  <c r="W20" i="10" s="1"/>
  <c r="V14" i="10"/>
  <c r="V18" i="10" s="1"/>
  <c r="V20" i="10" s="1"/>
  <c r="T14" i="10"/>
  <c r="T18" i="10" s="1"/>
  <c r="T20" i="10" s="1"/>
  <c r="U14" i="10"/>
  <c r="X23" i="10" l="1"/>
  <c r="X29" i="10"/>
  <c r="AB29" i="10"/>
  <c r="AB23" i="10"/>
  <c r="AA29" i="10"/>
  <c r="AA23" i="10"/>
  <c r="Z29" i="10"/>
  <c r="Z23" i="10"/>
  <c r="X26" i="10"/>
  <c r="X30" i="10"/>
  <c r="Y29" i="10"/>
  <c r="Y23" i="10"/>
  <c r="W29" i="10"/>
  <c r="W23" i="10"/>
  <c r="V29" i="10"/>
  <c r="V23" i="10"/>
  <c r="T29" i="10"/>
  <c r="T23" i="10"/>
  <c r="U18" i="10"/>
  <c r="U20" i="10" s="1"/>
  <c r="U29" i="10"/>
  <c r="U23" i="10"/>
  <c r="AB30" i="10" l="1"/>
  <c r="AB26" i="10"/>
  <c r="AA30" i="10"/>
  <c r="AA26" i="10"/>
  <c r="Z26" i="10"/>
  <c r="Z30" i="10"/>
  <c r="Y30" i="10"/>
  <c r="Y26" i="10"/>
  <c r="W30" i="10"/>
  <c r="W26" i="10"/>
  <c r="V30" i="10"/>
  <c r="V26" i="10"/>
  <c r="T30" i="10"/>
  <c r="T26" i="10"/>
  <c r="U26" i="10"/>
  <c r="U30" i="10"/>
  <c r="U36" i="10" l="1"/>
  <c r="R66" i="10" l="1"/>
  <c r="Q66" i="10"/>
  <c r="R62" i="10"/>
  <c r="Q62" i="10"/>
  <c r="R61" i="10"/>
  <c r="Q61" i="10"/>
  <c r="R55" i="10"/>
  <c r="Q55" i="10"/>
  <c r="R57" i="10"/>
  <c r="Q57" i="10"/>
  <c r="R53" i="10"/>
  <c r="Q53" i="10"/>
  <c r="R47" i="10"/>
  <c r="Q47" i="10"/>
  <c r="R44" i="10"/>
  <c r="Q44" i="10"/>
  <c r="R41" i="10"/>
  <c r="Q41" i="10"/>
  <c r="O64" i="10"/>
  <c r="O65" i="10" s="1"/>
  <c r="N64" i="10"/>
  <c r="M64" i="10"/>
  <c r="L64" i="10"/>
  <c r="K64" i="10"/>
  <c r="J64" i="10"/>
  <c r="I64" i="10"/>
  <c r="H64" i="10"/>
  <c r="G64" i="10"/>
  <c r="F64" i="10"/>
  <c r="F63" i="10"/>
  <c r="G63" i="10"/>
  <c r="H63" i="10"/>
  <c r="I63" i="10"/>
  <c r="J63" i="10"/>
  <c r="K63" i="10"/>
  <c r="L63" i="10"/>
  <c r="L65" i="10" s="1"/>
  <c r="M63" i="10"/>
  <c r="N63" i="10"/>
  <c r="O63" i="10"/>
  <c r="O48" i="10"/>
  <c r="N48" i="10"/>
  <c r="M48" i="10"/>
  <c r="L48" i="10"/>
  <c r="K48" i="10"/>
  <c r="J48" i="10"/>
  <c r="I48" i="10"/>
  <c r="H48" i="10"/>
  <c r="G48" i="10"/>
  <c r="O42" i="10"/>
  <c r="N42" i="10"/>
  <c r="M42" i="10"/>
  <c r="L42" i="10"/>
  <c r="K42" i="10"/>
  <c r="J42" i="10"/>
  <c r="I42" i="10"/>
  <c r="H42" i="10"/>
  <c r="G42" i="10"/>
  <c r="O45" i="10"/>
  <c r="N45" i="10"/>
  <c r="M45" i="10"/>
  <c r="L45" i="10"/>
  <c r="K45" i="10"/>
  <c r="J45" i="10"/>
  <c r="I45" i="10"/>
  <c r="H45" i="10"/>
  <c r="G45" i="10"/>
  <c r="O59" i="10"/>
  <c r="N59" i="10"/>
  <c r="M59" i="10"/>
  <c r="L59" i="10"/>
  <c r="K59" i="10"/>
  <c r="J59" i="10"/>
  <c r="I59" i="10"/>
  <c r="H59" i="10"/>
  <c r="G59" i="10"/>
  <c r="F59" i="10"/>
  <c r="O56" i="10"/>
  <c r="N56" i="10"/>
  <c r="M56" i="10"/>
  <c r="L56" i="10"/>
  <c r="K56" i="10"/>
  <c r="J56" i="10"/>
  <c r="I56" i="10"/>
  <c r="H56" i="10"/>
  <c r="G56" i="10"/>
  <c r="F56" i="10"/>
  <c r="E50" i="10"/>
  <c r="E51" i="10"/>
  <c r="F16" i="10"/>
  <c r="Q25" i="10"/>
  <c r="R25" i="10"/>
  <c r="G16" i="10"/>
  <c r="H16" i="10"/>
  <c r="I16" i="10"/>
  <c r="J16" i="10"/>
  <c r="K16" i="10"/>
  <c r="L16" i="10"/>
  <c r="F17" i="10"/>
  <c r="G17" i="10"/>
  <c r="H17" i="10"/>
  <c r="I17" i="10"/>
  <c r="J17" i="10"/>
  <c r="K17" i="10"/>
  <c r="L17" i="10"/>
  <c r="M17" i="10"/>
  <c r="N17" i="10"/>
  <c r="O17" i="10"/>
  <c r="E38" i="10"/>
  <c r="L14" i="10"/>
  <c r="K14" i="10"/>
  <c r="J14" i="10"/>
  <c r="I14" i="10"/>
  <c r="H14" i="10"/>
  <c r="G14" i="10"/>
  <c r="F14" i="10"/>
  <c r="L28" i="10"/>
  <c r="K28" i="10"/>
  <c r="J28" i="10"/>
  <c r="I28" i="10"/>
  <c r="H28" i="10"/>
  <c r="G28" i="10"/>
  <c r="F28" i="10"/>
  <c r="E39" i="10"/>
  <c r="E8" i="10"/>
  <c r="N65" i="10" l="1"/>
  <c r="F65" i="10"/>
  <c r="Q65" i="10" s="1"/>
  <c r="R59" i="10"/>
  <c r="M65" i="10"/>
  <c r="R63" i="10"/>
  <c r="G65" i="10"/>
  <c r="R64" i="10"/>
  <c r="Q64" i="10"/>
  <c r="J65" i="10"/>
  <c r="Q63" i="10"/>
  <c r="R56" i="10"/>
  <c r="H65" i="10"/>
  <c r="R65" i="10"/>
  <c r="K65" i="10"/>
  <c r="I65" i="10"/>
  <c r="Q56" i="10"/>
  <c r="Q59" i="10"/>
  <c r="J18" i="10"/>
  <c r="J20" i="10" s="1"/>
  <c r="J29" i="10" s="1"/>
  <c r="F18" i="10"/>
  <c r="F20" i="10" s="1"/>
  <c r="F29" i="10" s="1"/>
  <c r="I18" i="10"/>
  <c r="I20" i="10" s="1"/>
  <c r="I29" i="10" s="1"/>
  <c r="L18" i="10"/>
  <c r="L20" i="10" s="1"/>
  <c r="L29" i="10" s="1"/>
  <c r="G18" i="10"/>
  <c r="G20" i="10" s="1"/>
  <c r="G23" i="10" s="1"/>
  <c r="G26" i="10" s="1"/>
  <c r="H18" i="10"/>
  <c r="H20" i="10" s="1"/>
  <c r="H23" i="10" s="1"/>
  <c r="H26" i="10" s="1"/>
  <c r="K18" i="10"/>
  <c r="K20" i="10" s="1"/>
  <c r="K29" i="10" s="1"/>
  <c r="Q17" i="10"/>
  <c r="Q11" i="10"/>
  <c r="R11" i="10"/>
  <c r="Q22" i="10"/>
  <c r="R22" i="10"/>
  <c r="Q16" i="10"/>
  <c r="R16" i="10"/>
  <c r="M28" i="10"/>
  <c r="O14" i="10"/>
  <c r="N14" i="10"/>
  <c r="N18" i="10" s="1"/>
  <c r="N20" i="10" s="1"/>
  <c r="N23" i="10" s="1"/>
  <c r="M14" i="10"/>
  <c r="R19" i="10"/>
  <c r="Q19" i="10"/>
  <c r="J23" i="10" l="1"/>
  <c r="J26" i="10" s="1"/>
  <c r="L23" i="10"/>
  <c r="L26" i="10" s="1"/>
  <c r="I23" i="10"/>
  <c r="I26" i="10" s="1"/>
  <c r="F23" i="10"/>
  <c r="F26" i="10" s="1"/>
  <c r="F31" i="10" s="1"/>
  <c r="N26" i="10"/>
  <c r="N36" i="10"/>
  <c r="G29" i="10"/>
  <c r="K23" i="10"/>
  <c r="H29" i="10"/>
  <c r="G30" i="10"/>
  <c r="H30" i="10"/>
  <c r="R17" i="10"/>
  <c r="O18" i="10"/>
  <c r="O20" i="10" s="1"/>
  <c r="O23" i="10" s="1"/>
  <c r="M18" i="10"/>
  <c r="M20" i="10" s="1"/>
  <c r="M23" i="10" s="1"/>
  <c r="G16" i="4"/>
  <c r="H16" i="4" s="1"/>
  <c r="I16" i="4" s="1"/>
  <c r="J16" i="4" s="1"/>
  <c r="Q15" i="10"/>
  <c r="Q24" i="10"/>
  <c r="Q14" i="10"/>
  <c r="Q12" i="10"/>
  <c r="R24" i="10"/>
  <c r="R15" i="10"/>
  <c r="R14" i="10"/>
  <c r="R12" i="10"/>
  <c r="E9" i="10"/>
  <c r="O28" i="10"/>
  <c r="N28" i="10"/>
  <c r="N29" i="10"/>
  <c r="D5" i="10"/>
  <c r="D3" i="10"/>
  <c r="A3" i="4"/>
  <c r="A1" i="4"/>
  <c r="A3" i="2"/>
  <c r="A1" i="2"/>
  <c r="A2" i="3"/>
  <c r="A2" i="2" s="1"/>
  <c r="J30" i="10" l="1"/>
  <c r="L30" i="10"/>
  <c r="I30" i="10"/>
  <c r="F30" i="10"/>
  <c r="K30" i="10"/>
  <c r="K26" i="10"/>
  <c r="M36" i="10"/>
  <c r="M26" i="10"/>
  <c r="M31" i="10" s="1"/>
  <c r="O26" i="10"/>
  <c r="O36" i="10"/>
  <c r="H31" i="10"/>
  <c r="I31" i="10"/>
  <c r="J31" i="10"/>
  <c r="G31" i="10"/>
  <c r="R18" i="10"/>
  <c r="Q18" i="10"/>
  <c r="M29" i="10"/>
  <c r="M30" i="10"/>
  <c r="R21" i="10"/>
  <c r="Q21" i="10"/>
  <c r="A2" i="4"/>
  <c r="D4" i="10"/>
  <c r="A2" i="1"/>
  <c r="A3" i="1"/>
  <c r="A1" i="3"/>
  <c r="L31" i="10" l="1"/>
  <c r="K31" i="10"/>
  <c r="N30" i="10"/>
  <c r="I36" i="10"/>
  <c r="K36" i="10"/>
  <c r="J36" i="10"/>
  <c r="H36" i="10"/>
  <c r="G36" i="10"/>
  <c r="O29" i="10"/>
  <c r="R20" i="10"/>
  <c r="Q20" i="10"/>
  <c r="A1" i="1"/>
  <c r="N31" i="10" l="1"/>
  <c r="L36" i="10"/>
  <c r="R23" i="10"/>
  <c r="O30" i="10"/>
  <c r="Q23" i="10"/>
  <c r="F36" i="10"/>
  <c r="O31" i="10" l="1"/>
  <c r="R26" i="10"/>
  <c r="Q26" i="10"/>
  <c r="C36" i="10" a="1"/>
  <c r="C36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<sst xmlns="http://schemas.openxmlformats.org/spreadsheetml/2006/main" count="157" uniqueCount="120">
  <si>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</si>
  <si>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</si>
  <si>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</si>
  <si>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</si>
  <si>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</si>
  <si>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</si>
  <si>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</si>
  <si>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</si>
  <si>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</si>
  <si>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</si>
  <si>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</si>
  <si>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</si>
  <si>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</si>
  <si>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</si>
  <si>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</si>
  <si>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</si>
  <si>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</si>
  <si>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</si>
  <si>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</si>
  <si>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</si>
  <si>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</si>
  <si>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</si>
  <si>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</si>
  <si>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</si>
  <si>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Net financial result</t>
  </si>
  <si>
    <t>EBT</t>
  </si>
  <si>
    <t>Taxes</t>
  </si>
  <si>
    <t>Net income</t>
  </si>
  <si>
    <t>Check</t>
  </si>
  <si>
    <t>Source</t>
  </si>
  <si>
    <t>Total assets</t>
  </si>
  <si>
    <t>Revenue growth</t>
  </si>
  <si>
    <t>EBIT-margin</t>
  </si>
  <si>
    <t>Net income growth</t>
  </si>
  <si>
    <t>Source: BHP Group Limited annual report</t>
  </si>
  <si>
    <t>Currency</t>
  </si>
  <si>
    <t>D&amp;A</t>
  </si>
  <si>
    <t>Notes</t>
  </si>
  <si>
    <t>FY24</t>
  </si>
  <si>
    <t>FY23</t>
  </si>
  <si>
    <t>FY22</t>
  </si>
  <si>
    <t>FY21</t>
  </si>
  <si>
    <t>FY20</t>
  </si>
  <si>
    <t>CAGR</t>
  </si>
  <si>
    <t>FY15-24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</si>
  <si>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</si>
  <si>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</si>
  <si>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</si>
  <si>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</si>
  <si>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</si>
  <si>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</si>
  <si>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</si>
  <si>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</si>
  <si>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</si>
  <si>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</si>
  <si>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</si>
  <si>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BAT</t>
  </si>
  <si>
    <t>British American Tobacco p.l.c.</t>
  </si>
  <si>
    <t>UK</t>
  </si>
  <si>
    <t>LSE</t>
  </si>
  <si>
    <t>LSE:BAT</t>
  </si>
  <si>
    <t>31/12/2024</t>
  </si>
  <si>
    <t>£m</t>
  </si>
  <si>
    <t>COGS</t>
  </si>
  <si>
    <t>Gross profit</t>
  </si>
  <si>
    <t>Other operating expenses</t>
  </si>
  <si>
    <t>EBITDA</t>
  </si>
  <si>
    <t>EBIT</t>
  </si>
  <si>
    <t>Employee benefit costs</t>
  </si>
  <si>
    <t>Changes in inventory</t>
  </si>
  <si>
    <t>Other operating income</t>
  </si>
  <si>
    <t>Dec 24</t>
  </si>
  <si>
    <t>Dec 23</t>
  </si>
  <si>
    <t>Dec 22</t>
  </si>
  <si>
    <t>Equity</t>
  </si>
  <si>
    <t>Income from associates</t>
  </si>
  <si>
    <t>FY15</t>
  </si>
  <si>
    <t>FY16</t>
  </si>
  <si>
    <t>FY17</t>
  </si>
  <si>
    <t>FY18</t>
  </si>
  <si>
    <t>FY19</t>
  </si>
  <si>
    <t>Dec 21</t>
  </si>
  <si>
    <t>Dec 20</t>
  </si>
  <si>
    <t>Dec 19</t>
  </si>
  <si>
    <t>Dec 18</t>
  </si>
  <si>
    <t>Dec 17</t>
  </si>
  <si>
    <t>Dec 16</t>
  </si>
  <si>
    <t>Dec 15</t>
  </si>
  <si>
    <t>Koyfin</t>
  </si>
  <si>
    <t>AR</t>
  </si>
  <si>
    <t>Minority interest</t>
  </si>
  <si>
    <t>CFFO</t>
  </si>
  <si>
    <t>FCF</t>
  </si>
  <si>
    <t>CFFin</t>
  </si>
  <si>
    <t>Long term debt issued</t>
  </si>
  <si>
    <t>Long term debt paid</t>
  </si>
  <si>
    <t>Net long term debt</t>
  </si>
  <si>
    <t>Other</t>
  </si>
  <si>
    <t>CF Investing</t>
  </si>
  <si>
    <t xml:space="preserve">CapEx </t>
  </si>
  <si>
    <t>Long term debt</t>
  </si>
  <si>
    <t>yoy change</t>
  </si>
  <si>
    <t>Div. + Repurchase + Issuance</t>
  </si>
  <si>
    <t> </t>
  </si>
  <si>
    <t>Q1 FY23</t>
  </si>
  <si>
    <t>Q2 FY23</t>
  </si>
  <si>
    <t>Q3 FY23</t>
  </si>
  <si>
    <t>Q4 FY23</t>
  </si>
  <si>
    <t>Q1 FY24</t>
  </si>
  <si>
    <t>Q2 FY24</t>
  </si>
  <si>
    <t>Q3 FY24</t>
  </si>
  <si>
    <t>Q4 FY24</t>
  </si>
  <si>
    <t>Q1 FY25</t>
  </si>
  <si>
    <t>Mar 23</t>
  </si>
  <si>
    <t>Jun 23</t>
  </si>
  <si>
    <t>Sep 23</t>
  </si>
  <si>
    <t>Mar 24</t>
  </si>
  <si>
    <t>Jun 24</t>
  </si>
  <si>
    <t>Sep 24</t>
  </si>
  <si>
    <t>Mar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</si>
</sst>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0.0%;\(0.0%\)"/>
    <numFmt numFmtId="166" formatCode="_(* #,##0.00_);_(* \(#,##0.00\);_(* &quot;-&quot;_);_(@_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5" fontId="6" fillId="0" borderId="5" xfId="1" applyNumberFormat="1" applyFont="1" applyBorder="1" applyAlignment="1">
      <alignment horizontal="right"/>
    </xf>
    <xf numFmtId="165" fontId="6" fillId="0" borderId="6" xfId="1" applyNumberFormat="1" applyFont="1" applyBorder="1" applyAlignment="1">
      <alignment horizontal="right"/>
    </xf>
    <xf numFmtId="165" fontId="6" fillId="0" borderId="0" xfId="1" applyNumberFormat="1" applyFont="1" applyBorder="1" applyAlignment="1">
      <alignment horizontal="right"/>
    </xf>
    <xf numFmtId="165" fontId="6" fillId="0" borderId="8" xfId="1" applyNumberFormat="1" applyFont="1" applyBorder="1" applyAlignment="1">
      <alignment horizontal="right"/>
    </xf>
    <xf numFmtId="165" fontId="6" fillId="0" borderId="2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5" fontId="7" fillId="0" borderId="0" xfId="1" applyNumberFormat="1" applyFont="1" applyBorder="1" applyAlignment="1">
      <alignment horizontal="right"/>
    </xf>
    <xf numFmtId="165" fontId="0" fillId="0" borderId="0" xfId="0" applyNumberFormat="1"/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164" fontId="0" fillId="1" borderId="0" xfId="0" applyNumberFormat="1" applyFill="1" applyAlignment="1">
      <alignment horizontal="right"/>
    </xf>
    <xf numFmtId="165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5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1"/>
    </xf>
    <xf numFmtId="164" fontId="6" fillId="0" borderId="0" xfId="0" applyNumberFormat="1" applyFont="1"/>
    <xf numFmtId="166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</cellXfs>
  <cellStyles count="2">
    <cellStyle name="Normal" xfId="0" builtinId="0"/>
    <cellStyle name="Per cent" xfId="1" builtinId="5"/>
  </cellStyles>
  <dxfs count="2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baseColWidth="10" defaultColWidth="8.83203125" defaultRowHeight="13" x14ac:dyDescent="0.15"/>
  <sheetData>
    <row r="1" spans="1:1" x14ac:dyDescent="0.15">
      <c r="A1" s="7" t="str">
        <f ca="1">MID(CELL("filename",A1),FIND("]",CELL("filename",A1))+1,256)</f>
        <v>Cover</v>
      </c>
    </row>
    <row r="2" spans="1:1" x14ac:dyDescent="0.15">
      <c r="A2" s="6" t="str">
        <f>"Indicative valuation of "&amp;IF(Input!E7="","###",Input!E7)&amp;": Public information"</f>
        <v>Indicative valuation of British American Tobacco p.l.c.: Public information</v>
      </c>
    </row>
    <row r="3" spans="1:1" x14ac:dyDescent="0.15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baseColWidth="10" defaultColWidth="8.83203125" defaultRowHeight="13" x14ac:dyDescent="0.15"/>
  <cols>
    <col min="4" max="4" width="10.33203125" bestFit="1" customWidth="1"/>
  </cols>
  <sheetData>
    <row r="1" spans="1:4" x14ac:dyDescent="0.15">
      <c r="A1" s="5" t="str">
        <f ca="1">MID(CELL("filename",A1),FIND("]",CELL("filename",A1))+1,256)</f>
        <v>Manual</v>
      </c>
    </row>
    <row r="2" spans="1:4" x14ac:dyDescent="0.15">
      <c r="A2" s="6" t="str">
        <f>Cover!$A$2</f>
        <v>Indicative valuation of British American Tobacco p.l.c.: Public information</v>
      </c>
    </row>
    <row r="3" spans="1:4" x14ac:dyDescent="0.15">
      <c r="A3" s="6" t="str">
        <f>Cover!$A$3</f>
        <v>Educational purposes only, no financial advice</v>
      </c>
    </row>
    <row r="5" spans="1:4" x14ac:dyDescent="0.15">
      <c r="B5" s="1" t="s">
        <v>0</v>
      </c>
      <c r="C5" s="1" t="s">
        <v>1</v>
      </c>
    </row>
    <row r="6" spans="1:4" x14ac:dyDescent="0.15">
      <c r="B6" s="1" t="s">
        <v>2</v>
      </c>
      <c r="C6" s="1">
        <v>10</v>
      </c>
    </row>
    <row r="7" spans="1:4" x14ac:dyDescent="0.15">
      <c r="B7" s="1"/>
      <c r="C7" s="1"/>
    </row>
    <row r="8" spans="1:4" x14ac:dyDescent="0.15">
      <c r="B8" s="1" t="s">
        <v>3</v>
      </c>
      <c r="C8" s="2" t="s">
        <v>4</v>
      </c>
      <c r="D8" s="21">
        <v>1234</v>
      </c>
    </row>
    <row r="9" spans="1:4" x14ac:dyDescent="0.15">
      <c r="B9" s="1" t="s">
        <v>5</v>
      </c>
      <c r="C9" s="1" t="s">
        <v>6</v>
      </c>
    </row>
    <row r="10" spans="1:4" x14ac:dyDescent="0.15">
      <c r="B10" s="1" t="s">
        <v>7</v>
      </c>
      <c r="C10" s="3" t="s">
        <v>8</v>
      </c>
    </row>
    <row r="11" spans="1:4" x14ac:dyDescent="0.15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baseColWidth="10" defaultColWidth="8.83203125" defaultRowHeight="13" x14ac:dyDescent="0.15"/>
  <sheetData>
    <row r="1" spans="1:2" x14ac:dyDescent="0.15">
      <c r="A1" s="5" t="str">
        <f ca="1">MID(CELL("filename",A1),FIND("]",CELL("filename",A1))+1,256)</f>
        <v>Disclaimer</v>
      </c>
    </row>
    <row r="2" spans="1:2" x14ac:dyDescent="0.15">
      <c r="A2" s="6" t="str">
        <f>Cover!$A$2</f>
        <v>Indicative valuation of British American Tobacco p.l.c.: Public information</v>
      </c>
    </row>
    <row r="3" spans="1:2" x14ac:dyDescent="0.15">
      <c r="A3" s="6" t="str">
        <f>Cover!$A$3</f>
        <v>Educational purposes only, no financial advice</v>
      </c>
    </row>
    <row r="5" spans="1:2" x14ac:dyDescent="0.15">
      <c r="B5" s="1" t="s">
        <v>11</v>
      </c>
    </row>
    <row r="6" spans="1:2" x14ac:dyDescent="0.15">
      <c r="B6" s="1" t="s">
        <v>12</v>
      </c>
    </row>
    <row r="7" spans="1:2" x14ac:dyDescent="0.15">
      <c r="B7" s="1" t="s">
        <v>13</v>
      </c>
    </row>
    <row r="8" spans="1:2" x14ac:dyDescent="0.15">
      <c r="B8" s="1" t="s">
        <v>14</v>
      </c>
    </row>
    <row r="9" spans="1:2" x14ac:dyDescent="0.15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K18" sqref="K18"/>
    </sheetView>
  </sheetViews>
  <sheetFormatPr baseColWidth="10" defaultColWidth="8.83203125" defaultRowHeight="13" x14ac:dyDescent="0.15"/>
  <cols>
    <col min="5" max="5" width="28" bestFit="1" customWidth="1"/>
  </cols>
  <sheetData>
    <row r="1" spans="1:11" x14ac:dyDescent="0.15">
      <c r="A1" s="5" t="str">
        <f ca="1">MID(CELL("filename",A1),FIND("]",CELL("filename",A1))+1,256)</f>
        <v>Input</v>
      </c>
    </row>
    <row r="2" spans="1:11" x14ac:dyDescent="0.15">
      <c r="A2" s="6" t="str">
        <f>Cover!$A$2</f>
        <v>Indicative valuation of British American Tobacco p.l.c.: Public information</v>
      </c>
    </row>
    <row r="3" spans="1:11" x14ac:dyDescent="0.15">
      <c r="A3" s="6" t="str">
        <f>Cover!$A$3</f>
        <v>Educational purposes only, no financial advice</v>
      </c>
    </row>
    <row r="7" spans="1:11" x14ac:dyDescent="0.15">
      <c r="B7" t="s">
        <v>16</v>
      </c>
      <c r="E7" s="10" t="s">
        <v>57</v>
      </c>
    </row>
    <row r="8" spans="1:11" x14ac:dyDescent="0.15">
      <c r="B8" t="s">
        <v>17</v>
      </c>
      <c r="E8" s="10" t="s">
        <v>56</v>
      </c>
    </row>
    <row r="9" spans="1:11" x14ac:dyDescent="0.15">
      <c r="B9" t="s">
        <v>21</v>
      </c>
      <c r="E9" s="10" t="s">
        <v>58</v>
      </c>
    </row>
    <row r="10" spans="1:11" x14ac:dyDescent="0.15">
      <c r="B10" t="s">
        <v>22</v>
      </c>
      <c r="E10" s="10" t="s">
        <v>59</v>
      </c>
    </row>
    <row r="11" spans="1:11" x14ac:dyDescent="0.15">
      <c r="B11" t="s">
        <v>18</v>
      </c>
      <c r="E11" s="10" t="s">
        <v>60</v>
      </c>
    </row>
    <row r="12" spans="1:11" x14ac:dyDescent="0.15">
      <c r="B12" t="s">
        <v>20</v>
      </c>
      <c r="E12" s="11">
        <v>46022</v>
      </c>
    </row>
    <row r="13" spans="1:11" x14ac:dyDescent="0.15">
      <c r="B13" t="s">
        <v>54</v>
      </c>
      <c r="E13" s="43" t="s">
        <v>61</v>
      </c>
    </row>
    <row r="14" spans="1:11" x14ac:dyDescent="0.15">
      <c r="B14" t="s">
        <v>35</v>
      </c>
      <c r="E14" s="10" t="s">
        <v>62</v>
      </c>
    </row>
    <row r="16" spans="1:11" x14ac:dyDescent="0.15">
      <c r="B16" s="5" t="s">
        <v>47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1" t="s">
        <v>46</v>
      </c>
    </row>
    <row r="18" spans="2:11" x14ac:dyDescent="0.15">
      <c r="B18" t="s">
        <v>48</v>
      </c>
      <c r="E18" s="39"/>
      <c r="F18" s="39"/>
      <c r="G18" s="39"/>
      <c r="H18" s="39"/>
      <c r="I18" s="39"/>
      <c r="J18" s="39"/>
      <c r="K18" s="40">
        <v>0.01</v>
      </c>
    </row>
    <row r="21" spans="2:11" x14ac:dyDescent="0.15">
      <c r="B21" s="5" t="s">
        <v>50</v>
      </c>
    </row>
    <row r="22" spans="2:11" x14ac:dyDescent="0.15">
      <c r="B22" t="s">
        <v>51</v>
      </c>
      <c r="E22" s="42"/>
    </row>
    <row r="23" spans="2:11" x14ac:dyDescent="0.15">
      <c r="B23" t="s">
        <v>52</v>
      </c>
      <c r="E23" s="42"/>
    </row>
    <row r="24" spans="2:11" x14ac:dyDescent="0.15">
      <c r="B24" t="s">
        <v>53</v>
      </c>
      <c r="E24" s="10"/>
    </row>
    <row r="25" spans="2:11" x14ac:dyDescent="0.15">
      <c r="B25" t="s">
        <v>55</v>
      </c>
      <c r="E25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D740"/>
  <sheetViews>
    <sheetView showGridLines="0" tabSelected="1" topLeftCell="F1" zoomScale="130" zoomScaleNormal="130" workbookViewId="0">
      <selection activeCell="T4" sqref="T4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  <col min="15" max="15" width="9.33203125" bestFit="1" customWidth="1"/>
    <col min="30" max="30" width="52.83203125" style="29" bestFit="1" customWidth="1"/>
  </cols>
  <sheetData>
    <row r="1" spans="2:30" s="8" customFormat="1" outlineLevel="1" x14ac:dyDescent="0.15">
      <c r="B1" s="8">
        <v>0.1</v>
      </c>
    </row>
    <row r="2" spans="2:30" s="8" customFormat="1" outlineLevel="1" x14ac:dyDescent="0.15">
      <c r="B2" s="14" t="b">
        <f>AND(C:C)</f>
        <v>0</v>
      </c>
    </row>
    <row r="3" spans="2:30" x14ac:dyDescent="0.15">
      <c r="D3" s="5" t="str">
        <f ca="1">MID(CELL("filename",D3),FIND("]",CELL("filename",D3))+1,256)</f>
        <v>Historical</v>
      </c>
    </row>
    <row r="4" spans="2:30" x14ac:dyDescent="0.15">
      <c r="D4" s="6" t="str">
        <f>Cover!$A$2</f>
        <v>Indicative valuation of British American Tobacco p.l.c.: Public information</v>
      </c>
    </row>
    <row r="5" spans="2:30" x14ac:dyDescent="0.15">
      <c r="D5" s="6" t="str">
        <f>Cover!$A$3</f>
        <v>Educational purposes only, no financial advice</v>
      </c>
    </row>
    <row r="8" spans="2:30" x14ac:dyDescent="0.15">
      <c r="E8" s="5" t="str">
        <f>Input!$E$8&amp;" - P&amp;L"</f>
        <v>BAT - P&amp;L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89</v>
      </c>
      <c r="N8" t="s">
        <v>89</v>
      </c>
      <c r="O8" t="s">
        <v>89</v>
      </c>
      <c r="Q8" s="33" t="s">
        <v>43</v>
      </c>
      <c r="R8" s="32"/>
      <c r="S8" t="s">
        <v>103</v>
      </c>
      <c r="AC8" t="s">
        <v>103</v>
      </c>
      <c r="AD8" s="30" t="s">
        <v>37</v>
      </c>
    </row>
    <row r="9" spans="2:30" x14ac:dyDescent="0.15">
      <c r="E9" s="9" t="str">
        <f>+Input!$E$14</f>
        <v>£m</v>
      </c>
      <c r="F9" s="31" t="s">
        <v>76</v>
      </c>
      <c r="G9" s="31" t="s">
        <v>77</v>
      </c>
      <c r="H9" s="31" t="s">
        <v>78</v>
      </c>
      <c r="I9" s="31" t="s">
        <v>79</v>
      </c>
      <c r="J9" s="31" t="s">
        <v>80</v>
      </c>
      <c r="K9" s="31" t="s">
        <v>42</v>
      </c>
      <c r="L9" s="31" t="s">
        <v>41</v>
      </c>
      <c r="M9" s="31" t="s">
        <v>40</v>
      </c>
      <c r="N9" s="31" t="s">
        <v>39</v>
      </c>
      <c r="O9" s="31" t="s">
        <v>38</v>
      </c>
      <c r="Q9" s="32" t="s">
        <v>44</v>
      </c>
      <c r="R9" s="32" t="s">
        <v>45</v>
      </c>
      <c r="T9" s="48" t="s">
        <v>104</v>
      </c>
      <c r="U9" s="48" t="s">
        <v>105</v>
      </c>
      <c r="V9" s="48" t="s">
        <v>106</v>
      </c>
      <c r="W9" s="48" t="s">
        <v>107</v>
      </c>
      <c r="X9" s="49" t="s">
        <v>108</v>
      </c>
      <c r="Y9" s="49" t="s">
        <v>109</v>
      </c>
      <c r="Z9" s="49" t="s">
        <v>110</v>
      </c>
      <c r="AA9" s="49" t="s">
        <v>111</v>
      </c>
      <c r="AB9" s="31" t="s">
        <v>112</v>
      </c>
    </row>
    <row r="10" spans="2:30" ht="3" customHeight="1" x14ac:dyDescent="0.15"/>
    <row r="11" spans="2:30" x14ac:dyDescent="0.15">
      <c r="E11" s="12" t="s">
        <v>23</v>
      </c>
      <c r="F11" s="15">
        <v>12536</v>
      </c>
      <c r="G11" s="15">
        <v>14130</v>
      </c>
      <c r="H11" s="15">
        <v>19564</v>
      </c>
      <c r="I11" s="15">
        <v>24492</v>
      </c>
      <c r="J11" s="15">
        <v>25877</v>
      </c>
      <c r="K11" s="15">
        <v>25776</v>
      </c>
      <c r="L11" s="15">
        <v>25684</v>
      </c>
      <c r="M11" s="15">
        <v>27655</v>
      </c>
      <c r="N11" s="15">
        <v>27283</v>
      </c>
      <c r="O11" s="15">
        <v>25867</v>
      </c>
      <c r="Q11" s="24">
        <f>IFERROR((O11/F11)^(1/9)-1,"n/a")</f>
        <v>8.3812411102399231E-2</v>
      </c>
      <c r="R11" s="24">
        <f>IFERROR((O11/L11)^(1/3)-1,"n/a")</f>
        <v>2.3694009724173348E-3</v>
      </c>
      <c r="T11" s="15"/>
      <c r="U11" s="15"/>
      <c r="V11" s="15"/>
      <c r="W11" s="15"/>
      <c r="X11" s="15"/>
      <c r="Y11" s="15"/>
      <c r="Z11" s="15"/>
      <c r="AA11" s="15"/>
      <c r="AB11" s="15"/>
    </row>
    <row r="12" spans="2:30" x14ac:dyDescent="0.15">
      <c r="E12" s="12" t="s">
        <v>63</v>
      </c>
      <c r="F12" s="15">
        <v>-3033</v>
      </c>
      <c r="G12" s="15">
        <v>-3733</v>
      </c>
      <c r="H12" s="15">
        <v>-5033</v>
      </c>
      <c r="I12" s="15">
        <v>-4597</v>
      </c>
      <c r="J12" s="15">
        <v>-4461</v>
      </c>
      <c r="K12" s="15">
        <v>-4447</v>
      </c>
      <c r="L12" s="15">
        <v>-4597</v>
      </c>
      <c r="M12" s="15">
        <v>-4781</v>
      </c>
      <c r="N12" s="15">
        <v>-4545</v>
      </c>
      <c r="O12" s="15">
        <v>-4565</v>
      </c>
      <c r="Q12" s="24">
        <f t="shared" ref="Q12:Q26" si="0">IFERROR((O12/F12)^(1/9)-1,"n/a")</f>
        <v>4.6477316684535808E-2</v>
      </c>
      <c r="R12" s="24">
        <f t="shared" ref="R12:R26" si="1">IFERROR((O12/L12)^(1/3)-1,"n/a")</f>
        <v>-2.3257588145636499E-3</v>
      </c>
      <c r="T12" s="15"/>
      <c r="U12" s="15"/>
      <c r="V12" s="15"/>
      <c r="W12" s="15"/>
      <c r="X12" s="15"/>
      <c r="Y12" s="15"/>
      <c r="Z12" s="15"/>
      <c r="AA12" s="15"/>
      <c r="AB12" s="15"/>
      <c r="AD12" s="29" t="s">
        <v>103</v>
      </c>
    </row>
    <row r="13" spans="2:30" x14ac:dyDescent="0.15">
      <c r="E13" s="12" t="s">
        <v>69</v>
      </c>
      <c r="F13" s="17"/>
      <c r="G13" s="17"/>
      <c r="H13" s="17"/>
      <c r="I13" s="17"/>
      <c r="J13" s="17"/>
      <c r="K13" s="17"/>
      <c r="L13" s="17"/>
      <c r="M13" s="17">
        <v>227</v>
      </c>
      <c r="N13" s="17">
        <v>-96</v>
      </c>
      <c r="O13" s="17">
        <v>129</v>
      </c>
      <c r="Q13" s="24"/>
      <c r="R13" s="24"/>
      <c r="T13" s="17"/>
      <c r="U13" s="17"/>
      <c r="V13" s="17"/>
      <c r="W13" s="17"/>
      <c r="X13" s="17"/>
      <c r="Y13" s="17"/>
      <c r="Z13" s="17"/>
      <c r="AA13" s="17"/>
      <c r="AB13" s="17"/>
    </row>
    <row r="14" spans="2:30" x14ac:dyDescent="0.15">
      <c r="E14" s="5" t="s">
        <v>64</v>
      </c>
      <c r="F14" s="16">
        <f t="shared" ref="F14:O14" si="2">SUM(F11:F13)</f>
        <v>9503</v>
      </c>
      <c r="G14" s="16">
        <f t="shared" si="2"/>
        <v>10397</v>
      </c>
      <c r="H14" s="16">
        <f t="shared" si="2"/>
        <v>14531</v>
      </c>
      <c r="I14" s="16">
        <f t="shared" si="2"/>
        <v>19895</v>
      </c>
      <c r="J14" s="16">
        <f t="shared" si="2"/>
        <v>21416</v>
      </c>
      <c r="K14" s="16">
        <f t="shared" si="2"/>
        <v>21329</v>
      </c>
      <c r="L14" s="16">
        <f t="shared" si="2"/>
        <v>21087</v>
      </c>
      <c r="M14" s="16">
        <f t="shared" si="2"/>
        <v>23101</v>
      </c>
      <c r="N14" s="16">
        <f t="shared" si="2"/>
        <v>22642</v>
      </c>
      <c r="O14" s="16">
        <f t="shared" si="2"/>
        <v>21431</v>
      </c>
      <c r="Q14" s="34">
        <f t="shared" si="0"/>
        <v>9.4567154730166525E-2</v>
      </c>
      <c r="R14" s="34">
        <f t="shared" si="1"/>
        <v>5.4084850292244191E-3</v>
      </c>
      <c r="T14" s="16">
        <f t="shared" ref="T14:AB14" si="3">SUM(T11:T13)</f>
        <v>0</v>
      </c>
      <c r="U14" s="16">
        <f t="shared" si="3"/>
        <v>0</v>
      </c>
      <c r="V14" s="16">
        <f t="shared" si="3"/>
        <v>0</v>
      </c>
      <c r="W14" s="16">
        <f t="shared" si="3"/>
        <v>0</v>
      </c>
      <c r="X14" s="16">
        <f t="shared" si="3"/>
        <v>0</v>
      </c>
      <c r="Y14" s="16">
        <f t="shared" si="3"/>
        <v>0</v>
      </c>
      <c r="Z14" s="16">
        <f t="shared" si="3"/>
        <v>0</v>
      </c>
      <c r="AA14" s="16">
        <f t="shared" si="3"/>
        <v>0</v>
      </c>
      <c r="AB14" s="16">
        <f t="shared" si="3"/>
        <v>0</v>
      </c>
    </row>
    <row r="15" spans="2:30" x14ac:dyDescent="0.15">
      <c r="E15" s="12" t="s">
        <v>68</v>
      </c>
      <c r="F15" s="15"/>
      <c r="G15" s="15"/>
      <c r="H15" s="15"/>
      <c r="I15" s="15"/>
      <c r="J15" s="15"/>
      <c r="K15" s="15"/>
      <c r="L15" s="15"/>
      <c r="M15" s="15">
        <v>-2972</v>
      </c>
      <c r="N15" s="15">
        <v>-2664</v>
      </c>
      <c r="O15" s="15">
        <v>-2831</v>
      </c>
      <c r="Q15" s="24" t="str">
        <f>IFERROR((O15/F15)^(1/9)-1,"n/a")</f>
        <v>n/a</v>
      </c>
      <c r="R15" s="24" t="str">
        <f t="shared" si="1"/>
        <v>n/a</v>
      </c>
      <c r="T15" s="15"/>
      <c r="U15" s="15"/>
      <c r="V15" s="15"/>
      <c r="W15" s="15"/>
      <c r="X15" s="15"/>
      <c r="Y15" s="15"/>
      <c r="Z15" s="15"/>
      <c r="AA15" s="15"/>
      <c r="AB15" s="15"/>
    </row>
    <row r="16" spans="2:30" x14ac:dyDescent="0.15">
      <c r="E16" s="12" t="s">
        <v>70</v>
      </c>
      <c r="F16" s="15">
        <f>236-367+601-8</f>
        <v>462</v>
      </c>
      <c r="G16" s="15">
        <f>-471-126</f>
        <v>-597</v>
      </c>
      <c r="H16" s="15">
        <f>-136-600-197</f>
        <v>-933</v>
      </c>
      <c r="I16" s="15">
        <f>-163-363-348</f>
        <v>-874</v>
      </c>
      <c r="J16" s="15">
        <f>-302-565-167-691</f>
        <v>-1725</v>
      </c>
      <c r="K16" s="15">
        <f>191-408-209-1-385</f>
        <v>-812</v>
      </c>
      <c r="L16" s="15">
        <f>-288-150-57-358-24-107</f>
        <v>-984</v>
      </c>
      <c r="M16" s="15">
        <v>722</v>
      </c>
      <c r="N16" s="15">
        <v>432</v>
      </c>
      <c r="O16" s="15">
        <v>340</v>
      </c>
      <c r="Q16" s="24">
        <f>IFERROR((O16/F16)^(1/9)-1,"n/a")</f>
        <v>-3.3495001084527742E-2</v>
      </c>
      <c r="R16" s="24">
        <f t="shared" si="1"/>
        <v>-1.7017158283621807</v>
      </c>
      <c r="T16" s="15"/>
      <c r="U16" s="15"/>
      <c r="V16" s="15"/>
      <c r="W16" s="15"/>
      <c r="X16" s="15"/>
      <c r="Y16" s="15"/>
      <c r="Z16" s="15"/>
      <c r="AA16" s="15"/>
      <c r="AB16" s="15"/>
    </row>
    <row r="17" spans="5:28" x14ac:dyDescent="0.15">
      <c r="E17" s="12" t="s">
        <v>65</v>
      </c>
      <c r="F17" s="17">
        <f>-1952-2215</f>
        <v>-4167</v>
      </c>
      <c r="G17" s="17">
        <f>-2105-2493</f>
        <v>-4598</v>
      </c>
      <c r="H17" s="17">
        <f>-2612-4027</f>
        <v>-6639</v>
      </c>
      <c r="I17" s="17">
        <f>-3000-6063</f>
        <v>-9063</v>
      </c>
      <c r="J17" s="17">
        <f>-2874-7135</f>
        <v>-10009</v>
      </c>
      <c r="K17" s="17">
        <f>-3760-5536</f>
        <v>-9296</v>
      </c>
      <c r="L17" s="17">
        <f>-3808-5341</f>
        <v>-9149</v>
      </c>
      <c r="M17" s="17">
        <f>-9018-5</f>
        <v>-9023</v>
      </c>
      <c r="N17" s="17">
        <f>-7538-9</f>
        <v>-7547</v>
      </c>
      <c r="O17" s="17">
        <f>-13093-10</f>
        <v>-13103</v>
      </c>
      <c r="Q17" s="24">
        <f>IFERROR((O17/F17)^(1/9)-1,"n/a")</f>
        <v>0.13575073549499672</v>
      </c>
      <c r="R17" s="24">
        <f t="shared" si="1"/>
        <v>0.12719495884149468</v>
      </c>
      <c r="T17" s="17"/>
      <c r="U17" s="17"/>
      <c r="V17" s="17"/>
      <c r="W17" s="17"/>
      <c r="X17" s="17"/>
      <c r="Y17" s="17"/>
      <c r="Z17" s="17"/>
      <c r="AA17" s="17"/>
      <c r="AB17" s="17"/>
    </row>
    <row r="18" spans="5:28" x14ac:dyDescent="0.15">
      <c r="E18" s="5" t="s">
        <v>66</v>
      </c>
      <c r="F18" s="16">
        <f t="shared" ref="F18:L18" si="4">SUM(F14:F17)</f>
        <v>5798</v>
      </c>
      <c r="G18" s="16">
        <f t="shared" si="4"/>
        <v>5202</v>
      </c>
      <c r="H18" s="16">
        <f t="shared" si="4"/>
        <v>6959</v>
      </c>
      <c r="I18" s="16">
        <f t="shared" si="4"/>
        <v>9958</v>
      </c>
      <c r="J18" s="16">
        <f t="shared" si="4"/>
        <v>9682</v>
      </c>
      <c r="K18" s="16">
        <f t="shared" si="4"/>
        <v>11221</v>
      </c>
      <c r="L18" s="16">
        <f t="shared" si="4"/>
        <v>10954</v>
      </c>
      <c r="M18" s="16">
        <f>SUM(M14:M17)</f>
        <v>11828</v>
      </c>
      <c r="N18" s="16">
        <f>SUM(N14:N17)</f>
        <v>12863</v>
      </c>
      <c r="O18" s="16">
        <f>SUM(O14:O17)</f>
        <v>5837</v>
      </c>
      <c r="Q18" s="34">
        <f t="shared" ref="Q18:Q19" si="5">IFERROR((O18/F18)^(1/9)-1,"n/a")</f>
        <v>7.4515924021412161E-4</v>
      </c>
      <c r="R18" s="34">
        <f t="shared" ref="R18:R19" si="6">IFERROR((O18/L18)^(1/3)-1,"n/a")</f>
        <v>-0.18927732688319443</v>
      </c>
      <c r="T18" s="16">
        <f t="shared" ref="T18:U18" si="7">SUM(T14:T17)</f>
        <v>0</v>
      </c>
      <c r="U18" s="16">
        <f t="shared" si="7"/>
        <v>0</v>
      </c>
      <c r="V18" s="16">
        <f t="shared" ref="V18:X18" si="8">SUM(V14:V17)</f>
        <v>0</v>
      </c>
      <c r="W18" s="16">
        <f t="shared" si="8"/>
        <v>0</v>
      </c>
      <c r="X18" s="16">
        <f t="shared" si="8"/>
        <v>0</v>
      </c>
      <c r="Y18" s="16">
        <f t="shared" ref="Y18:AB18" si="9">SUM(Y14:Y17)</f>
        <v>0</v>
      </c>
      <c r="Z18" s="16">
        <f t="shared" si="9"/>
        <v>0</v>
      </c>
      <c r="AA18" s="16">
        <f t="shared" si="9"/>
        <v>0</v>
      </c>
      <c r="AB18" s="16">
        <f t="shared" si="9"/>
        <v>0</v>
      </c>
    </row>
    <row r="19" spans="5:28" x14ac:dyDescent="0.15">
      <c r="E19" s="12" t="s">
        <v>36</v>
      </c>
      <c r="F19" s="17">
        <v>-402</v>
      </c>
      <c r="G19" s="17">
        <v>-543</v>
      </c>
      <c r="H19" s="17">
        <v>-723</v>
      </c>
      <c r="I19" s="17">
        <v>-800</v>
      </c>
      <c r="J19" s="17">
        <v>-994</v>
      </c>
      <c r="K19" s="17">
        <v>-1090</v>
      </c>
      <c r="L19" s="17">
        <v>-1030</v>
      </c>
      <c r="M19" s="17">
        <v>-1305</v>
      </c>
      <c r="N19" s="17">
        <v>-28614</v>
      </c>
      <c r="O19" s="17">
        <v>-3101</v>
      </c>
      <c r="Q19" s="24">
        <f t="shared" si="5"/>
        <v>0.25483374822620486</v>
      </c>
      <c r="R19" s="24">
        <f t="shared" si="6"/>
        <v>0.44395895077522796</v>
      </c>
      <c r="T19" s="17"/>
      <c r="U19" s="17"/>
      <c r="V19" s="17"/>
      <c r="W19" s="17"/>
      <c r="X19" s="17"/>
      <c r="Y19" s="17"/>
      <c r="Z19" s="17"/>
      <c r="AA19" s="17"/>
      <c r="AB19" s="17"/>
    </row>
    <row r="20" spans="5:28" x14ac:dyDescent="0.15">
      <c r="E20" s="5" t="s">
        <v>67</v>
      </c>
      <c r="F20" s="16">
        <f t="shared" ref="F20:L20" si="10">SUM(F18:F19)</f>
        <v>5396</v>
      </c>
      <c r="G20" s="16">
        <f t="shared" si="10"/>
        <v>4659</v>
      </c>
      <c r="H20" s="16">
        <f t="shared" si="10"/>
        <v>6236</v>
      </c>
      <c r="I20" s="16">
        <f t="shared" si="10"/>
        <v>9158</v>
      </c>
      <c r="J20" s="16">
        <f t="shared" si="10"/>
        <v>8688</v>
      </c>
      <c r="K20" s="16">
        <f t="shared" si="10"/>
        <v>10131</v>
      </c>
      <c r="L20" s="16">
        <f t="shared" si="10"/>
        <v>9924</v>
      </c>
      <c r="M20" s="16">
        <f t="shared" ref="M20" si="11">SUM(M18:M19)</f>
        <v>10523</v>
      </c>
      <c r="N20" s="16">
        <f t="shared" ref="N20:O20" si="12">SUM(N18:N19)</f>
        <v>-15751</v>
      </c>
      <c r="O20" s="16">
        <f t="shared" si="12"/>
        <v>2736</v>
      </c>
      <c r="Q20" s="34">
        <f t="shared" si="0"/>
        <v>-7.2685334943803137E-2</v>
      </c>
      <c r="R20" s="34">
        <f t="shared" si="1"/>
        <v>-0.34915668893770857</v>
      </c>
      <c r="T20" s="16">
        <f t="shared" ref="T20:U20" si="13">SUM(T18:T19)</f>
        <v>0</v>
      </c>
      <c r="U20" s="16">
        <f t="shared" si="13"/>
        <v>0</v>
      </c>
      <c r="V20" s="16">
        <f t="shared" ref="V20:X20" si="14">SUM(V18:V19)</f>
        <v>0</v>
      </c>
      <c r="W20" s="16">
        <f t="shared" si="14"/>
        <v>0</v>
      </c>
      <c r="X20" s="16">
        <f t="shared" si="14"/>
        <v>0</v>
      </c>
      <c r="Y20" s="16">
        <f t="shared" ref="Y20:AB20" si="15">SUM(Y18:Y19)</f>
        <v>0</v>
      </c>
      <c r="Z20" s="16">
        <f t="shared" si="15"/>
        <v>0</v>
      </c>
      <c r="AA20" s="16">
        <f t="shared" si="15"/>
        <v>0</v>
      </c>
      <c r="AB20" s="16">
        <f t="shared" si="15"/>
        <v>0</v>
      </c>
    </row>
    <row r="21" spans="5:28" x14ac:dyDescent="0.15">
      <c r="E21" s="12" t="s">
        <v>24</v>
      </c>
      <c r="F21" s="15">
        <v>-494</v>
      </c>
      <c r="G21" s="15">
        <v>-577</v>
      </c>
      <c r="H21" s="15">
        <v>-1015</v>
      </c>
      <c r="I21" s="15">
        <v>-1566</v>
      </c>
      <c r="J21" s="15">
        <v>-1704</v>
      </c>
      <c r="K21" s="15">
        <v>-1738</v>
      </c>
      <c r="L21" s="15">
        <v>-1436</v>
      </c>
      <c r="M21" s="15">
        <v>-1641</v>
      </c>
      <c r="N21" s="15">
        <v>-1895</v>
      </c>
      <c r="O21" s="15">
        <v>-1098</v>
      </c>
      <c r="Q21" s="34">
        <f t="shared" si="0"/>
        <v>9.2802576142078985E-2</v>
      </c>
      <c r="R21" s="34">
        <f t="shared" si="1"/>
        <v>-8.5572454209896676E-2</v>
      </c>
      <c r="T21" s="15"/>
      <c r="U21" s="15"/>
      <c r="V21" s="15"/>
      <c r="W21" s="15"/>
      <c r="X21" s="15"/>
      <c r="Y21" s="15"/>
      <c r="Z21" s="15"/>
      <c r="AA21" s="15"/>
      <c r="AB21" s="15"/>
    </row>
    <row r="22" spans="5:28" x14ac:dyDescent="0.15">
      <c r="E22" s="12" t="s">
        <v>75</v>
      </c>
      <c r="F22" s="17">
        <v>1236</v>
      </c>
      <c r="G22" s="17">
        <v>2227</v>
      </c>
      <c r="H22" s="17">
        <v>24209</v>
      </c>
      <c r="I22" s="17">
        <v>419</v>
      </c>
      <c r="J22" s="17">
        <v>498</v>
      </c>
      <c r="K22" s="17">
        <v>455</v>
      </c>
      <c r="L22" s="17">
        <v>415</v>
      </c>
      <c r="M22" s="17">
        <v>442</v>
      </c>
      <c r="N22" s="17">
        <v>585</v>
      </c>
      <c r="O22" s="17">
        <v>1900</v>
      </c>
      <c r="Q22" s="34">
        <f t="shared" si="0"/>
        <v>4.8934446822499478E-2</v>
      </c>
      <c r="R22" s="34">
        <f t="shared" si="1"/>
        <v>0.66048580799953061</v>
      </c>
      <c r="T22" s="17"/>
      <c r="U22" s="17"/>
      <c r="V22" s="17"/>
      <c r="W22" s="17"/>
      <c r="X22" s="17"/>
      <c r="Y22" s="17"/>
      <c r="Z22" s="17"/>
      <c r="AA22" s="17"/>
      <c r="AB22" s="17"/>
    </row>
    <row r="23" spans="5:28" x14ac:dyDescent="0.15">
      <c r="E23" s="13" t="s">
        <v>25</v>
      </c>
      <c r="F23" s="16">
        <f t="shared" ref="F23:L23" si="16">SUM(F20:F22)</f>
        <v>6138</v>
      </c>
      <c r="G23" s="16">
        <f t="shared" si="16"/>
        <v>6309</v>
      </c>
      <c r="H23" s="16">
        <f t="shared" si="16"/>
        <v>29430</v>
      </c>
      <c r="I23" s="16">
        <f t="shared" si="16"/>
        <v>8011</v>
      </c>
      <c r="J23" s="16">
        <f t="shared" si="16"/>
        <v>7482</v>
      </c>
      <c r="K23" s="16">
        <f t="shared" si="16"/>
        <v>8848</v>
      </c>
      <c r="L23" s="16">
        <f t="shared" si="16"/>
        <v>8903</v>
      </c>
      <c r="M23" s="16">
        <f t="shared" ref="M23:N23" si="17">SUM(M20:M22)</f>
        <v>9324</v>
      </c>
      <c r="N23" s="16">
        <f t="shared" si="17"/>
        <v>-17061</v>
      </c>
      <c r="O23" s="16">
        <f>SUM(O20:O22)</f>
        <v>3538</v>
      </c>
      <c r="Q23" s="34">
        <f t="shared" si="0"/>
        <v>-5.9379262177086778E-2</v>
      </c>
      <c r="R23" s="34">
        <f t="shared" si="1"/>
        <v>-0.26479720109610494</v>
      </c>
      <c r="T23" s="16">
        <f t="shared" ref="T23:U23" si="18">SUM(T20:T22)</f>
        <v>0</v>
      </c>
      <c r="U23" s="16">
        <f t="shared" si="18"/>
        <v>0</v>
      </c>
      <c r="V23" s="16">
        <f t="shared" ref="V23:X23" si="19">SUM(V20:V22)</f>
        <v>0</v>
      </c>
      <c r="W23" s="16">
        <f t="shared" si="19"/>
        <v>0</v>
      </c>
      <c r="X23" s="16">
        <f t="shared" si="19"/>
        <v>0</v>
      </c>
      <c r="Y23" s="16">
        <f t="shared" ref="Y23:AB23" si="20">SUM(Y20:Y22)</f>
        <v>0</v>
      </c>
      <c r="Z23" s="16">
        <f t="shared" si="20"/>
        <v>0</v>
      </c>
      <c r="AA23" s="16">
        <f t="shared" si="20"/>
        <v>0</v>
      </c>
      <c r="AB23" s="16">
        <f t="shared" si="20"/>
        <v>0</v>
      </c>
    </row>
    <row r="24" spans="5:28" x14ac:dyDescent="0.15">
      <c r="E24" t="s">
        <v>26</v>
      </c>
      <c r="F24" s="15">
        <v>-1333</v>
      </c>
      <c r="G24" s="15">
        <v>-1406</v>
      </c>
      <c r="H24" s="15">
        <v>8129</v>
      </c>
      <c r="I24" s="15">
        <v>-2141</v>
      </c>
      <c r="J24" s="15">
        <v>-2063</v>
      </c>
      <c r="K24" s="15">
        <v>-2108</v>
      </c>
      <c r="L24" s="15">
        <v>-2189</v>
      </c>
      <c r="M24" s="15">
        <v>-2478</v>
      </c>
      <c r="N24" s="15">
        <v>2872</v>
      </c>
      <c r="O24" s="15">
        <v>-357</v>
      </c>
      <c r="Q24" s="24">
        <f t="shared" si="0"/>
        <v>-0.13617364144141209</v>
      </c>
      <c r="R24" s="24">
        <f t="shared" si="1"/>
        <v>-0.4536459691690975</v>
      </c>
      <c r="T24" s="15"/>
      <c r="U24" s="15"/>
      <c r="V24" s="15"/>
      <c r="W24" s="15"/>
      <c r="X24" s="15"/>
      <c r="Y24" s="15"/>
      <c r="Z24" s="15"/>
      <c r="AA24" s="15"/>
      <c r="AB24" s="15"/>
    </row>
    <row r="25" spans="5:28" x14ac:dyDescent="0.15">
      <c r="E25" t="s">
        <v>90</v>
      </c>
      <c r="F25" s="15">
        <v>-232</v>
      </c>
      <c r="G25" s="15">
        <v>-191</v>
      </c>
      <c r="H25" s="15">
        <v>-171</v>
      </c>
      <c r="I25" s="15">
        <v>-178</v>
      </c>
      <c r="J25" s="15">
        <v>-145</v>
      </c>
      <c r="K25" s="15">
        <v>-164</v>
      </c>
      <c r="L25" s="15">
        <v>-173</v>
      </c>
      <c r="M25" s="15">
        <v>-180</v>
      </c>
      <c r="N25" s="15">
        <v>-178</v>
      </c>
      <c r="O25" s="15">
        <v>-113</v>
      </c>
      <c r="Q25" s="24">
        <f t="shared" si="0"/>
        <v>-7.6816935835744338E-2</v>
      </c>
      <c r="R25" s="24">
        <f t="shared" si="1"/>
        <v>-0.13235091434313428</v>
      </c>
      <c r="T25" s="15"/>
      <c r="U25" s="15"/>
      <c r="V25" s="15"/>
      <c r="W25" s="15"/>
      <c r="X25" s="15"/>
      <c r="Y25" s="15"/>
      <c r="Z25" s="15"/>
      <c r="AA25" s="15"/>
      <c r="AB25" s="15"/>
    </row>
    <row r="26" spans="5:28" ht="14" thickBot="1" x14ac:dyDescent="0.2">
      <c r="E26" s="5" t="s">
        <v>27</v>
      </c>
      <c r="F26" s="19">
        <f>SUM(F23:F25)</f>
        <v>4573</v>
      </c>
      <c r="G26" s="19">
        <f t="shared" ref="G26:O26" si="21">SUM(G23:G25)</f>
        <v>4712</v>
      </c>
      <c r="H26" s="19">
        <f t="shared" si="21"/>
        <v>37388</v>
      </c>
      <c r="I26" s="19">
        <f t="shared" si="21"/>
        <v>5692</v>
      </c>
      <c r="J26" s="19">
        <f t="shared" si="21"/>
        <v>5274</v>
      </c>
      <c r="K26" s="19">
        <f t="shared" si="21"/>
        <v>6576</v>
      </c>
      <c r="L26" s="19">
        <f t="shared" si="21"/>
        <v>6541</v>
      </c>
      <c r="M26" s="19">
        <f t="shared" si="21"/>
        <v>6666</v>
      </c>
      <c r="N26" s="19">
        <f t="shared" si="21"/>
        <v>-14367</v>
      </c>
      <c r="O26" s="19">
        <f t="shared" si="21"/>
        <v>3068</v>
      </c>
      <c r="Q26" s="34">
        <f t="shared" si="0"/>
        <v>-4.3380233415590053E-2</v>
      </c>
      <c r="R26" s="34">
        <f t="shared" si="1"/>
        <v>-0.22303092129904012</v>
      </c>
      <c r="T26" s="19">
        <f t="shared" ref="T26:U26" si="22">SUM(T23:T25)</f>
        <v>0</v>
      </c>
      <c r="U26" s="19">
        <f t="shared" si="22"/>
        <v>0</v>
      </c>
      <c r="V26" s="19">
        <f t="shared" ref="V26:X26" si="23">SUM(V23:V25)</f>
        <v>0</v>
      </c>
      <c r="W26" s="19">
        <f t="shared" si="23"/>
        <v>0</v>
      </c>
      <c r="X26" s="19">
        <f t="shared" si="23"/>
        <v>0</v>
      </c>
      <c r="Y26" s="19">
        <f t="shared" ref="Y26:AB26" si="24">SUM(Y23:Y25)</f>
        <v>0</v>
      </c>
      <c r="Z26" s="19">
        <f t="shared" si="24"/>
        <v>0</v>
      </c>
      <c r="AA26" s="19">
        <f t="shared" si="24"/>
        <v>0</v>
      </c>
      <c r="AB26" s="19">
        <f t="shared" si="24"/>
        <v>0</v>
      </c>
    </row>
    <row r="27" spans="5:28" ht="3" customHeight="1" x14ac:dyDescent="0.15"/>
    <row r="28" spans="5:28" x14ac:dyDescent="0.15">
      <c r="E28" s="36" t="s">
        <v>31</v>
      </c>
      <c r="F28" s="22" t="str">
        <f t="shared" ref="F28:O28" si="25">IFERROR(+F11/E11-1,"n/a")</f>
        <v>n/a</v>
      </c>
      <c r="G28" s="22">
        <f t="shared" si="25"/>
        <v>0.12715379706445429</v>
      </c>
      <c r="H28" s="22">
        <f t="shared" si="25"/>
        <v>0.38457183297947628</v>
      </c>
      <c r="I28" s="22">
        <f t="shared" si="25"/>
        <v>0.25189122878756898</v>
      </c>
      <c r="J28" s="22">
        <f t="shared" si="25"/>
        <v>5.6549077249714141E-2</v>
      </c>
      <c r="K28" s="22">
        <f t="shared" si="25"/>
        <v>-3.9030799551725837E-3</v>
      </c>
      <c r="L28" s="22">
        <f t="shared" si="25"/>
        <v>-3.5692116697703113E-3</v>
      </c>
      <c r="M28" s="22">
        <f t="shared" si="25"/>
        <v>7.6740383117894329E-2</v>
      </c>
      <c r="N28" s="22">
        <f t="shared" si="25"/>
        <v>-1.3451455433013959E-2</v>
      </c>
      <c r="O28" s="23">
        <f t="shared" si="25"/>
        <v>-5.190045083018735E-2</v>
      </c>
      <c r="T28" s="22"/>
      <c r="U28" s="22" t="str">
        <f t="shared" ref="U28:AB28" si="26">IFERROR(+U11/T11-1,"n/a")</f>
        <v>n/a</v>
      </c>
      <c r="V28" s="22" t="str">
        <f t="shared" si="26"/>
        <v>n/a</v>
      </c>
      <c r="W28" s="22" t="str">
        <f t="shared" si="26"/>
        <v>n/a</v>
      </c>
      <c r="X28" s="22" t="str">
        <f t="shared" si="26"/>
        <v>n/a</v>
      </c>
      <c r="Y28" s="22" t="str">
        <f t="shared" si="26"/>
        <v>n/a</v>
      </c>
      <c r="Z28" s="22" t="str">
        <f t="shared" si="26"/>
        <v>n/a</v>
      </c>
      <c r="AA28" s="22" t="str">
        <f t="shared" si="26"/>
        <v>n/a</v>
      </c>
      <c r="AB28" s="22" t="str">
        <f t="shared" si="26"/>
        <v>n/a</v>
      </c>
    </row>
    <row r="29" spans="5:28" x14ac:dyDescent="0.15">
      <c r="E29" s="37" t="s">
        <v>32</v>
      </c>
      <c r="F29" s="24">
        <f t="shared" ref="F29:O29" si="27">IFERROR(+F20/F11,"n/a")</f>
        <v>0.43044033184428843</v>
      </c>
      <c r="G29" s="24">
        <f t="shared" si="27"/>
        <v>0.32972399150743098</v>
      </c>
      <c r="H29" s="24">
        <f t="shared" si="27"/>
        <v>0.31874872214271111</v>
      </c>
      <c r="I29" s="24">
        <f t="shared" si="27"/>
        <v>0.37391801404540259</v>
      </c>
      <c r="J29" s="24">
        <f t="shared" si="27"/>
        <v>0.33574216485682268</v>
      </c>
      <c r="K29" s="24">
        <f t="shared" si="27"/>
        <v>0.39304003724394787</v>
      </c>
      <c r="L29" s="24">
        <f t="shared" si="27"/>
        <v>0.38638841301977883</v>
      </c>
      <c r="M29" s="24">
        <f t="shared" si="27"/>
        <v>0.38050985355270295</v>
      </c>
      <c r="N29" s="24">
        <f t="shared" si="27"/>
        <v>-0.57731920976432205</v>
      </c>
      <c r="O29" s="25">
        <f t="shared" si="27"/>
        <v>0.1057718328372057</v>
      </c>
      <c r="Q29" s="35"/>
      <c r="T29" s="24" t="str">
        <f t="shared" ref="T29:U29" si="28">IFERROR(+T20/T11,"n/a")</f>
        <v>n/a</v>
      </c>
      <c r="U29" s="24" t="str">
        <f t="shared" si="28"/>
        <v>n/a</v>
      </c>
      <c r="V29" s="24" t="str">
        <f t="shared" ref="V29:X29" si="29">IFERROR(+V20/V11,"n/a")</f>
        <v>n/a</v>
      </c>
      <c r="W29" s="24" t="str">
        <f t="shared" si="29"/>
        <v>n/a</v>
      </c>
      <c r="X29" s="24" t="str">
        <f t="shared" si="29"/>
        <v>n/a</v>
      </c>
      <c r="Y29" s="24" t="str">
        <f t="shared" ref="Y29:AB29" si="30">IFERROR(+Y20/Y11,"n/a")</f>
        <v>n/a</v>
      </c>
      <c r="Z29" s="24" t="str">
        <f t="shared" si="30"/>
        <v>n/a</v>
      </c>
      <c r="AA29" s="24" t="str">
        <f t="shared" si="30"/>
        <v>n/a</v>
      </c>
      <c r="AB29" s="24" t="str">
        <f t="shared" si="30"/>
        <v>n/a</v>
      </c>
    </row>
    <row r="30" spans="5:28" x14ac:dyDescent="0.15">
      <c r="E30" s="37" t="s">
        <v>49</v>
      </c>
      <c r="F30" s="24">
        <f t="shared" ref="F30:L30" si="31">-F24/F23</f>
        <v>0.21717171717171718</v>
      </c>
      <c r="G30" s="24">
        <f t="shared" si="31"/>
        <v>0.22285623712157235</v>
      </c>
      <c r="H30" s="24">
        <f t="shared" si="31"/>
        <v>-0.27621474685694869</v>
      </c>
      <c r="I30" s="24">
        <f t="shared" si="31"/>
        <v>0.26725752090875049</v>
      </c>
      <c r="J30" s="24">
        <f t="shared" si="31"/>
        <v>0.27572841486233629</v>
      </c>
      <c r="K30" s="24">
        <f t="shared" si="31"/>
        <v>0.23824593128390598</v>
      </c>
      <c r="L30" s="24">
        <f t="shared" si="31"/>
        <v>0.24587217791755589</v>
      </c>
      <c r="M30" s="24">
        <f t="shared" ref="M30" si="32">-M24/M23</f>
        <v>0.26576576576576577</v>
      </c>
      <c r="N30" s="24">
        <f t="shared" ref="N30:O30" si="33">-N24/N23</f>
        <v>0.16833714319207549</v>
      </c>
      <c r="O30" s="25">
        <f t="shared" si="33"/>
        <v>0.10090446579988695</v>
      </c>
      <c r="Q30" s="35"/>
      <c r="T30" s="24" t="e">
        <f t="shared" ref="T30:U30" si="34">-T24/T23</f>
        <v>#DIV/0!</v>
      </c>
      <c r="U30" s="24" t="e">
        <f t="shared" si="34"/>
        <v>#DIV/0!</v>
      </c>
      <c r="V30" s="24" t="e">
        <f t="shared" ref="V30:X30" si="35">-V24/V23</f>
        <v>#DIV/0!</v>
      </c>
      <c r="W30" s="24" t="e">
        <f t="shared" si="35"/>
        <v>#DIV/0!</v>
      </c>
      <c r="X30" s="24" t="e">
        <f t="shared" si="35"/>
        <v>#DIV/0!</v>
      </c>
      <c r="Y30" s="24" t="e">
        <f t="shared" ref="Y30:AB30" si="36">-Y24/Y23</f>
        <v>#DIV/0!</v>
      </c>
      <c r="Z30" s="24" t="e">
        <f t="shared" si="36"/>
        <v>#DIV/0!</v>
      </c>
      <c r="AA30" s="24" t="e">
        <f t="shared" si="36"/>
        <v>#DIV/0!</v>
      </c>
      <c r="AB30" s="24" t="e">
        <f t="shared" si="36"/>
        <v>#DIV/0!</v>
      </c>
    </row>
    <row r="31" spans="5:28" x14ac:dyDescent="0.15">
      <c r="E31" s="38" t="s">
        <v>33</v>
      </c>
      <c r="F31" s="26" t="str">
        <f t="shared" ref="F31" si="37">IFERROR(+F26/E26-1,"n/a")</f>
        <v>n/a</v>
      </c>
      <c r="G31" s="26">
        <f t="shared" ref="G31" si="38">IFERROR(+G26/F26-1,"n/a")</f>
        <v>3.0395801443253934E-2</v>
      </c>
      <c r="H31" s="26">
        <f t="shared" ref="H31" si="39">IFERROR(+H26/G26-1,"n/a")</f>
        <v>6.9346349745331066</v>
      </c>
      <c r="I31" s="26">
        <f t="shared" ref="I31" si="40">IFERROR(+I26/H26-1,"n/a")</f>
        <v>-0.84775863913555149</v>
      </c>
      <c r="J31" s="26">
        <f t="shared" ref="J31" si="41">IFERROR(+J26/I26-1,"n/a")</f>
        <v>-7.3436401967673981E-2</v>
      </c>
      <c r="K31" s="26">
        <f t="shared" ref="K31" si="42">IFERROR(+K26/J26-1,"n/a")</f>
        <v>0.2468714448236633</v>
      </c>
      <c r="L31" s="26">
        <f t="shared" ref="L31" si="43">IFERROR(+L26/K26-1,"n/a")</f>
        <v>-5.3223844282238586E-3</v>
      </c>
      <c r="M31" s="26">
        <f t="shared" ref="M31:O31" si="44">IFERROR(+M26/L26-1,"n/a")</f>
        <v>1.9110227793915247E-2</v>
      </c>
      <c r="N31" s="26">
        <f t="shared" si="44"/>
        <v>-3.1552655265526552</v>
      </c>
      <c r="O31" s="27">
        <f t="shared" si="44"/>
        <v>-1.2135449293519871</v>
      </c>
      <c r="T31" s="26"/>
      <c r="U31" s="26" t="str">
        <f t="shared" ref="U31" si="45">IFERROR(+U26/T26-1,"n/a")</f>
        <v>n/a</v>
      </c>
      <c r="V31" s="26" t="str">
        <f t="shared" ref="V31" si="46">IFERROR(+V26/U26-1,"n/a")</f>
        <v>n/a</v>
      </c>
      <c r="W31" s="26" t="str">
        <f t="shared" ref="W31" si="47">IFERROR(+W26/V26-1,"n/a")</f>
        <v>n/a</v>
      </c>
      <c r="X31" s="26" t="str">
        <f t="shared" ref="X31" si="48">IFERROR(+X26/W26-1,"n/a")</f>
        <v>n/a</v>
      </c>
      <c r="Y31" s="26" t="str">
        <f t="shared" ref="Y31" si="49">IFERROR(+Y26/X26-1,"n/a")</f>
        <v>n/a</v>
      </c>
      <c r="Z31" s="26" t="str">
        <f t="shared" ref="Z31" si="50">IFERROR(+Z26/Y26-1,"n/a")</f>
        <v>n/a</v>
      </c>
      <c r="AA31" s="26" t="str">
        <f t="shared" ref="AA31" si="51">IFERROR(+AA26/Z26-1,"n/a")</f>
        <v>n/a</v>
      </c>
      <c r="AB31" s="26" t="str">
        <f t="shared" ref="AB31" si="52">IFERROR(+AB26/AA26-1,"n/a")</f>
        <v>n/a</v>
      </c>
    </row>
    <row r="32" spans="5:28" ht="3" customHeight="1" x14ac:dyDescent="0.15"/>
    <row r="33" spans="3:28" ht="10.5" customHeight="1" x14ac:dyDescent="0.15">
      <c r="E33" s="28" t="s">
        <v>34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3:28" x14ac:dyDescent="0.15">
      <c r="F34" s="15"/>
      <c r="G34" s="15"/>
      <c r="H34" s="15"/>
      <c r="I34" s="15"/>
      <c r="J34" s="15"/>
      <c r="K34" s="15"/>
      <c r="L34" s="15"/>
      <c r="M34" s="15"/>
      <c r="N34" s="15"/>
      <c r="O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3:28" x14ac:dyDescent="0.15">
      <c r="E35" s="8" t="s">
        <v>29</v>
      </c>
      <c r="F35" s="18">
        <v>4290</v>
      </c>
      <c r="G35" s="18">
        <v>4648</v>
      </c>
      <c r="H35" s="18">
        <v>37485</v>
      </c>
      <c r="I35" s="18">
        <v>6032</v>
      </c>
      <c r="J35" s="18">
        <v>5704</v>
      </c>
      <c r="K35" s="18">
        <v>6400</v>
      </c>
      <c r="L35" s="18">
        <v>6801</v>
      </c>
      <c r="M35" s="18">
        <v>6846</v>
      </c>
      <c r="N35" s="18">
        <v>-14189</v>
      </c>
      <c r="O35" s="18">
        <v>3181</v>
      </c>
      <c r="T35" s="18"/>
      <c r="U35" s="18"/>
      <c r="V35" s="18"/>
      <c r="W35" s="18"/>
      <c r="X35" s="18"/>
      <c r="Y35" s="18"/>
      <c r="Z35" s="18"/>
      <c r="AA35" s="18"/>
      <c r="AB35" s="18"/>
    </row>
    <row r="36" spans="3:28" x14ac:dyDescent="0.15">
      <c r="C36" s="14" t="b" cm="1">
        <f t="array" ref="C36">AND(G36:O36&lt;$B$1,G36:O36&gt;-$B$1)</f>
        <v>0</v>
      </c>
      <c r="E36" s="8" t="s">
        <v>28</v>
      </c>
      <c r="F36" s="18">
        <f t="shared" ref="F36:L36" si="53">+F35-F26</f>
        <v>-283</v>
      </c>
      <c r="G36" s="18">
        <f t="shared" si="53"/>
        <v>-64</v>
      </c>
      <c r="H36" s="18">
        <f t="shared" si="53"/>
        <v>97</v>
      </c>
      <c r="I36" s="18">
        <f t="shared" si="53"/>
        <v>340</v>
      </c>
      <c r="J36" s="18">
        <f t="shared" si="53"/>
        <v>430</v>
      </c>
      <c r="K36" s="18">
        <f t="shared" si="53"/>
        <v>-176</v>
      </c>
      <c r="L36" s="18">
        <f t="shared" si="53"/>
        <v>260</v>
      </c>
      <c r="M36" s="18">
        <f>+M35-M23-M24</f>
        <v>0</v>
      </c>
      <c r="N36" s="18">
        <f>+N35-N23-N24</f>
        <v>0</v>
      </c>
      <c r="O36" s="18">
        <f>+O35-O23-O24</f>
        <v>0</v>
      </c>
      <c r="T36" s="18">
        <f t="shared" ref="T36:AB36" si="54">+T35-T26</f>
        <v>0</v>
      </c>
      <c r="U36" s="18">
        <f t="shared" si="54"/>
        <v>0</v>
      </c>
      <c r="V36" s="18">
        <f t="shared" si="54"/>
        <v>0</v>
      </c>
      <c r="W36" s="18">
        <f t="shared" si="54"/>
        <v>0</v>
      </c>
      <c r="X36" s="18">
        <f t="shared" si="54"/>
        <v>0</v>
      </c>
      <c r="Y36" s="18">
        <f t="shared" si="54"/>
        <v>0</v>
      </c>
      <c r="Z36" s="18">
        <f t="shared" si="54"/>
        <v>0</v>
      </c>
      <c r="AA36" s="18">
        <f t="shared" si="54"/>
        <v>0</v>
      </c>
      <c r="AB36" s="18">
        <f t="shared" si="54"/>
        <v>0</v>
      </c>
    </row>
    <row r="37" spans="3:28" x14ac:dyDescent="0.15">
      <c r="F37" s="15"/>
      <c r="G37" s="15"/>
      <c r="H37" s="15"/>
      <c r="I37" s="15"/>
      <c r="J37" s="15"/>
      <c r="K37" s="15"/>
      <c r="L37" s="15"/>
      <c r="M37" s="15"/>
      <c r="N37" s="15"/>
      <c r="O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3:28" x14ac:dyDescent="0.15">
      <c r="E38" s="5" t="str">
        <f>Input!$E$8&amp;" - BS"</f>
        <v>BAT - BS</v>
      </c>
      <c r="Q38" s="33" t="s">
        <v>43</v>
      </c>
      <c r="R38" s="32"/>
    </row>
    <row r="39" spans="3:28" x14ac:dyDescent="0.15">
      <c r="E39" s="9" t="str">
        <f>+Input!$E$14</f>
        <v>£m</v>
      </c>
      <c r="F39" s="20" t="s">
        <v>87</v>
      </c>
      <c r="G39" s="20" t="s">
        <v>86</v>
      </c>
      <c r="H39" s="20" t="s">
        <v>85</v>
      </c>
      <c r="I39" s="20" t="s">
        <v>84</v>
      </c>
      <c r="J39" s="20" t="s">
        <v>83</v>
      </c>
      <c r="K39" s="20" t="s">
        <v>82</v>
      </c>
      <c r="L39" s="20" t="s">
        <v>81</v>
      </c>
      <c r="M39" s="20" t="s">
        <v>73</v>
      </c>
      <c r="N39" s="20" t="s">
        <v>72</v>
      </c>
      <c r="O39" s="20" t="s">
        <v>71</v>
      </c>
      <c r="Q39" s="32" t="s">
        <v>44</v>
      </c>
      <c r="R39" s="32" t="s">
        <v>45</v>
      </c>
      <c r="T39" s="48" t="s">
        <v>113</v>
      </c>
      <c r="U39" s="48" t="s">
        <v>114</v>
      </c>
      <c r="V39" s="48" t="s">
        <v>115</v>
      </c>
      <c r="W39" s="48" t="s">
        <v>72</v>
      </c>
      <c r="X39" s="49" t="s">
        <v>116</v>
      </c>
      <c r="Y39" s="49" t="s">
        <v>117</v>
      </c>
      <c r="Z39" s="49" t="s">
        <v>118</v>
      </c>
      <c r="AA39" s="49" t="s">
        <v>71</v>
      </c>
      <c r="AB39" s="20" t="s">
        <v>119</v>
      </c>
    </row>
    <row r="40" spans="3:28" ht="3" customHeight="1" x14ac:dyDescent="0.15"/>
    <row r="41" spans="3:28" x14ac:dyDescent="0.15">
      <c r="E41" s="5" t="s">
        <v>30</v>
      </c>
      <c r="F41" s="16">
        <v>31515</v>
      </c>
      <c r="G41" s="16">
        <v>39773</v>
      </c>
      <c r="H41" s="16">
        <v>141054</v>
      </c>
      <c r="I41" s="16">
        <v>146342</v>
      </c>
      <c r="J41" s="16">
        <v>141005</v>
      </c>
      <c r="K41" s="16">
        <v>137690</v>
      </c>
      <c r="L41" s="16">
        <v>137365</v>
      </c>
      <c r="M41" s="16">
        <v>153546</v>
      </c>
      <c r="N41" s="16">
        <v>118716</v>
      </c>
      <c r="O41" s="16">
        <v>118899</v>
      </c>
      <c r="Q41" s="34">
        <f t="shared" ref="Q41" si="55">IFERROR((O41/F41)^(1/9)-1,"n/a")</f>
        <v>0.1589733035214238</v>
      </c>
      <c r="R41" s="34">
        <f t="shared" ref="R41" si="56">IFERROR((O41/L41)^(1/3)-1,"n/a")</f>
        <v>-4.6982876789883554E-2</v>
      </c>
      <c r="T41" s="16"/>
      <c r="U41" s="16"/>
      <c r="V41" s="16"/>
      <c r="W41" s="16"/>
      <c r="X41" s="16"/>
      <c r="Y41" s="16"/>
      <c r="Z41" s="16"/>
      <c r="AA41" s="16"/>
      <c r="AB41" s="16"/>
    </row>
    <row r="42" spans="3:28" x14ac:dyDescent="0.15">
      <c r="E42" t="s">
        <v>101</v>
      </c>
      <c r="F42" s="15"/>
      <c r="G42" s="46">
        <f>+G41-F41</f>
        <v>8258</v>
      </c>
      <c r="H42" s="46">
        <f t="shared" ref="H42" si="57">+H41-G41</f>
        <v>101281</v>
      </c>
      <c r="I42" s="46">
        <f t="shared" ref="I42" si="58">+I41-H41</f>
        <v>5288</v>
      </c>
      <c r="J42" s="46">
        <f t="shared" ref="J42" si="59">+J41-I41</f>
        <v>-5337</v>
      </c>
      <c r="K42" s="46">
        <f t="shared" ref="K42" si="60">+K41-J41</f>
        <v>-3315</v>
      </c>
      <c r="L42" s="46">
        <f t="shared" ref="L42" si="61">+L41-K41</f>
        <v>-325</v>
      </c>
      <c r="M42" s="46">
        <f t="shared" ref="M42" si="62">+M41-L41</f>
        <v>16181</v>
      </c>
      <c r="N42" s="46">
        <f t="shared" ref="N42" si="63">+N41-M41</f>
        <v>-34830</v>
      </c>
      <c r="O42" s="46">
        <f t="shared" ref="O42" si="64">+O41-N41</f>
        <v>183</v>
      </c>
      <c r="T42" s="46"/>
      <c r="U42" s="46"/>
      <c r="V42" s="46"/>
      <c r="W42" s="46"/>
      <c r="X42" s="46"/>
      <c r="Y42" s="46"/>
      <c r="Z42" s="46"/>
      <c r="AA42" s="46"/>
      <c r="AB42" s="46"/>
    </row>
    <row r="43" spans="3:28" x14ac:dyDescent="0.15">
      <c r="F43" s="15"/>
      <c r="G43" s="15"/>
      <c r="H43" s="15"/>
      <c r="I43" s="15"/>
      <c r="J43" s="15"/>
      <c r="K43" s="15"/>
      <c r="L43" s="15"/>
      <c r="M43" s="15"/>
      <c r="N43" s="15"/>
      <c r="O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3:28" x14ac:dyDescent="0.15">
      <c r="E44" s="5" t="s">
        <v>100</v>
      </c>
      <c r="F44" s="16">
        <v>14787</v>
      </c>
      <c r="G44" s="16">
        <v>16472</v>
      </c>
      <c r="H44" s="16">
        <v>44015</v>
      </c>
      <c r="I44" s="16">
        <v>43277</v>
      </c>
      <c r="J44" s="16">
        <v>37379</v>
      </c>
      <c r="K44" s="16">
        <v>39589</v>
      </c>
      <c r="L44" s="16">
        <v>35346</v>
      </c>
      <c r="M44" s="16">
        <v>38786</v>
      </c>
      <c r="N44" s="16">
        <v>35226</v>
      </c>
      <c r="O44" s="16">
        <v>32194</v>
      </c>
      <c r="Q44" s="34">
        <f t="shared" ref="Q44" si="65">IFERROR((O44/F44)^(1/9)-1,"n/a")</f>
        <v>9.0294632565758759E-2</v>
      </c>
      <c r="R44" s="34">
        <f t="shared" ref="R44" si="66">IFERROR((O44/L44)^(1/3)-1,"n/a")</f>
        <v>-3.0655339938247095E-2</v>
      </c>
      <c r="T44" s="16"/>
      <c r="U44" s="16"/>
      <c r="V44" s="16"/>
      <c r="W44" s="16"/>
      <c r="X44" s="16"/>
      <c r="Y44" s="16"/>
      <c r="Z44" s="16"/>
      <c r="AA44" s="16"/>
      <c r="AB44" s="16"/>
    </row>
    <row r="45" spans="3:28" x14ac:dyDescent="0.15">
      <c r="E45" t="s">
        <v>101</v>
      </c>
      <c r="F45" s="15"/>
      <c r="G45" s="46">
        <f>+G44-F44</f>
        <v>1685</v>
      </c>
      <c r="H45" s="46">
        <f t="shared" ref="H45:O45" si="67">+H44-G44</f>
        <v>27543</v>
      </c>
      <c r="I45" s="46">
        <f t="shared" si="67"/>
        <v>-738</v>
      </c>
      <c r="J45" s="46">
        <f t="shared" si="67"/>
        <v>-5898</v>
      </c>
      <c r="K45" s="46">
        <f t="shared" si="67"/>
        <v>2210</v>
      </c>
      <c r="L45" s="46">
        <f t="shared" si="67"/>
        <v>-4243</v>
      </c>
      <c r="M45" s="46">
        <f t="shared" si="67"/>
        <v>3440</v>
      </c>
      <c r="N45" s="46">
        <f t="shared" si="67"/>
        <v>-3560</v>
      </c>
      <c r="O45" s="46">
        <f t="shared" si="67"/>
        <v>-3032</v>
      </c>
      <c r="T45" s="46"/>
      <c r="U45" s="46"/>
      <c r="V45" s="46"/>
      <c r="W45" s="46"/>
      <c r="X45" s="46"/>
      <c r="Y45" s="46"/>
      <c r="Z45" s="46"/>
      <c r="AA45" s="46"/>
      <c r="AB45" s="46"/>
    </row>
    <row r="46" spans="3:28" x14ac:dyDescent="0.15">
      <c r="F46" s="15"/>
      <c r="G46" s="15"/>
      <c r="H46" s="15"/>
      <c r="I46" s="15"/>
      <c r="J46" s="15"/>
      <c r="K46" s="15"/>
      <c r="L46" s="15"/>
      <c r="M46" s="15"/>
      <c r="N46" s="15"/>
      <c r="O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3:28" x14ac:dyDescent="0.15">
      <c r="E47" s="5" t="s">
        <v>74</v>
      </c>
      <c r="F47" s="16">
        <v>5032</v>
      </c>
      <c r="G47" s="16">
        <v>8406</v>
      </c>
      <c r="H47" s="16">
        <v>60981</v>
      </c>
      <c r="I47" s="16">
        <v>65688</v>
      </c>
      <c r="J47" s="16">
        <v>64160</v>
      </c>
      <c r="K47" s="16">
        <v>62955</v>
      </c>
      <c r="L47" s="16">
        <v>67401</v>
      </c>
      <c r="M47" s="16">
        <v>75710</v>
      </c>
      <c r="N47" s="16">
        <v>52934</v>
      </c>
      <c r="O47" s="16">
        <v>49995</v>
      </c>
      <c r="Q47" s="34">
        <f t="shared" ref="Q47" si="68">IFERROR((O47/F47)^(1/9)-1,"n/a")</f>
        <v>0.2906201395905923</v>
      </c>
      <c r="R47" s="34">
        <f t="shared" ref="R47" si="69">IFERROR((O47/L47)^(1/3)-1,"n/a")</f>
        <v>-9.4781521211680375E-2</v>
      </c>
      <c r="T47" s="16"/>
      <c r="U47" s="16"/>
      <c r="V47" s="16"/>
      <c r="W47" s="16"/>
      <c r="X47" s="16"/>
      <c r="Y47" s="16"/>
      <c r="Z47" s="16"/>
      <c r="AA47" s="16"/>
      <c r="AB47" s="16"/>
    </row>
    <row r="48" spans="3:28" x14ac:dyDescent="0.15">
      <c r="E48" t="s">
        <v>101</v>
      </c>
      <c r="F48" s="15"/>
      <c r="G48" s="46">
        <f>+G47-F47</f>
        <v>3374</v>
      </c>
      <c r="H48" s="46">
        <f t="shared" ref="H48" si="70">+H47-G47</f>
        <v>52575</v>
      </c>
      <c r="I48" s="46">
        <f t="shared" ref="I48" si="71">+I47-H47</f>
        <v>4707</v>
      </c>
      <c r="J48" s="46">
        <f t="shared" ref="J48" si="72">+J47-I47</f>
        <v>-1528</v>
      </c>
      <c r="K48" s="46">
        <f t="shared" ref="K48" si="73">+K47-J47</f>
        <v>-1205</v>
      </c>
      <c r="L48" s="46">
        <f t="shared" ref="L48" si="74">+L47-K47</f>
        <v>4446</v>
      </c>
      <c r="M48" s="46">
        <f t="shared" ref="M48" si="75">+M47-L47</f>
        <v>8309</v>
      </c>
      <c r="N48" s="46">
        <f t="shared" ref="N48" si="76">+N47-M47</f>
        <v>-22776</v>
      </c>
      <c r="O48" s="46">
        <f t="shared" ref="O48" si="77">+O47-N47</f>
        <v>-2939</v>
      </c>
      <c r="T48" s="46"/>
      <c r="U48" s="46"/>
      <c r="V48" s="46"/>
      <c r="W48" s="46"/>
      <c r="X48" s="46"/>
      <c r="Y48" s="46"/>
      <c r="Z48" s="46"/>
      <c r="AA48" s="46"/>
      <c r="AB48" s="46"/>
    </row>
    <row r="49" spans="5:28" x14ac:dyDescent="0.15">
      <c r="F49" s="15"/>
      <c r="G49" s="15"/>
      <c r="H49" s="15"/>
      <c r="I49" s="15"/>
      <c r="J49" s="15"/>
      <c r="K49" s="15"/>
      <c r="L49" s="15"/>
      <c r="M49" s="15"/>
      <c r="N49" s="15"/>
      <c r="O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5:28" x14ac:dyDescent="0.15">
      <c r="E50" s="5" t="str">
        <f>Input!$E$8&amp;" - CF"</f>
        <v>BAT - CF</v>
      </c>
    </row>
    <row r="51" spans="5:28" x14ac:dyDescent="0.15">
      <c r="E51" s="9" t="str">
        <f>+Input!$E$14</f>
        <v>£m</v>
      </c>
      <c r="F51" s="20" t="s">
        <v>87</v>
      </c>
      <c r="G51" s="20" t="s">
        <v>86</v>
      </c>
      <c r="H51" s="20" t="s">
        <v>85</v>
      </c>
      <c r="I51" s="20" t="s">
        <v>84</v>
      </c>
      <c r="J51" s="20" t="s">
        <v>83</v>
      </c>
      <c r="K51" s="20" t="s">
        <v>82</v>
      </c>
      <c r="L51" s="20" t="s">
        <v>81</v>
      </c>
      <c r="M51" s="20" t="s">
        <v>73</v>
      </c>
      <c r="N51" s="20" t="s">
        <v>72</v>
      </c>
      <c r="O51" s="20" t="s">
        <v>71</v>
      </c>
      <c r="T51" s="48" t="s">
        <v>113</v>
      </c>
      <c r="U51" s="48" t="s">
        <v>114</v>
      </c>
      <c r="V51" s="48" t="s">
        <v>115</v>
      </c>
      <c r="W51" s="48" t="s">
        <v>72</v>
      </c>
      <c r="X51" s="49" t="s">
        <v>116</v>
      </c>
      <c r="Y51" s="49" t="s">
        <v>117</v>
      </c>
      <c r="Z51" s="49" t="s">
        <v>118</v>
      </c>
      <c r="AA51" s="49" t="s">
        <v>71</v>
      </c>
      <c r="AB51" s="20" t="s">
        <v>119</v>
      </c>
    </row>
    <row r="52" spans="5:28" ht="3" customHeight="1" x14ac:dyDescent="0.15"/>
    <row r="53" spans="5:28" x14ac:dyDescent="0.15">
      <c r="E53" s="45" t="s">
        <v>91</v>
      </c>
      <c r="F53" s="16">
        <v>4720</v>
      </c>
      <c r="G53" s="16">
        <v>4610</v>
      </c>
      <c r="H53" s="16">
        <v>5347</v>
      </c>
      <c r="I53" s="16">
        <v>10295</v>
      </c>
      <c r="J53" s="16">
        <v>8996</v>
      </c>
      <c r="K53" s="16">
        <v>9786</v>
      </c>
      <c r="L53" s="16">
        <v>9717</v>
      </c>
      <c r="M53" s="16">
        <v>10394</v>
      </c>
      <c r="N53" s="16">
        <v>10714</v>
      </c>
      <c r="O53" s="16">
        <v>10125</v>
      </c>
      <c r="Q53" s="34">
        <f t="shared" ref="Q53" si="78">IFERROR((O53/F53)^(1/9)-1,"n/a")</f>
        <v>8.8499201544778971E-2</v>
      </c>
      <c r="R53" s="34">
        <f t="shared" ref="R53" si="79">IFERROR((O53/L53)^(1/3)-1,"n/a")</f>
        <v>1.3804644217273898E-2</v>
      </c>
      <c r="T53" s="16"/>
      <c r="U53" s="16"/>
      <c r="V53" s="16"/>
      <c r="W53" s="16"/>
      <c r="X53" s="16"/>
      <c r="Y53" s="16"/>
      <c r="Z53" s="16"/>
      <c r="AA53" s="16"/>
      <c r="AB53" s="16"/>
    </row>
    <row r="54" spans="5:28" x14ac:dyDescent="0.15">
      <c r="E54" s="12"/>
      <c r="F54" s="15"/>
      <c r="G54" s="15"/>
      <c r="H54" s="15"/>
      <c r="I54" s="15"/>
      <c r="J54" s="15"/>
      <c r="K54" s="15"/>
      <c r="L54" s="15"/>
      <c r="M54" s="15"/>
      <c r="N54" s="15"/>
      <c r="O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5:28" x14ac:dyDescent="0.15">
      <c r="E55" s="44" t="s">
        <v>99</v>
      </c>
      <c r="F55" s="15">
        <v>-483</v>
      </c>
      <c r="G55" s="15">
        <v>-586</v>
      </c>
      <c r="H55" s="15">
        <v>-791</v>
      </c>
      <c r="I55" s="15">
        <v>-758</v>
      </c>
      <c r="J55" s="15">
        <v>-664</v>
      </c>
      <c r="K55" s="15">
        <v>-511</v>
      </c>
      <c r="L55" s="15">
        <v>-527</v>
      </c>
      <c r="M55" s="15">
        <v>-523</v>
      </c>
      <c r="N55" s="15">
        <v>-460</v>
      </c>
      <c r="O55" s="15">
        <v>-486</v>
      </c>
      <c r="Q55" s="24">
        <f t="shared" ref="Q55:Q56" si="80">IFERROR((O55/F55)^(1/9)-1,"n/a")</f>
        <v>6.882334182243266E-4</v>
      </c>
      <c r="R55" s="24">
        <f t="shared" ref="R55:R56" si="81">IFERROR((O55/L55)^(1/3)-1,"n/a")</f>
        <v>-2.6636138391606834E-2</v>
      </c>
      <c r="T55" s="15"/>
      <c r="U55" s="15"/>
      <c r="V55" s="15"/>
      <c r="W55" s="15"/>
      <c r="X55" s="15"/>
      <c r="Y55" s="15"/>
      <c r="Z55" s="15"/>
      <c r="AA55" s="15"/>
      <c r="AB55" s="15"/>
    </row>
    <row r="56" spans="5:28" x14ac:dyDescent="0.15">
      <c r="E56" s="44" t="s">
        <v>97</v>
      </c>
      <c r="F56" s="17">
        <f>F57-F55</f>
        <v>-3508</v>
      </c>
      <c r="G56" s="17">
        <f t="shared" ref="G56:O56" si="82">G57-G55</f>
        <v>-54</v>
      </c>
      <c r="H56" s="17">
        <f t="shared" si="82"/>
        <v>-17753</v>
      </c>
      <c r="I56" s="17">
        <f t="shared" si="82"/>
        <v>-263</v>
      </c>
      <c r="J56" s="17">
        <f t="shared" si="82"/>
        <v>25</v>
      </c>
      <c r="K56" s="17">
        <f t="shared" si="82"/>
        <v>-272</v>
      </c>
      <c r="L56" s="17">
        <f t="shared" si="82"/>
        <v>-613</v>
      </c>
      <c r="M56" s="17">
        <f t="shared" si="82"/>
        <v>-182</v>
      </c>
      <c r="N56" s="17">
        <f t="shared" si="82"/>
        <v>164</v>
      </c>
      <c r="O56" s="17">
        <f t="shared" si="82"/>
        <v>1861</v>
      </c>
      <c r="Q56" s="24">
        <f t="shared" si="80"/>
        <v>-1.9319865463477033</v>
      </c>
      <c r="R56" s="24">
        <f t="shared" si="81"/>
        <v>-2.4479780093019188</v>
      </c>
      <c r="T56" s="17">
        <f t="shared" ref="T56:U56" si="83">T57-T55</f>
        <v>0</v>
      </c>
      <c r="U56" s="17">
        <f t="shared" ref="U56:Y56" si="84">U57-U55</f>
        <v>0</v>
      </c>
      <c r="V56" s="17">
        <f t="shared" si="84"/>
        <v>0</v>
      </c>
      <c r="W56" s="17">
        <f t="shared" si="84"/>
        <v>0</v>
      </c>
      <c r="X56" s="17">
        <f t="shared" si="84"/>
        <v>0</v>
      </c>
      <c r="Y56" s="17">
        <f t="shared" si="84"/>
        <v>0</v>
      </c>
      <c r="Z56" s="17">
        <f t="shared" ref="Y56:AB56" si="85">Z57-Z55</f>
        <v>0</v>
      </c>
      <c r="AA56" s="17">
        <f t="shared" si="85"/>
        <v>0</v>
      </c>
      <c r="AB56" s="17">
        <f t="shared" si="85"/>
        <v>0</v>
      </c>
    </row>
    <row r="57" spans="5:28" x14ac:dyDescent="0.15">
      <c r="E57" s="45" t="s">
        <v>98</v>
      </c>
      <c r="F57" s="16">
        <v>-3991</v>
      </c>
      <c r="G57" s="16">
        <v>-640</v>
      </c>
      <c r="H57" s="16">
        <v>-18544</v>
      </c>
      <c r="I57" s="16">
        <v>-1021</v>
      </c>
      <c r="J57" s="16">
        <v>-639</v>
      </c>
      <c r="K57" s="16">
        <v>-783</v>
      </c>
      <c r="L57" s="16">
        <v>-1140</v>
      </c>
      <c r="M57" s="16">
        <v>-705</v>
      </c>
      <c r="N57" s="16">
        <v>-296</v>
      </c>
      <c r="O57" s="16">
        <v>1375</v>
      </c>
      <c r="Q57" s="34">
        <f t="shared" ref="Q57" si="86">IFERROR((O57/F57)^(1/9)-1,"n/a")</f>
        <v>-1.8883418203629456</v>
      </c>
      <c r="R57" s="34">
        <f t="shared" ref="R57" si="87">IFERROR((O57/L57)^(1/3)-1,"n/a")</f>
        <v>-2.0644680131987156</v>
      </c>
      <c r="T57" s="16"/>
      <c r="U57" s="16"/>
      <c r="V57" s="16"/>
      <c r="W57" s="16"/>
      <c r="X57" s="16"/>
      <c r="Y57" s="16"/>
      <c r="Z57" s="16"/>
      <c r="AA57" s="16"/>
      <c r="AB57" s="16"/>
    </row>
    <row r="58" spans="5:28" x14ac:dyDescent="0.15">
      <c r="E58" s="12"/>
      <c r="F58" s="15"/>
      <c r="G58" s="15"/>
      <c r="H58" s="15"/>
      <c r="I58" s="15"/>
      <c r="J58" s="15"/>
      <c r="K58" s="15"/>
      <c r="L58" s="15"/>
      <c r="M58" s="15"/>
      <c r="N58" s="15"/>
      <c r="O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5:28" x14ac:dyDescent="0.15">
      <c r="E59" s="45" t="s">
        <v>92</v>
      </c>
      <c r="F59" s="16">
        <f>+F53+F55</f>
        <v>4237</v>
      </c>
      <c r="G59" s="16">
        <f t="shared" ref="G59:O59" si="88">+G53+G55</f>
        <v>4024</v>
      </c>
      <c r="H59" s="16">
        <f t="shared" si="88"/>
        <v>4556</v>
      </c>
      <c r="I59" s="16">
        <f t="shared" si="88"/>
        <v>9537</v>
      </c>
      <c r="J59" s="16">
        <f t="shared" si="88"/>
        <v>8332</v>
      </c>
      <c r="K59" s="16">
        <f t="shared" si="88"/>
        <v>9275</v>
      </c>
      <c r="L59" s="16">
        <f t="shared" si="88"/>
        <v>9190</v>
      </c>
      <c r="M59" s="16">
        <f t="shared" si="88"/>
        <v>9871</v>
      </c>
      <c r="N59" s="16">
        <f t="shared" si="88"/>
        <v>10254</v>
      </c>
      <c r="O59" s="16">
        <f t="shared" si="88"/>
        <v>9639</v>
      </c>
      <c r="Q59" s="34">
        <f t="shared" ref="Q59" si="89">IFERROR((O59/F59)^(1/9)-1,"n/a")</f>
        <v>9.5629517261101693E-2</v>
      </c>
      <c r="R59" s="34">
        <f t="shared" ref="R59" si="90">IFERROR((O59/L59)^(1/3)-1,"n/a")</f>
        <v>1.6027562748800683E-2</v>
      </c>
      <c r="T59" s="16">
        <f t="shared" ref="T59:U59" si="91">+T53+T55</f>
        <v>0</v>
      </c>
      <c r="U59" s="16">
        <f t="shared" ref="U59:Y59" si="92">+U53+U55</f>
        <v>0</v>
      </c>
      <c r="V59" s="16">
        <f t="shared" si="92"/>
        <v>0</v>
      </c>
      <c r="W59" s="16">
        <f t="shared" si="92"/>
        <v>0</v>
      </c>
      <c r="X59" s="16">
        <f t="shared" si="92"/>
        <v>0</v>
      </c>
      <c r="Y59" s="16">
        <f t="shared" si="92"/>
        <v>0</v>
      </c>
      <c r="Z59" s="16">
        <f t="shared" ref="Y59:AB59" si="93">+Z53+Z55</f>
        <v>0</v>
      </c>
      <c r="AA59" s="16">
        <f t="shared" si="93"/>
        <v>0</v>
      </c>
      <c r="AB59" s="16">
        <f t="shared" si="93"/>
        <v>0</v>
      </c>
    </row>
    <row r="60" spans="5:28" x14ac:dyDescent="0.15">
      <c r="E60" s="12"/>
      <c r="F60" s="15"/>
      <c r="G60" s="15"/>
      <c r="H60" s="15"/>
      <c r="I60" s="15"/>
      <c r="J60" s="15"/>
      <c r="K60" s="15"/>
      <c r="L60" s="15"/>
      <c r="M60" s="15"/>
      <c r="N60" s="15"/>
      <c r="O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5:28" x14ac:dyDescent="0.15">
      <c r="E61" s="44" t="s">
        <v>94</v>
      </c>
      <c r="F61" s="15">
        <v>6931</v>
      </c>
      <c r="G61" s="15">
        <v>3476</v>
      </c>
      <c r="H61" s="15">
        <v>40937</v>
      </c>
      <c r="I61" s="15">
        <v>2111</v>
      </c>
      <c r="J61" s="15">
        <v>4247</v>
      </c>
      <c r="K61" s="15">
        <v>9826</v>
      </c>
      <c r="L61" s="15">
        <v>978</v>
      </c>
      <c r="M61" s="15">
        <v>3267</v>
      </c>
      <c r="N61" s="15">
        <v>5134</v>
      </c>
      <c r="O61" s="15">
        <v>2404</v>
      </c>
      <c r="P61" s="15"/>
      <c r="Q61" s="24">
        <f t="shared" ref="Q61:Q66" si="94">IFERROR((O61/F61)^(1/9)-1,"n/a")</f>
        <v>-0.11099483341813987</v>
      </c>
      <c r="R61" s="24">
        <f t="shared" ref="R61:R66" si="95">IFERROR((O61/L61)^(1/3)-1,"n/a")</f>
        <v>0.34957969716233661</v>
      </c>
      <c r="T61" s="15"/>
      <c r="U61" s="15"/>
      <c r="V61" s="15"/>
      <c r="W61" s="15"/>
      <c r="X61" s="15"/>
      <c r="Y61" s="15"/>
      <c r="Z61" s="15"/>
      <c r="AA61" s="15"/>
      <c r="AB61" s="15"/>
    </row>
    <row r="62" spans="5:28" x14ac:dyDescent="0.15">
      <c r="E62" s="44" t="s">
        <v>95</v>
      </c>
      <c r="F62" s="17">
        <v>-2028</v>
      </c>
      <c r="G62" s="17">
        <v>-3840</v>
      </c>
      <c r="H62" s="17">
        <v>-20834</v>
      </c>
      <c r="I62" s="17">
        <v>-5596</v>
      </c>
      <c r="J62" s="17">
        <v>-5794</v>
      </c>
      <c r="K62" s="17">
        <v>-10797</v>
      </c>
      <c r="L62" s="17">
        <v>-4997</v>
      </c>
      <c r="M62" s="17">
        <v>-3205</v>
      </c>
      <c r="N62" s="17">
        <v>-6931</v>
      </c>
      <c r="O62" s="17">
        <v>-4991</v>
      </c>
      <c r="P62" s="15"/>
      <c r="Q62" s="24">
        <f t="shared" si="94"/>
        <v>0.10524290447012818</v>
      </c>
      <c r="R62" s="24">
        <f t="shared" si="95"/>
        <v>-4.0040044320388546E-4</v>
      </c>
      <c r="T62" s="17"/>
      <c r="U62" s="17"/>
      <c r="V62" s="17"/>
      <c r="W62" s="17"/>
      <c r="X62" s="17"/>
      <c r="Y62" s="17"/>
      <c r="Z62" s="17"/>
      <c r="AA62" s="17"/>
      <c r="AB62" s="17"/>
    </row>
    <row r="63" spans="5:28" x14ac:dyDescent="0.15">
      <c r="E63" s="12" t="s">
        <v>96</v>
      </c>
      <c r="F63" s="16">
        <f t="shared" ref="F63:O63" si="96">SUM(F61:F62)</f>
        <v>4903</v>
      </c>
      <c r="G63" s="16">
        <f t="shared" si="96"/>
        <v>-364</v>
      </c>
      <c r="H63" s="16">
        <f t="shared" si="96"/>
        <v>20103</v>
      </c>
      <c r="I63" s="16">
        <f t="shared" si="96"/>
        <v>-3485</v>
      </c>
      <c r="J63" s="16">
        <f t="shared" si="96"/>
        <v>-1547</v>
      </c>
      <c r="K63" s="16">
        <f t="shared" si="96"/>
        <v>-971</v>
      </c>
      <c r="L63" s="16">
        <f t="shared" si="96"/>
        <v>-4019</v>
      </c>
      <c r="M63" s="16">
        <f t="shared" si="96"/>
        <v>62</v>
      </c>
      <c r="N63" s="16">
        <f t="shared" si="96"/>
        <v>-1797</v>
      </c>
      <c r="O63" s="16">
        <f t="shared" si="96"/>
        <v>-2587</v>
      </c>
      <c r="P63" s="15"/>
      <c r="Q63" s="34">
        <f t="shared" si="94"/>
        <v>-1.9314258390957197</v>
      </c>
      <c r="R63" s="34">
        <f t="shared" si="95"/>
        <v>-0.13657197492833817</v>
      </c>
      <c r="T63" s="16">
        <f t="shared" ref="T63:AB63" si="97">SUM(T61:T62)</f>
        <v>0</v>
      </c>
      <c r="U63" s="16">
        <f t="shared" ref="U63" si="98">SUM(U61:U62)</f>
        <v>0</v>
      </c>
      <c r="V63" s="16">
        <f t="shared" ref="V63" si="99">SUM(V61:V62)</f>
        <v>0</v>
      </c>
      <c r="W63" s="16">
        <f t="shared" ref="W63" si="100">SUM(W61:W62)</f>
        <v>0</v>
      </c>
      <c r="X63" s="16">
        <f t="shared" ref="X63" si="101">SUM(X61:X62)</f>
        <v>0</v>
      </c>
      <c r="Y63" s="16">
        <f t="shared" ref="Y63" si="102">SUM(Y61:Y62)</f>
        <v>0</v>
      </c>
      <c r="Z63" s="16">
        <f t="shared" si="97"/>
        <v>0</v>
      </c>
      <c r="AA63" s="16">
        <f t="shared" si="97"/>
        <v>0</v>
      </c>
      <c r="AB63" s="16">
        <f t="shared" si="97"/>
        <v>0</v>
      </c>
    </row>
    <row r="64" spans="5:28" x14ac:dyDescent="0.15">
      <c r="E64" s="12" t="s">
        <v>102</v>
      </c>
      <c r="F64" s="15">
        <f>-2770-46</f>
        <v>-2816</v>
      </c>
      <c r="G64" s="15">
        <f>-2910-64</f>
        <v>-2974</v>
      </c>
      <c r="H64" s="15">
        <f>-3465-205</f>
        <v>-3670</v>
      </c>
      <c r="I64" s="15">
        <f>-3343-139</f>
        <v>-3482</v>
      </c>
      <c r="J64" s="15">
        <f>-4598-117</f>
        <v>-4715</v>
      </c>
      <c r="K64" s="15">
        <f>-4745-18</f>
        <v>-4763</v>
      </c>
      <c r="L64" s="15">
        <f>-4910-82+1681</f>
        <v>-3311</v>
      </c>
      <c r="M64" s="15">
        <f>-4975-2092</f>
        <v>-7067</v>
      </c>
      <c r="N64" s="15">
        <f>-5114-110</f>
        <v>-5224</v>
      </c>
      <c r="O64" s="15">
        <f>-5269-792</f>
        <v>-6061</v>
      </c>
      <c r="P64" s="15"/>
      <c r="Q64" s="24">
        <f t="shared" si="94"/>
        <v>8.8905475165628189E-2</v>
      </c>
      <c r="R64" s="24">
        <f t="shared" si="95"/>
        <v>0.22328702052631644</v>
      </c>
      <c r="T64" s="15"/>
      <c r="U64" s="15"/>
      <c r="V64" s="15"/>
      <c r="W64" s="15"/>
      <c r="X64" s="15"/>
      <c r="Y64" s="15"/>
      <c r="Z64" s="15"/>
      <c r="AA64" s="15"/>
      <c r="AB64" s="15"/>
    </row>
    <row r="65" spans="5:28" x14ac:dyDescent="0.15">
      <c r="E65" s="12" t="s">
        <v>97</v>
      </c>
      <c r="F65" s="17">
        <f>+F66-F64-F63</f>
        <v>-2306</v>
      </c>
      <c r="G65" s="17">
        <f t="shared" ref="G65:O65" si="103">+G66-G64-G63</f>
        <v>-891</v>
      </c>
      <c r="H65" s="17">
        <f t="shared" si="103"/>
        <v>-1674</v>
      </c>
      <c r="I65" s="17">
        <f t="shared" si="103"/>
        <v>-2663</v>
      </c>
      <c r="J65" s="17">
        <f t="shared" si="103"/>
        <v>-2331</v>
      </c>
      <c r="K65" s="17">
        <f t="shared" si="103"/>
        <v>-2163</v>
      </c>
      <c r="L65" s="17">
        <f t="shared" si="103"/>
        <v>-1419</v>
      </c>
      <c r="M65" s="17">
        <f t="shared" si="103"/>
        <v>-1873</v>
      </c>
      <c r="N65" s="17">
        <f t="shared" si="103"/>
        <v>-2293</v>
      </c>
      <c r="O65" s="17">
        <f t="shared" si="103"/>
        <v>-1984</v>
      </c>
      <c r="P65" s="15"/>
      <c r="Q65" s="24">
        <f t="shared" si="94"/>
        <v>-1.6572190906386175E-2</v>
      </c>
      <c r="R65" s="24">
        <f t="shared" si="95"/>
        <v>0.11820069397509592</v>
      </c>
      <c r="T65" s="17">
        <f t="shared" ref="T65:U65" si="104">+T66-T64-T63</f>
        <v>0</v>
      </c>
      <c r="U65" s="17">
        <f t="shared" ref="U65:Y65" si="105">+U66-U64-U63</f>
        <v>0</v>
      </c>
      <c r="V65" s="17">
        <f t="shared" si="105"/>
        <v>0</v>
      </c>
      <c r="W65" s="17">
        <f t="shared" si="105"/>
        <v>0</v>
      </c>
      <c r="X65" s="17">
        <f t="shared" si="105"/>
        <v>0</v>
      </c>
      <c r="Y65" s="17">
        <f t="shared" si="105"/>
        <v>0</v>
      </c>
      <c r="Z65" s="17">
        <f t="shared" ref="Y65:AB65" si="106">+Z66-Z64-Z63</f>
        <v>0</v>
      </c>
      <c r="AA65" s="17">
        <f t="shared" si="106"/>
        <v>0</v>
      </c>
      <c r="AB65" s="17">
        <f t="shared" si="106"/>
        <v>0</v>
      </c>
    </row>
    <row r="66" spans="5:28" x14ac:dyDescent="0.15">
      <c r="E66" s="5" t="s">
        <v>93</v>
      </c>
      <c r="F66" s="16">
        <v>-219</v>
      </c>
      <c r="G66" s="16">
        <v>-4229</v>
      </c>
      <c r="H66" s="16">
        <v>14759</v>
      </c>
      <c r="I66" s="16">
        <v>-9630</v>
      </c>
      <c r="J66" s="16">
        <v>-8593</v>
      </c>
      <c r="K66" s="16">
        <v>-7897</v>
      </c>
      <c r="L66" s="16">
        <v>-8749</v>
      </c>
      <c r="M66" s="16">
        <v>-8878</v>
      </c>
      <c r="N66" s="16">
        <v>-9314</v>
      </c>
      <c r="O66" s="16">
        <v>-10632</v>
      </c>
      <c r="P66" s="15"/>
      <c r="Q66" s="34">
        <f t="shared" si="94"/>
        <v>0.53940295898858115</v>
      </c>
      <c r="R66" s="34">
        <f t="shared" si="95"/>
        <v>6.7133737741288613E-2</v>
      </c>
      <c r="T66" s="16"/>
      <c r="U66" s="16"/>
      <c r="V66" s="16"/>
      <c r="W66" s="16"/>
      <c r="X66" s="16"/>
      <c r="Y66" s="16"/>
      <c r="Z66" s="16"/>
      <c r="AA66" s="16"/>
      <c r="AB66" s="16"/>
    </row>
    <row r="67" spans="5:28" x14ac:dyDescent="0.15">
      <c r="E67" s="12"/>
      <c r="F67" s="15"/>
      <c r="G67" s="15"/>
      <c r="H67" s="15"/>
      <c r="I67" s="15"/>
      <c r="J67" s="15"/>
      <c r="K67" s="15"/>
      <c r="L67" s="15"/>
      <c r="M67" s="15"/>
      <c r="N67" s="15"/>
      <c r="O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5:28" x14ac:dyDescent="0.15">
      <c r="F68" s="15"/>
      <c r="G68" s="15"/>
      <c r="H68" s="15"/>
      <c r="I68" s="15"/>
      <c r="J68" s="15"/>
      <c r="K68" s="15"/>
      <c r="L68" s="15"/>
      <c r="M68" s="15"/>
      <c r="N68" s="15"/>
      <c r="O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5:28" x14ac:dyDescent="0.15">
      <c r="F69" s="15"/>
      <c r="G69" s="15"/>
      <c r="H69" s="15"/>
      <c r="I69" s="15"/>
      <c r="J69" s="15"/>
      <c r="K69" s="15"/>
      <c r="L69" s="15"/>
      <c r="M69" s="15"/>
      <c r="N69" s="15"/>
      <c r="O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5:28" x14ac:dyDescent="0.15">
      <c r="F70" s="15"/>
      <c r="G70" s="15"/>
      <c r="H70" s="15"/>
      <c r="I70" s="15"/>
      <c r="J70" s="15"/>
      <c r="K70" s="15"/>
      <c r="L70" s="15"/>
      <c r="M70" s="15"/>
      <c r="N70" s="15"/>
      <c r="O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5:28" x14ac:dyDescent="0.15">
      <c r="F71" s="15"/>
      <c r="G71" s="15"/>
      <c r="H71" s="15"/>
      <c r="I71" s="15"/>
      <c r="J71" s="15"/>
      <c r="K71" s="15"/>
      <c r="L71" s="15"/>
      <c r="M71" s="15"/>
      <c r="N71" s="15"/>
      <c r="O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5:28" x14ac:dyDescent="0.15">
      <c r="F72" s="15"/>
      <c r="G72" s="15"/>
      <c r="H72" s="15"/>
      <c r="I72" s="15"/>
      <c r="J72" s="15"/>
      <c r="K72" s="47"/>
      <c r="L72" s="47"/>
      <c r="M72" s="47"/>
      <c r="N72" s="47"/>
      <c r="O72" s="47"/>
      <c r="T72" s="47"/>
      <c r="U72" s="47"/>
      <c r="V72" s="47"/>
      <c r="W72" s="47"/>
      <c r="X72" s="47"/>
      <c r="Y72" s="47"/>
      <c r="Z72" s="47"/>
      <c r="AA72" s="47"/>
      <c r="AB72" s="47"/>
    </row>
    <row r="73" spans="5:28" x14ac:dyDescent="0.15">
      <c r="F73" s="15"/>
      <c r="G73" s="15"/>
      <c r="H73" s="15"/>
      <c r="I73" s="15"/>
      <c r="J73" s="15"/>
      <c r="K73" s="15"/>
      <c r="L73" s="15"/>
      <c r="M73" s="15"/>
      <c r="N73" s="15"/>
      <c r="O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5:28" x14ac:dyDescent="0.15">
      <c r="F74" s="15"/>
      <c r="G74" s="15"/>
      <c r="H74" s="15"/>
      <c r="I74" s="15"/>
      <c r="J74" s="15"/>
      <c r="K74" s="15"/>
      <c r="L74" s="15"/>
      <c r="M74" s="15"/>
      <c r="N74" s="15"/>
      <c r="O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5:28" x14ac:dyDescent="0.15">
      <c r="F75" s="15"/>
      <c r="G75" s="15"/>
      <c r="H75" s="15"/>
      <c r="I75" s="15"/>
      <c r="J75" s="15"/>
      <c r="K75" s="15"/>
      <c r="L75" s="15"/>
      <c r="M75" s="15"/>
      <c r="N75" s="15"/>
      <c r="O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5:28" x14ac:dyDescent="0.15">
      <c r="F76" s="15"/>
      <c r="G76" s="15"/>
      <c r="H76" s="15"/>
      <c r="I76" s="15"/>
      <c r="J76" s="15"/>
      <c r="K76" s="15"/>
      <c r="L76" s="15"/>
      <c r="M76" s="15"/>
      <c r="N76" s="15"/>
      <c r="O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5:28" x14ac:dyDescent="0.15">
      <c r="F77" s="15"/>
      <c r="G77" s="15"/>
      <c r="H77" s="15"/>
      <c r="I77" s="15"/>
      <c r="J77" s="15"/>
      <c r="K77" s="15"/>
      <c r="L77" s="15"/>
      <c r="M77" s="15"/>
      <c r="N77" s="15"/>
      <c r="O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5:28" x14ac:dyDescent="0.15">
      <c r="F78" s="15"/>
      <c r="G78" s="15"/>
      <c r="H78" s="15"/>
      <c r="I78" s="15"/>
      <c r="J78" s="15"/>
      <c r="K78" s="15"/>
      <c r="L78" s="15"/>
      <c r="M78" s="15"/>
      <c r="N78" s="15"/>
      <c r="O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5:28" x14ac:dyDescent="0.15">
      <c r="F79" s="15"/>
      <c r="G79" s="15"/>
      <c r="H79" s="15"/>
      <c r="I79" s="15"/>
      <c r="J79" s="15"/>
      <c r="K79" s="15"/>
      <c r="L79" s="15"/>
      <c r="M79" s="15"/>
      <c r="N79" s="15"/>
      <c r="O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5:28" x14ac:dyDescent="0.15">
      <c r="F80" s="15"/>
      <c r="G80" s="15"/>
      <c r="H80" s="15"/>
      <c r="I80" s="15"/>
      <c r="J80" s="15"/>
      <c r="K80" s="15"/>
      <c r="L80" s="15"/>
      <c r="M80" s="15"/>
      <c r="N80" s="15"/>
      <c r="O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6:28" x14ac:dyDescent="0.15">
      <c r="F81" s="15"/>
      <c r="G81" s="15"/>
      <c r="H81" s="15"/>
      <c r="I81" s="15"/>
      <c r="J81" s="15"/>
      <c r="K81" s="15"/>
      <c r="L81" s="15"/>
      <c r="M81" s="15"/>
      <c r="N81" s="15"/>
      <c r="O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6:28" x14ac:dyDescent="0.15">
      <c r="F82" s="15"/>
      <c r="G82" s="15"/>
      <c r="H82" s="15"/>
      <c r="I82" s="15"/>
      <c r="J82" s="15"/>
      <c r="K82" s="15"/>
      <c r="L82" s="15"/>
      <c r="M82" s="15"/>
      <c r="N82" s="15"/>
      <c r="O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6:28" x14ac:dyDescent="0.15">
      <c r="F83" s="15"/>
      <c r="G83" s="15"/>
      <c r="H83" s="15"/>
      <c r="I83" s="15"/>
      <c r="J83" s="15"/>
      <c r="K83" s="15"/>
      <c r="L83" s="15"/>
      <c r="M83" s="15"/>
      <c r="N83" s="15"/>
      <c r="O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6:28" x14ac:dyDescent="0.15">
      <c r="F84" s="15"/>
      <c r="G84" s="15"/>
      <c r="H84" s="15"/>
      <c r="I84" s="15"/>
      <c r="J84" s="15"/>
      <c r="K84" s="15"/>
      <c r="L84" s="15"/>
      <c r="M84" s="15"/>
      <c r="N84" s="15"/>
      <c r="O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6:28" x14ac:dyDescent="0.15">
      <c r="F85" s="15"/>
      <c r="G85" s="15"/>
      <c r="H85" s="15"/>
      <c r="I85" s="15"/>
      <c r="J85" s="15"/>
      <c r="K85" s="15"/>
      <c r="L85" s="15"/>
      <c r="M85" s="15"/>
      <c r="N85" s="15"/>
      <c r="O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6:28" x14ac:dyDescent="0.15">
      <c r="F86" s="15"/>
      <c r="G86" s="15"/>
      <c r="H86" s="15"/>
      <c r="I86" s="15"/>
      <c r="J86" s="15"/>
      <c r="K86" s="15"/>
      <c r="L86" s="15"/>
      <c r="M86" s="15"/>
      <c r="N86" s="15"/>
      <c r="O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6:28" x14ac:dyDescent="0.15">
      <c r="F87" s="15"/>
      <c r="G87" s="15"/>
      <c r="H87" s="15"/>
      <c r="I87" s="15"/>
      <c r="J87" s="15"/>
      <c r="K87" s="15"/>
      <c r="L87" s="15"/>
      <c r="M87" s="15"/>
      <c r="N87" s="15"/>
      <c r="O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6:28" x14ac:dyDescent="0.15">
      <c r="F88" s="15"/>
      <c r="G88" s="15"/>
      <c r="H88" s="15"/>
      <c r="I88" s="15"/>
      <c r="J88" s="15"/>
      <c r="K88" s="15"/>
      <c r="L88" s="15"/>
      <c r="M88" s="15"/>
      <c r="N88" s="15"/>
      <c r="O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6:28" x14ac:dyDescent="0.15">
      <c r="F89" s="15"/>
      <c r="G89" s="15"/>
      <c r="H89" s="15"/>
      <c r="I89" s="15"/>
      <c r="J89" s="15"/>
      <c r="K89" s="15"/>
      <c r="L89" s="15"/>
      <c r="M89" s="15"/>
      <c r="N89" s="15"/>
      <c r="O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6:28" x14ac:dyDescent="0.15">
      <c r="F90" s="15"/>
      <c r="G90" s="15"/>
      <c r="H90" s="15"/>
      <c r="I90" s="15"/>
      <c r="J90" s="15"/>
      <c r="K90" s="15"/>
      <c r="L90" s="15"/>
      <c r="M90" s="15"/>
      <c r="N90" s="15"/>
      <c r="O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6:28" x14ac:dyDescent="0.15">
      <c r="F91" s="15"/>
      <c r="G91" s="15"/>
      <c r="H91" s="15"/>
      <c r="I91" s="15"/>
      <c r="J91" s="15"/>
      <c r="K91" s="15"/>
      <c r="L91" s="15"/>
      <c r="M91" s="15"/>
      <c r="N91" s="15"/>
      <c r="O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6:28" x14ac:dyDescent="0.15">
      <c r="F92" s="15"/>
      <c r="G92" s="15"/>
      <c r="H92" s="15"/>
      <c r="I92" s="15"/>
      <c r="J92" s="15"/>
      <c r="K92" s="15"/>
      <c r="L92" s="15"/>
      <c r="M92" s="15"/>
      <c r="N92" s="15"/>
      <c r="O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6:28" x14ac:dyDescent="0.15">
      <c r="F93" s="15"/>
      <c r="G93" s="15"/>
      <c r="H93" s="15"/>
      <c r="I93" s="15"/>
      <c r="J93" s="15"/>
      <c r="K93" s="15"/>
      <c r="L93" s="15"/>
      <c r="M93" s="15"/>
      <c r="N93" s="15"/>
      <c r="O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6:28" x14ac:dyDescent="0.15">
      <c r="F94" s="15"/>
      <c r="G94" s="15"/>
      <c r="H94" s="15"/>
      <c r="I94" s="15"/>
      <c r="J94" s="15"/>
      <c r="K94" s="15"/>
      <c r="L94" s="15"/>
      <c r="M94" s="15"/>
      <c r="N94" s="15"/>
      <c r="O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6:28" x14ac:dyDescent="0.15">
      <c r="F95" s="15"/>
      <c r="G95" s="15"/>
      <c r="H95" s="15"/>
      <c r="I95" s="15"/>
      <c r="J95" s="15"/>
      <c r="K95" s="15"/>
      <c r="L95" s="15"/>
      <c r="M95" s="15"/>
      <c r="N95" s="15"/>
      <c r="O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6:28" x14ac:dyDescent="0.15">
      <c r="F96" s="15"/>
      <c r="G96" s="15"/>
      <c r="H96" s="15"/>
      <c r="I96" s="15"/>
      <c r="J96" s="15"/>
      <c r="K96" s="15"/>
      <c r="L96" s="15"/>
      <c r="M96" s="15"/>
      <c r="N96" s="15"/>
      <c r="O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6:28" x14ac:dyDescent="0.15">
      <c r="F97" s="15"/>
      <c r="G97" s="15"/>
      <c r="H97" s="15"/>
      <c r="I97" s="15"/>
      <c r="J97" s="15"/>
      <c r="K97" s="15"/>
      <c r="L97" s="15"/>
      <c r="M97" s="15"/>
      <c r="N97" s="15"/>
      <c r="O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6:28" x14ac:dyDescent="0.15">
      <c r="F98" s="15"/>
      <c r="G98" s="15"/>
      <c r="H98" s="15"/>
      <c r="I98" s="15"/>
      <c r="J98" s="15"/>
      <c r="K98" s="15"/>
      <c r="L98" s="15"/>
      <c r="M98" s="15"/>
      <c r="N98" s="15"/>
      <c r="O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6:28" x14ac:dyDescent="0.15">
      <c r="F99" s="15"/>
      <c r="G99" s="15"/>
      <c r="H99" s="15"/>
      <c r="I99" s="15"/>
      <c r="J99" s="15"/>
      <c r="K99" s="15"/>
      <c r="L99" s="15"/>
      <c r="M99" s="15"/>
      <c r="N99" s="15"/>
      <c r="O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6:28" x14ac:dyDescent="0.15"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6:28" x14ac:dyDescent="0.15"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6:28" x14ac:dyDescent="0.15"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6:28" x14ac:dyDescent="0.15"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6:28" x14ac:dyDescent="0.15"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6:28" x14ac:dyDescent="0.15"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6:28" x14ac:dyDescent="0.15"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6:28" x14ac:dyDescent="0.15"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6:28" x14ac:dyDescent="0.15"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6:28" x14ac:dyDescent="0.15"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6:28" x14ac:dyDescent="0.15"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6:28" x14ac:dyDescent="0.15"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6:28" x14ac:dyDescent="0.15"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6:28" x14ac:dyDescent="0.15"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6:28" x14ac:dyDescent="0.15"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6:28" x14ac:dyDescent="0.15"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6:28" x14ac:dyDescent="0.15"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6:28" x14ac:dyDescent="0.15"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6:28" x14ac:dyDescent="0.15"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6:28" x14ac:dyDescent="0.15"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6:28" x14ac:dyDescent="0.15"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6:28" x14ac:dyDescent="0.15"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6:28" x14ac:dyDescent="0.15"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6:28" x14ac:dyDescent="0.15"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6:28" x14ac:dyDescent="0.15"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6:28" x14ac:dyDescent="0.15"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6:28" x14ac:dyDescent="0.15"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6:28" x14ac:dyDescent="0.15"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6:28" x14ac:dyDescent="0.15"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6:28" x14ac:dyDescent="0.15"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6:28" x14ac:dyDescent="0.15"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6:28" x14ac:dyDescent="0.15"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6:28" x14ac:dyDescent="0.15"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6:28" x14ac:dyDescent="0.15"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6:28" x14ac:dyDescent="0.15"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6:28" x14ac:dyDescent="0.15"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6:28" x14ac:dyDescent="0.15"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6:28" x14ac:dyDescent="0.15"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6:28" x14ac:dyDescent="0.15"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6:28" x14ac:dyDescent="0.15"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6:28" x14ac:dyDescent="0.15"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6:28" x14ac:dyDescent="0.15"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6:28" x14ac:dyDescent="0.15"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6:28" x14ac:dyDescent="0.15"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6:28" x14ac:dyDescent="0.15"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6:28" x14ac:dyDescent="0.15"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6:28" x14ac:dyDescent="0.15"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6:28" x14ac:dyDescent="0.15"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6:28" x14ac:dyDescent="0.15"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6:28" x14ac:dyDescent="0.15"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6:28" x14ac:dyDescent="0.15"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6:28" x14ac:dyDescent="0.15"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6:28" x14ac:dyDescent="0.15"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6:28" x14ac:dyDescent="0.15"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6:28" x14ac:dyDescent="0.15"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6:28" x14ac:dyDescent="0.15"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6:28" x14ac:dyDescent="0.15"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6:28" x14ac:dyDescent="0.15"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6:28" x14ac:dyDescent="0.15"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6:28" x14ac:dyDescent="0.15"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6:28" x14ac:dyDescent="0.15"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6:28" x14ac:dyDescent="0.15"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6:28" x14ac:dyDescent="0.15"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6:28" x14ac:dyDescent="0.15"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6:28" x14ac:dyDescent="0.15"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6:28" x14ac:dyDescent="0.15"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6:28" x14ac:dyDescent="0.15"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6:28" x14ac:dyDescent="0.15"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6:28" x14ac:dyDescent="0.15"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6:28" x14ac:dyDescent="0.15"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6:28" x14ac:dyDescent="0.15"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6:28" x14ac:dyDescent="0.15"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6:28" x14ac:dyDescent="0.15"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6:28" x14ac:dyDescent="0.15"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6:28" x14ac:dyDescent="0.15"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6:28" x14ac:dyDescent="0.15"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6:28" x14ac:dyDescent="0.15"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6:28" x14ac:dyDescent="0.15"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6:28" x14ac:dyDescent="0.15"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6:28" x14ac:dyDescent="0.15"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6:28" x14ac:dyDescent="0.15"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6:28" x14ac:dyDescent="0.15"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6:28" x14ac:dyDescent="0.15"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6:28" x14ac:dyDescent="0.15"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6:28" x14ac:dyDescent="0.15"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6:28" x14ac:dyDescent="0.15"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6:28" x14ac:dyDescent="0.15"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6:28" x14ac:dyDescent="0.15"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6:28" x14ac:dyDescent="0.15"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6:28" x14ac:dyDescent="0.15"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6:28" x14ac:dyDescent="0.15"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6:28" x14ac:dyDescent="0.15"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6:28" x14ac:dyDescent="0.15"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6:28" x14ac:dyDescent="0.15"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6:28" x14ac:dyDescent="0.15"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6:28" x14ac:dyDescent="0.15"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6:28" x14ac:dyDescent="0.15"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6:28" x14ac:dyDescent="0.15"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6:28" x14ac:dyDescent="0.15"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6:28" x14ac:dyDescent="0.15"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6:28" x14ac:dyDescent="0.15"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6:28" x14ac:dyDescent="0.15"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6:28" x14ac:dyDescent="0.15"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6:28" x14ac:dyDescent="0.15"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6:28" x14ac:dyDescent="0.15"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6:28" x14ac:dyDescent="0.15"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6:28" x14ac:dyDescent="0.15"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6:28" x14ac:dyDescent="0.15"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6:28" x14ac:dyDescent="0.15"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6:28" x14ac:dyDescent="0.15"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6:28" x14ac:dyDescent="0.15"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6:28" x14ac:dyDescent="0.15"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6:28" x14ac:dyDescent="0.15"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6:28" x14ac:dyDescent="0.15"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6:28" x14ac:dyDescent="0.15"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6:28" x14ac:dyDescent="0.15"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6:28" x14ac:dyDescent="0.15"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6:28" x14ac:dyDescent="0.15"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6:28" x14ac:dyDescent="0.15"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6:28" x14ac:dyDescent="0.15"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6:28" x14ac:dyDescent="0.15"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6:28" x14ac:dyDescent="0.15"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6:28" x14ac:dyDescent="0.15"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6:28" x14ac:dyDescent="0.15"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6:28" x14ac:dyDescent="0.15"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6:28" x14ac:dyDescent="0.15"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6:28" x14ac:dyDescent="0.15"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6:28" x14ac:dyDescent="0.15"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6:28" x14ac:dyDescent="0.15"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6:28" x14ac:dyDescent="0.15"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6:28" x14ac:dyDescent="0.15"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6:28" x14ac:dyDescent="0.15"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6:28" x14ac:dyDescent="0.15"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6:28" x14ac:dyDescent="0.15"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6:28" x14ac:dyDescent="0.15"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6:28" x14ac:dyDescent="0.15"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6:28" x14ac:dyDescent="0.15"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6:28" x14ac:dyDescent="0.15"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6:28" x14ac:dyDescent="0.15"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6:28" x14ac:dyDescent="0.15"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6:28" x14ac:dyDescent="0.15"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6:28" x14ac:dyDescent="0.15"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6:28" x14ac:dyDescent="0.15"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6:28" x14ac:dyDescent="0.15"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6:28" x14ac:dyDescent="0.15"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6:28" x14ac:dyDescent="0.15"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6:28" x14ac:dyDescent="0.15"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6:28" x14ac:dyDescent="0.15"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6:28" x14ac:dyDescent="0.15"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6:28" x14ac:dyDescent="0.15"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6:28" x14ac:dyDescent="0.15"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6:28" x14ac:dyDescent="0.15"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6:28" x14ac:dyDescent="0.15"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6:28" x14ac:dyDescent="0.15"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6:28" x14ac:dyDescent="0.15"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6:28" x14ac:dyDescent="0.15"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6:28" x14ac:dyDescent="0.15"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6:28" x14ac:dyDescent="0.15"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6:28" x14ac:dyDescent="0.15"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6:28" x14ac:dyDescent="0.15"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6:28" x14ac:dyDescent="0.15"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6:28" x14ac:dyDescent="0.15"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6:28" x14ac:dyDescent="0.15"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6:28" x14ac:dyDescent="0.15"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6:28" x14ac:dyDescent="0.15"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6:28" x14ac:dyDescent="0.15"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6:28" x14ac:dyDescent="0.15"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6:28" x14ac:dyDescent="0.15"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6:28" x14ac:dyDescent="0.15"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6:28" x14ac:dyDescent="0.15"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6:28" x14ac:dyDescent="0.15"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6:28" x14ac:dyDescent="0.15"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6:28" x14ac:dyDescent="0.15"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6:28" x14ac:dyDescent="0.15"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6:28" x14ac:dyDescent="0.15"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6:28" x14ac:dyDescent="0.15"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6:28" x14ac:dyDescent="0.15"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6:28" x14ac:dyDescent="0.15"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6:28" x14ac:dyDescent="0.15"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6:28" x14ac:dyDescent="0.15"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6:28" x14ac:dyDescent="0.15"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6:28" x14ac:dyDescent="0.15"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6:28" x14ac:dyDescent="0.15"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6:28" x14ac:dyDescent="0.15"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6:28" x14ac:dyDescent="0.15"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6:28" x14ac:dyDescent="0.15"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6:28" x14ac:dyDescent="0.15"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6:28" x14ac:dyDescent="0.15"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6:28" x14ac:dyDescent="0.15"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6:28" x14ac:dyDescent="0.15"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6:28" x14ac:dyDescent="0.15"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6:28" x14ac:dyDescent="0.15"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6:28" x14ac:dyDescent="0.15"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6:28" x14ac:dyDescent="0.15"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6:28" x14ac:dyDescent="0.15"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6:28" x14ac:dyDescent="0.15"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6:28" x14ac:dyDescent="0.15"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6:28" x14ac:dyDescent="0.15"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6:28" x14ac:dyDescent="0.15"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6:28" x14ac:dyDescent="0.15"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6:28" x14ac:dyDescent="0.15"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6:28" x14ac:dyDescent="0.15"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6:28" x14ac:dyDescent="0.15"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6:28" x14ac:dyDescent="0.15"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6:28" x14ac:dyDescent="0.15"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6:28" x14ac:dyDescent="0.15"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6:28" x14ac:dyDescent="0.15"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6:28" x14ac:dyDescent="0.15"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6:28" x14ac:dyDescent="0.15"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6:28" x14ac:dyDescent="0.15"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6:28" x14ac:dyDescent="0.15"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6:28" x14ac:dyDescent="0.15"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6:28" x14ac:dyDescent="0.15"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6:28" x14ac:dyDescent="0.15"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6:28" x14ac:dyDescent="0.15"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6:28" x14ac:dyDescent="0.15"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6:28" x14ac:dyDescent="0.15"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6:28" x14ac:dyDescent="0.15"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6:28" x14ac:dyDescent="0.15"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6:28" x14ac:dyDescent="0.15"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6:28" x14ac:dyDescent="0.15"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6:28" x14ac:dyDescent="0.15"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6:28" x14ac:dyDescent="0.15"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6:28" x14ac:dyDescent="0.15"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6:28" x14ac:dyDescent="0.15"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6:28" x14ac:dyDescent="0.15"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6:28" x14ac:dyDescent="0.15"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6:28" x14ac:dyDescent="0.15"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6:28" x14ac:dyDescent="0.15"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6:28" x14ac:dyDescent="0.15"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6:28" x14ac:dyDescent="0.15"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6:28" x14ac:dyDescent="0.15"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6:28" x14ac:dyDescent="0.15"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6:28" x14ac:dyDescent="0.15"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6:28" x14ac:dyDescent="0.15"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6:28" x14ac:dyDescent="0.15"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6:28" x14ac:dyDescent="0.15"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6:28" x14ac:dyDescent="0.15"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6:28" x14ac:dyDescent="0.15"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6:28" x14ac:dyDescent="0.15"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6:28" x14ac:dyDescent="0.15"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6:28" x14ac:dyDescent="0.15"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6:28" x14ac:dyDescent="0.15"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6:28" x14ac:dyDescent="0.15"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6:28" x14ac:dyDescent="0.15"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6:28" x14ac:dyDescent="0.15"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6:28" x14ac:dyDescent="0.15"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6:28" x14ac:dyDescent="0.15"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6:28" x14ac:dyDescent="0.15"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6:28" x14ac:dyDescent="0.15"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6:28" x14ac:dyDescent="0.15"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6:28" x14ac:dyDescent="0.15"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6:28" x14ac:dyDescent="0.15"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6:28" x14ac:dyDescent="0.15"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6:28" x14ac:dyDescent="0.15"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6:28" x14ac:dyDescent="0.15"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6:28" x14ac:dyDescent="0.15"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6:28" x14ac:dyDescent="0.15"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6:28" x14ac:dyDescent="0.15"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6:28" x14ac:dyDescent="0.15"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6:28" x14ac:dyDescent="0.15"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6:28" x14ac:dyDescent="0.15"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6:28" x14ac:dyDescent="0.15"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6:28" x14ac:dyDescent="0.15"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6:28" x14ac:dyDescent="0.15"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6:28" x14ac:dyDescent="0.15"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6:28" x14ac:dyDescent="0.15"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6:28" x14ac:dyDescent="0.15"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6:28" x14ac:dyDescent="0.15"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6:28" x14ac:dyDescent="0.15"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6:28" x14ac:dyDescent="0.15"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6:28" x14ac:dyDescent="0.15"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6:28" x14ac:dyDescent="0.15"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6:28" x14ac:dyDescent="0.15"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6:28" x14ac:dyDescent="0.15"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6:28" x14ac:dyDescent="0.15"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6:28" x14ac:dyDescent="0.15"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6:28" x14ac:dyDescent="0.15"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6:28" x14ac:dyDescent="0.15"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6:28" x14ac:dyDescent="0.15"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6:28" x14ac:dyDescent="0.15"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6:28" x14ac:dyDescent="0.15"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6:28" x14ac:dyDescent="0.15"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6:28" x14ac:dyDescent="0.15"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6:28" x14ac:dyDescent="0.15"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6:28" x14ac:dyDescent="0.15"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6:28" x14ac:dyDescent="0.15"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6:28" x14ac:dyDescent="0.15"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6:28" x14ac:dyDescent="0.15"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6:28" x14ac:dyDescent="0.15"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6:28" x14ac:dyDescent="0.15"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6:28" x14ac:dyDescent="0.15"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6:28" x14ac:dyDescent="0.15"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6:28" x14ac:dyDescent="0.15"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6:28" x14ac:dyDescent="0.15"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6:28" x14ac:dyDescent="0.15"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6:28" x14ac:dyDescent="0.15"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6:28" x14ac:dyDescent="0.15"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6:28" x14ac:dyDescent="0.15"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6:28" x14ac:dyDescent="0.15"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6:28" x14ac:dyDescent="0.15"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spans="6:28" x14ac:dyDescent="0.15"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spans="6:28" x14ac:dyDescent="0.15"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spans="6:28" x14ac:dyDescent="0.15"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spans="6:28" x14ac:dyDescent="0.15"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spans="6:28" x14ac:dyDescent="0.15"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spans="6:28" x14ac:dyDescent="0.15"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spans="6:28" x14ac:dyDescent="0.15"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spans="6:28" x14ac:dyDescent="0.15"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spans="6:28" x14ac:dyDescent="0.15"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spans="6:28" x14ac:dyDescent="0.15"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spans="6:28" x14ac:dyDescent="0.15"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spans="6:28" x14ac:dyDescent="0.15"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6:28" x14ac:dyDescent="0.15"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spans="6:28" x14ac:dyDescent="0.15"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spans="6:28" x14ac:dyDescent="0.15"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spans="6:28" x14ac:dyDescent="0.15"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spans="6:28" x14ac:dyDescent="0.15"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spans="6:28" x14ac:dyDescent="0.15"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6:28" x14ac:dyDescent="0.15"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spans="6:28" x14ac:dyDescent="0.15"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spans="6:28" x14ac:dyDescent="0.15"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spans="6:28" x14ac:dyDescent="0.15"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spans="6:28" x14ac:dyDescent="0.15"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spans="6:28" x14ac:dyDescent="0.15"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6:28" x14ac:dyDescent="0.15"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6:28" x14ac:dyDescent="0.15"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spans="6:28" x14ac:dyDescent="0.15"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6:28" x14ac:dyDescent="0.15"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6:28" x14ac:dyDescent="0.15"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spans="6:28" x14ac:dyDescent="0.15"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6:28" x14ac:dyDescent="0.15"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6:28" x14ac:dyDescent="0.15"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spans="6:28" x14ac:dyDescent="0.15"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spans="6:28" x14ac:dyDescent="0.15"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spans="6:28" x14ac:dyDescent="0.15"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6:28" x14ac:dyDescent="0.15"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6:28" x14ac:dyDescent="0.15"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6:28" x14ac:dyDescent="0.15"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6:28" x14ac:dyDescent="0.15"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spans="6:28" x14ac:dyDescent="0.15"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spans="6:28" x14ac:dyDescent="0.15"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spans="6:28" x14ac:dyDescent="0.15"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6:28" x14ac:dyDescent="0.15"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spans="6:28" x14ac:dyDescent="0.15"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spans="6:28" x14ac:dyDescent="0.15"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spans="6:28" x14ac:dyDescent="0.15"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spans="6:28" x14ac:dyDescent="0.15"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spans="6:28" x14ac:dyDescent="0.15"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6:28" x14ac:dyDescent="0.15"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6:28" x14ac:dyDescent="0.15"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6:28" x14ac:dyDescent="0.15"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 spans="6:28" x14ac:dyDescent="0.15"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 spans="6:28" x14ac:dyDescent="0.15"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 spans="6:28" x14ac:dyDescent="0.15"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 spans="6:28" x14ac:dyDescent="0.15"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 spans="6:28" x14ac:dyDescent="0.15"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 spans="6:28" x14ac:dyDescent="0.15"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 spans="6:28" x14ac:dyDescent="0.15"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 spans="6:28" x14ac:dyDescent="0.15"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 spans="6:28" x14ac:dyDescent="0.15"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 spans="6:28" x14ac:dyDescent="0.15"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 spans="6:28" x14ac:dyDescent="0.15"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spans="6:28" x14ac:dyDescent="0.15"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 spans="6:28" x14ac:dyDescent="0.15"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spans="6:28" x14ac:dyDescent="0.15"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 spans="6:28" x14ac:dyDescent="0.15"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 spans="6:28" x14ac:dyDescent="0.15"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 spans="6:28" x14ac:dyDescent="0.15"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spans="6:28" x14ac:dyDescent="0.15"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 spans="6:28" x14ac:dyDescent="0.15"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 spans="6:28" x14ac:dyDescent="0.15"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 spans="6:28" x14ac:dyDescent="0.15"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 spans="6:28" x14ac:dyDescent="0.15"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 spans="6:28" x14ac:dyDescent="0.15"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spans="6:28" x14ac:dyDescent="0.15"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 spans="6:28" x14ac:dyDescent="0.15"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 spans="6:28" x14ac:dyDescent="0.15"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 spans="6:28" x14ac:dyDescent="0.15"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 spans="6:28" x14ac:dyDescent="0.15"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 spans="6:28" x14ac:dyDescent="0.15"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6:28" x14ac:dyDescent="0.15"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 spans="6:28" x14ac:dyDescent="0.15"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 spans="6:28" x14ac:dyDescent="0.15"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 spans="6:28" x14ac:dyDescent="0.15"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 spans="6:28" x14ac:dyDescent="0.15"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 spans="6:28" x14ac:dyDescent="0.15"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spans="6:28" x14ac:dyDescent="0.15"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 spans="6:28" x14ac:dyDescent="0.15"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 spans="6:28" x14ac:dyDescent="0.15"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 spans="6:28" x14ac:dyDescent="0.15"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 spans="6:28" x14ac:dyDescent="0.15"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 spans="6:28" x14ac:dyDescent="0.15"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spans="6:28" x14ac:dyDescent="0.15"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 spans="6:28" x14ac:dyDescent="0.15"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 spans="6:28" x14ac:dyDescent="0.15"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 spans="6:28" x14ac:dyDescent="0.15"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 spans="6:28" x14ac:dyDescent="0.15"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 spans="6:28" x14ac:dyDescent="0.15"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6:28" x14ac:dyDescent="0.15"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 spans="6:28" x14ac:dyDescent="0.15"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 spans="6:28" x14ac:dyDescent="0.15"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 spans="6:28" x14ac:dyDescent="0.15"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 spans="6:28" x14ac:dyDescent="0.15"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 spans="6:28" x14ac:dyDescent="0.15"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 spans="6:28" x14ac:dyDescent="0.15"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 spans="6:28" x14ac:dyDescent="0.15"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 spans="6:28" x14ac:dyDescent="0.15"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 spans="6:28" x14ac:dyDescent="0.15"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 spans="6:28" x14ac:dyDescent="0.15"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 spans="6:28" x14ac:dyDescent="0.15"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 spans="6:28" x14ac:dyDescent="0.15"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 spans="6:28" x14ac:dyDescent="0.15"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 spans="6:28" x14ac:dyDescent="0.15"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 spans="6:28" x14ac:dyDescent="0.15"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6:28" x14ac:dyDescent="0.15"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 spans="6:28" x14ac:dyDescent="0.15"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 spans="6:28" x14ac:dyDescent="0.15"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 spans="6:28" x14ac:dyDescent="0.15"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 spans="6:28" x14ac:dyDescent="0.15"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 spans="6:28" x14ac:dyDescent="0.15"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 spans="6:28" x14ac:dyDescent="0.15"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 spans="6:28" x14ac:dyDescent="0.15"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 spans="6:28" x14ac:dyDescent="0.15"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 spans="6:28" x14ac:dyDescent="0.15"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 spans="6:28" x14ac:dyDescent="0.15"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 spans="6:28" x14ac:dyDescent="0.15"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 spans="6:28" x14ac:dyDescent="0.15"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 spans="6:28" x14ac:dyDescent="0.15"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 spans="6:28" x14ac:dyDescent="0.15"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 spans="6:28" x14ac:dyDescent="0.15"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 spans="6:28" x14ac:dyDescent="0.15"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 spans="6:28" x14ac:dyDescent="0.15"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 spans="6:28" x14ac:dyDescent="0.15"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 spans="6:28" x14ac:dyDescent="0.15"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 spans="6:28" x14ac:dyDescent="0.15"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 spans="6:28" x14ac:dyDescent="0.15"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 spans="6:28" x14ac:dyDescent="0.15"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 spans="6:28" x14ac:dyDescent="0.15"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 spans="6:28" x14ac:dyDescent="0.15"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 spans="6:28" x14ac:dyDescent="0.15"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 spans="6:28" x14ac:dyDescent="0.15"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 spans="6:28" x14ac:dyDescent="0.15"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 spans="6:28" x14ac:dyDescent="0.15"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 spans="6:28" x14ac:dyDescent="0.15"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 spans="6:28" x14ac:dyDescent="0.15"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 spans="6:28" x14ac:dyDescent="0.15"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 spans="6:28" x14ac:dyDescent="0.15"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 spans="6:28" x14ac:dyDescent="0.15"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 spans="6:28" x14ac:dyDescent="0.15"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 spans="6:28" x14ac:dyDescent="0.15"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spans="6:28" x14ac:dyDescent="0.15"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 spans="6:28" x14ac:dyDescent="0.15"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 spans="6:28" x14ac:dyDescent="0.15"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 spans="6:28" x14ac:dyDescent="0.15"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 spans="6:28" x14ac:dyDescent="0.15"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 spans="6:28" x14ac:dyDescent="0.15"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 spans="6:28" x14ac:dyDescent="0.15"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 spans="6:28" x14ac:dyDescent="0.15"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 spans="6:28" x14ac:dyDescent="0.15"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 spans="6:28" x14ac:dyDescent="0.15"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 spans="6:28" x14ac:dyDescent="0.15"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 spans="6:28" x14ac:dyDescent="0.15"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 spans="6:28" x14ac:dyDescent="0.15"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 spans="6:28" x14ac:dyDescent="0.15"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 spans="6:28" x14ac:dyDescent="0.15"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 spans="6:28" x14ac:dyDescent="0.15"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 spans="6:28" x14ac:dyDescent="0.15"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 spans="6:28" x14ac:dyDescent="0.15"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 spans="6:28" x14ac:dyDescent="0.15"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 spans="6:28" x14ac:dyDescent="0.15"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 spans="6:28" x14ac:dyDescent="0.15"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 spans="6:28" x14ac:dyDescent="0.15"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 spans="6:28" x14ac:dyDescent="0.15"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 spans="6:28" x14ac:dyDescent="0.15"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 spans="6:28" x14ac:dyDescent="0.15"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 spans="6:28" x14ac:dyDescent="0.15"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 spans="6:28" x14ac:dyDescent="0.15"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 spans="6:28" x14ac:dyDescent="0.15"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 spans="6:28" x14ac:dyDescent="0.15"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 spans="6:28" x14ac:dyDescent="0.15"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 spans="6:28" x14ac:dyDescent="0.15"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 spans="6:28" x14ac:dyDescent="0.15"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 spans="6:28" x14ac:dyDescent="0.15"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 spans="6:28" x14ac:dyDescent="0.15"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 spans="6:28" x14ac:dyDescent="0.15"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 spans="6:28" x14ac:dyDescent="0.15"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 spans="6:28" x14ac:dyDescent="0.15"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 spans="6:28" x14ac:dyDescent="0.15"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 spans="6:28" x14ac:dyDescent="0.15"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 spans="6:28" x14ac:dyDescent="0.15"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 spans="6:28" x14ac:dyDescent="0.15"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 spans="6:28" x14ac:dyDescent="0.15"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 spans="6:28" x14ac:dyDescent="0.15"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 spans="6:28" x14ac:dyDescent="0.15"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 spans="6:28" x14ac:dyDescent="0.15"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 spans="6:28" x14ac:dyDescent="0.15"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 spans="6:28" x14ac:dyDescent="0.15"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 spans="6:28" x14ac:dyDescent="0.15"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 spans="6:28" x14ac:dyDescent="0.15"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 spans="6:28" x14ac:dyDescent="0.15"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 spans="6:28" x14ac:dyDescent="0.15"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 spans="6:28" x14ac:dyDescent="0.15"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 spans="6:28" x14ac:dyDescent="0.15"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 spans="6:28" x14ac:dyDescent="0.15"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 spans="6:28" x14ac:dyDescent="0.15"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 spans="6:28" x14ac:dyDescent="0.15"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 spans="6:28" x14ac:dyDescent="0.15"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 spans="6:28" x14ac:dyDescent="0.15"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 spans="6:28" x14ac:dyDescent="0.15"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 spans="6:28" x14ac:dyDescent="0.15"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 spans="6:28" x14ac:dyDescent="0.15"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 spans="6:28" x14ac:dyDescent="0.15"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 spans="6:28" x14ac:dyDescent="0.15"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 spans="6:28" x14ac:dyDescent="0.15"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 spans="6:28" x14ac:dyDescent="0.15"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 spans="6:28" x14ac:dyDescent="0.15"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 spans="6:28" x14ac:dyDescent="0.15"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 spans="6:28" x14ac:dyDescent="0.15"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 spans="6:28" x14ac:dyDescent="0.15"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 spans="6:28" x14ac:dyDescent="0.15"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 spans="6:28" x14ac:dyDescent="0.15"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 spans="6:28" x14ac:dyDescent="0.15"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 spans="6:28" x14ac:dyDescent="0.15"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 spans="6:28" x14ac:dyDescent="0.15"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 spans="6:28" x14ac:dyDescent="0.15"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 spans="6:28" x14ac:dyDescent="0.15"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 spans="6:28" x14ac:dyDescent="0.15"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 spans="6:28" x14ac:dyDescent="0.15"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 spans="6:28" x14ac:dyDescent="0.15"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 spans="6:28" x14ac:dyDescent="0.15"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 spans="6:28" x14ac:dyDescent="0.15"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 spans="6:28" x14ac:dyDescent="0.15"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 spans="6:28" x14ac:dyDescent="0.15"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 spans="6:28" x14ac:dyDescent="0.15"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 spans="6:28" x14ac:dyDescent="0.15"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 spans="6:28" x14ac:dyDescent="0.15"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 spans="6:28" x14ac:dyDescent="0.15"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 spans="6:28" x14ac:dyDescent="0.15"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 spans="6:28" x14ac:dyDescent="0.15"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 spans="6:28" x14ac:dyDescent="0.15"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 spans="6:28" x14ac:dyDescent="0.15"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 spans="6:28" x14ac:dyDescent="0.15"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 spans="6:28" x14ac:dyDescent="0.15"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 spans="6:28" x14ac:dyDescent="0.15"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 spans="6:28" x14ac:dyDescent="0.15"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 spans="6:28" x14ac:dyDescent="0.15"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 spans="6:28" x14ac:dyDescent="0.15"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 spans="6:28" x14ac:dyDescent="0.15"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 spans="6:28" x14ac:dyDescent="0.15"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 spans="6:28" x14ac:dyDescent="0.15"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 spans="6:28" x14ac:dyDescent="0.15"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 spans="6:28" x14ac:dyDescent="0.15"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 spans="6:28" x14ac:dyDescent="0.15"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 spans="6:28" x14ac:dyDescent="0.15"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 spans="6:28" x14ac:dyDescent="0.15"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 spans="6:28" x14ac:dyDescent="0.15"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 spans="6:28" x14ac:dyDescent="0.15"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 spans="6:28" x14ac:dyDescent="0.15"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 spans="6:28" x14ac:dyDescent="0.15"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 spans="6:28" x14ac:dyDescent="0.15"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 spans="6:28" x14ac:dyDescent="0.15"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 spans="6:28" x14ac:dyDescent="0.15"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 spans="6:28" x14ac:dyDescent="0.15"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 spans="6:28" x14ac:dyDescent="0.15"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 spans="6:28" x14ac:dyDescent="0.15"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 spans="6:28" x14ac:dyDescent="0.15"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 spans="6:28" x14ac:dyDescent="0.15"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 spans="6:28" x14ac:dyDescent="0.15"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 spans="6:28" x14ac:dyDescent="0.15"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 spans="6:28" x14ac:dyDescent="0.15"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 spans="6:28" x14ac:dyDescent="0.15"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 spans="6:28" x14ac:dyDescent="0.15"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 spans="6:28" x14ac:dyDescent="0.15"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 spans="6:28" x14ac:dyDescent="0.15"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 spans="6:28" x14ac:dyDescent="0.15"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 spans="6:28" x14ac:dyDescent="0.15"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 spans="6:28" x14ac:dyDescent="0.15"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 spans="6:28" x14ac:dyDescent="0.15"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 spans="6:28" x14ac:dyDescent="0.15"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 spans="6:28" x14ac:dyDescent="0.15"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 spans="6:28" x14ac:dyDescent="0.15"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 spans="6:28" x14ac:dyDescent="0.15"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 spans="6:28" x14ac:dyDescent="0.15"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 spans="6:28" x14ac:dyDescent="0.15"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spans="6:28" x14ac:dyDescent="0.15"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 spans="6:28" x14ac:dyDescent="0.15"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 spans="6:28" x14ac:dyDescent="0.15"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 spans="6:28" x14ac:dyDescent="0.15"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 spans="6:28" x14ac:dyDescent="0.15"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 spans="6:28" x14ac:dyDescent="0.15"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 spans="6:28" x14ac:dyDescent="0.15"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 spans="6:28" x14ac:dyDescent="0.15"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 spans="6:28" x14ac:dyDescent="0.15"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 spans="6:28" x14ac:dyDescent="0.15"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 spans="6:28" x14ac:dyDescent="0.15"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 spans="6:28" x14ac:dyDescent="0.15"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 spans="6:28" x14ac:dyDescent="0.15"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 spans="6:28" x14ac:dyDescent="0.15"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 spans="6:28" x14ac:dyDescent="0.15"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 spans="6:28" x14ac:dyDescent="0.15"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 spans="6:28" x14ac:dyDescent="0.15"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 spans="6:28" x14ac:dyDescent="0.15"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 spans="6:28" x14ac:dyDescent="0.15"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 spans="6:28" x14ac:dyDescent="0.15"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 spans="6:28" x14ac:dyDescent="0.15"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 spans="6:28" x14ac:dyDescent="0.15"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 spans="6:28" x14ac:dyDescent="0.15"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 spans="6:28" x14ac:dyDescent="0.15"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 spans="6:28" x14ac:dyDescent="0.15"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 spans="6:28" x14ac:dyDescent="0.15"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 spans="6:28" x14ac:dyDescent="0.15"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 spans="6:28" x14ac:dyDescent="0.15"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 spans="6:28" x14ac:dyDescent="0.15"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 spans="6:28" x14ac:dyDescent="0.15"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 spans="6:28" x14ac:dyDescent="0.15"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 spans="6:28" x14ac:dyDescent="0.15"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 spans="6:28" x14ac:dyDescent="0.15"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 spans="6:28" x14ac:dyDescent="0.15"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 spans="6:28" x14ac:dyDescent="0.15"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 spans="6:28" x14ac:dyDescent="0.15"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 spans="6:28" x14ac:dyDescent="0.15"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 spans="6:28" x14ac:dyDescent="0.15"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 spans="6:28" x14ac:dyDescent="0.15"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 spans="6:28" x14ac:dyDescent="0.15"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 spans="6:28" x14ac:dyDescent="0.15"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 spans="6:28" x14ac:dyDescent="0.15"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 spans="6:28" x14ac:dyDescent="0.15"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 spans="6:28" x14ac:dyDescent="0.15"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 spans="6:28" x14ac:dyDescent="0.15"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 spans="6:28" x14ac:dyDescent="0.15"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 spans="6:28" x14ac:dyDescent="0.15"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 spans="6:28" x14ac:dyDescent="0.15"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 spans="6:28" x14ac:dyDescent="0.15"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 spans="6:28" x14ac:dyDescent="0.15"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 spans="6:28" x14ac:dyDescent="0.15"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 spans="6:28" x14ac:dyDescent="0.15"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 spans="6:28" x14ac:dyDescent="0.15"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 spans="6:28" x14ac:dyDescent="0.15"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 spans="6:28" x14ac:dyDescent="0.15"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 spans="6:28" x14ac:dyDescent="0.15"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T740" s="15"/>
      <c r="U740" s="15"/>
      <c r="V740" s="15"/>
      <c r="W740" s="15"/>
      <c r="X740" s="15"/>
      <c r="Y740" s="15"/>
      <c r="Z740" s="15"/>
      <c r="AA740" s="15"/>
      <c r="AB740" s="15"/>
    </row>
  </sheetData>
  <conditionalFormatting sqref="B2">
    <cfRule type="cellIs" dxfId="1" priority="7" operator="equal">
      <formula>TRUE</formula>
    </cfRule>
  </conditionalFormatting>
  <conditionalFormatting sqref="C36">
    <cfRule type="cellIs" dxfId="0" priority="10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Konstantin Kloepfer</cp:lastModifiedBy>
  <dcterms:created xsi:type="dcterms:W3CDTF">2025-03-27T19:40:13Z</dcterms:created>
  <dcterms:modified xsi:type="dcterms:W3CDTF">2025-05-21T22:08:07Z</dcterms:modified>
</cp:coreProperties>
</file>