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\Models\"/>
    </mc:Choice>
  </mc:AlternateContent>
  <xr:revisionPtr revIDLastSave="0" documentId="13_ncr:1_{1BBA772C-6B26-4019-BDE4-190763BC2861}" xr6:coauthVersionLast="47" xr6:coauthVersionMax="47" xr10:uidLastSave="{00000000-0000-0000-0000-000000000000}"/>
  <bookViews>
    <workbookView xWindow="-105" yWindow="0" windowWidth="26010" windowHeight="20985" tabRatio="767" activeTab="5" xr2:uid="{A454576F-BA0E-4C95-85A1-1E0F525C6E61}"/>
  </bookViews>
  <sheets>
    <sheet name="Cover" sheetId="3" r:id="rId1"/>
    <sheet name="Manual" sheetId="1" r:id="rId2"/>
    <sheet name="Disclaimer" sheetId="2" r:id="rId3"/>
    <sheet name="Input" sheetId="4" r:id="rId4"/>
    <sheet name="WORKINGS&gt;&gt;" sheetId="9" r:id="rId5"/>
    <sheet name="Historical" sheetId="10" r:id="rId6"/>
    <sheet name="INPUT&gt;&gt;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3" i="10" l="1"/>
  <c r="M46" i="10"/>
  <c r="L47" i="10"/>
  <c r="L48" i="10" s="1"/>
  <c r="L51" i="10" s="1"/>
  <c r="K47" i="10"/>
  <c r="J47" i="10"/>
  <c r="I47" i="10"/>
  <c r="H47" i="10"/>
  <c r="H48" i="10" s="1"/>
  <c r="H51" i="10" s="1"/>
  <c r="G47" i="10"/>
  <c r="F47" i="10"/>
  <c r="N46" i="10"/>
  <c r="M45" i="10"/>
  <c r="N45" i="10"/>
  <c r="M44" i="10"/>
  <c r="N44" i="10"/>
  <c r="M43" i="10"/>
  <c r="N43" i="10"/>
  <c r="M42" i="10"/>
  <c r="M47" i="10" s="1"/>
  <c r="M48" i="10" s="1"/>
  <c r="M51" i="10" s="1"/>
  <c r="N42" i="10"/>
  <c r="N47" i="10" s="1"/>
  <c r="N48" i="10" s="1"/>
  <c r="N51" i="10" s="1"/>
  <c r="L41" i="10"/>
  <c r="K41" i="10"/>
  <c r="J41" i="10"/>
  <c r="I41" i="10"/>
  <c r="H41" i="10"/>
  <c r="G41" i="10"/>
  <c r="F41" i="10"/>
  <c r="M41" i="10"/>
  <c r="N41" i="10"/>
  <c r="L36" i="10"/>
  <c r="L37" i="10" s="1"/>
  <c r="K36" i="10"/>
  <c r="J36" i="10"/>
  <c r="I36" i="10"/>
  <c r="H36" i="10"/>
  <c r="H37" i="10" s="1"/>
  <c r="G36" i="10"/>
  <c r="F36" i="10"/>
  <c r="N36" i="10"/>
  <c r="M35" i="10"/>
  <c r="M36" i="10" s="1"/>
  <c r="N35" i="10"/>
  <c r="L31" i="10"/>
  <c r="K31" i="10"/>
  <c r="J31" i="10"/>
  <c r="I31" i="10"/>
  <c r="H31" i="10"/>
  <c r="G31" i="10"/>
  <c r="F31" i="10"/>
  <c r="M30" i="10"/>
  <c r="M31" i="10" s="1"/>
  <c r="N30" i="10"/>
  <c r="N31" i="10" s="1"/>
  <c r="E26" i="10"/>
  <c r="E8" i="10"/>
  <c r="M18" i="10"/>
  <c r="L18" i="10"/>
  <c r="K18" i="10"/>
  <c r="J18" i="10"/>
  <c r="I18" i="10"/>
  <c r="H18" i="10"/>
  <c r="G18" i="10"/>
  <c r="F18" i="10"/>
  <c r="N18" i="10"/>
  <c r="K15" i="10"/>
  <c r="J15" i="10"/>
  <c r="I15" i="10"/>
  <c r="H15" i="10"/>
  <c r="G15" i="10"/>
  <c r="F15" i="10"/>
  <c r="M15" i="10"/>
  <c r="L15" i="10"/>
  <c r="N15" i="10"/>
  <c r="D5" i="10"/>
  <c r="D3" i="10"/>
  <c r="A3" i="4"/>
  <c r="A1" i="4"/>
  <c r="A3" i="2"/>
  <c r="A1" i="2"/>
  <c r="A2" i="3"/>
  <c r="A2" i="2" s="1"/>
  <c r="F37" i="10" l="1"/>
  <c r="J48" i="10"/>
  <c r="J51" i="10" s="1"/>
  <c r="G37" i="10"/>
  <c r="K48" i="10"/>
  <c r="K51" i="10" s="1"/>
  <c r="I37" i="10"/>
  <c r="J37" i="10"/>
  <c r="F48" i="10"/>
  <c r="F51" i="10" s="1"/>
  <c r="C51" i="10" s="1" a="1"/>
  <c r="C51" i="10" s="1"/>
  <c r="K37" i="10"/>
  <c r="G48" i="10"/>
  <c r="G51" i="10" s="1"/>
  <c r="N37" i="10"/>
  <c r="I48" i="10"/>
  <c r="I51" i="10" s="1"/>
  <c r="M37" i="10"/>
  <c r="N19" i="10"/>
  <c r="N21" i="10" s="1"/>
  <c r="N24" i="10" s="1"/>
  <c r="F19" i="10"/>
  <c r="F21" i="10" s="1"/>
  <c r="F24" i="10" s="1"/>
  <c r="G19" i="10"/>
  <c r="G21" i="10" s="1"/>
  <c r="G24" i="10" s="1"/>
  <c r="I19" i="10"/>
  <c r="I21" i="10" s="1"/>
  <c r="I24" i="10" s="1"/>
  <c r="K19" i="10"/>
  <c r="K21" i="10" s="1"/>
  <c r="K24" i="10" s="1"/>
  <c r="H19" i="10"/>
  <c r="H21" i="10" s="1"/>
  <c r="H24" i="10" s="1"/>
  <c r="J19" i="10"/>
  <c r="J21" i="10" s="1"/>
  <c r="J24" i="10" s="1"/>
  <c r="L19" i="10"/>
  <c r="L21" i="10" s="1"/>
  <c r="L24" i="10" s="1"/>
  <c r="M19" i="10"/>
  <c r="M21" i="10" s="1"/>
  <c r="M24" i="10" s="1"/>
  <c r="A2" i="4"/>
  <c r="D4" i="10"/>
  <c r="A2" i="1"/>
  <c r="A3" i="1"/>
  <c r="A1" i="3"/>
  <c r="C24" i="10" l="1" a="1"/>
  <c r="C24" i="10" s="1"/>
  <c r="B2" i="10" s="1"/>
  <c r="A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<sst xmlns="http://schemas.openxmlformats.org/spreadsheetml/2006/main" count="86" uniqueCount="72">
  <si>
    <t>Font</t>
  </si>
  <si>
    <t>Arial</t>
  </si>
  <si>
    <t>Size</t>
  </si>
  <si>
    <t>Hard-coded</t>
  </si>
  <si>
    <t>Blue</t>
  </si>
  <si>
    <t>Formula</t>
  </si>
  <si>
    <t>Black</t>
  </si>
  <si>
    <t>Direct link</t>
  </si>
  <si>
    <t>Green</t>
  </si>
  <si>
    <t>Different file</t>
  </si>
  <si>
    <t>Red</t>
  </si>
  <si>
    <r>
      <t xml:space="preserve">This Excel file is intended </t>
    </r>
    <r>
      <rPr>
        <b/>
        <sz val="10"/>
        <color theme="1"/>
        <rFont val="Arial"/>
        <family val="2"/>
      </rPr>
      <t>solely for educational and informational purposes</t>
    </r>
    <r>
      <rPr>
        <sz val="10"/>
        <color theme="1"/>
        <rFont val="Arial"/>
        <family val="2"/>
      </rPr>
      <t>.</t>
    </r>
  </si>
  <si>
    <r>
      <t xml:space="preserve">The analysis, assumptions, and valuation contained herein represent a personal exercise in financial modeling and do </t>
    </r>
    <r>
      <rPr>
        <b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constitute investment advice, a recommendation to buy or sell any security, or a solicitation of any kind.</t>
    </r>
  </si>
  <si>
    <t>While efforts have been made to ensure accuracy, no representation or warranty is made as to the completeness, reliability, or accuracy of the data or calculations.</t>
  </si>
  <si>
    <t>Always conduct your own research and consult with a qualified financial advisor before making any investment decisions.</t>
  </si>
  <si>
    <t>Use at your own risk.</t>
  </si>
  <si>
    <t>Company legal name</t>
  </si>
  <si>
    <t>Company short name</t>
  </si>
  <si>
    <t>Ticker</t>
  </si>
  <si>
    <t>Educational purposes only, no financial advice</t>
  </si>
  <si>
    <t>FY end</t>
  </si>
  <si>
    <t>BHP</t>
  </si>
  <si>
    <t>Country</t>
  </si>
  <si>
    <t>Australia</t>
  </si>
  <si>
    <t>Exchange</t>
  </si>
  <si>
    <t>NYSE</t>
  </si>
  <si>
    <t>USDmn</t>
  </si>
  <si>
    <t>Revenue</t>
  </si>
  <si>
    <t>Other income</t>
  </si>
  <si>
    <t>Expenses (excl. finance costs)</t>
  </si>
  <si>
    <t>Accounting of equity investments</t>
  </si>
  <si>
    <t>Financial expenses</t>
  </si>
  <si>
    <t>Financial income</t>
  </si>
  <si>
    <t>Net financial result</t>
  </si>
  <si>
    <t>Operating profit (EBIT)</t>
  </si>
  <si>
    <t>EBT</t>
  </si>
  <si>
    <t>Taxes</t>
  </si>
  <si>
    <t>Net income</t>
  </si>
  <si>
    <t>Check</t>
  </si>
  <si>
    <t>Source</t>
  </si>
  <si>
    <t>BHP Group Limited</t>
  </si>
  <si>
    <t>Jun 16</t>
  </si>
  <si>
    <t>Jun 17</t>
  </si>
  <si>
    <t>Jun 18</t>
  </si>
  <si>
    <t>Jun 19</t>
  </si>
  <si>
    <t>Jun 20</t>
  </si>
  <si>
    <t>Jun 21</t>
  </si>
  <si>
    <t>Jun 22</t>
  </si>
  <si>
    <t>Jun 23</t>
  </si>
  <si>
    <t>Jun 24</t>
  </si>
  <si>
    <t>Cash</t>
  </si>
  <si>
    <t>Receivables</t>
  </si>
  <si>
    <t>Inventory</t>
  </si>
  <si>
    <t>Other</t>
  </si>
  <si>
    <t>PPE</t>
  </si>
  <si>
    <t>Other fixed assets</t>
  </si>
  <si>
    <t>Fixed assets</t>
  </si>
  <si>
    <t>Other current assets</t>
  </si>
  <si>
    <t>Current assets</t>
  </si>
  <si>
    <t>Total assets</t>
  </si>
  <si>
    <t>Total liabilities</t>
  </si>
  <si>
    <t>SE</t>
  </si>
  <si>
    <t>Non-controlling interests</t>
  </si>
  <si>
    <t>Total equity</t>
  </si>
  <si>
    <t>Payables</t>
  </si>
  <si>
    <t>Interest bearing liabilities</t>
  </si>
  <si>
    <t>Provisions</t>
  </si>
  <si>
    <t>Other financial liabilities</t>
  </si>
  <si>
    <t>Total L + E</t>
  </si>
  <si>
    <t>CFFO</t>
  </si>
  <si>
    <t>CapEX</t>
  </si>
  <si>
    <t>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</si>
</sst>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66CC"/>
      <name val="Arial"/>
      <family val="2"/>
    </font>
    <font>
      <sz val="10"/>
      <color rgb="FF009900"/>
      <name val="Arial"/>
      <family val="2"/>
    </font>
    <font>
      <sz val="10"/>
      <color rgb="FF800000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0" fillId="3" borderId="0" xfId="0" applyFill="1"/>
    <xf numFmtId="0" fontId="0" fillId="0" borderId="0" xfId="0" applyFont="1"/>
    <xf numFmtId="44" fontId="0" fillId="0" borderId="0" xfId="0" applyNumberFormat="1"/>
    <xf numFmtId="0" fontId="8" fillId="4" borderId="0" xfId="0" applyFont="1" applyFill="1"/>
    <xf numFmtId="0" fontId="3" fillId="2" borderId="1" xfId="0" applyFont="1" applyFill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indent="2"/>
    </xf>
    <xf numFmtId="0" fontId="8" fillId="5" borderId="0" xfId="0" applyFont="1" applyFill="1" applyAlignment="1">
      <alignment horizontal="center"/>
    </xf>
    <xf numFmtId="41" fontId="0" fillId="0" borderId="0" xfId="0" applyNumberFormat="1"/>
    <xf numFmtId="41" fontId="2" fillId="0" borderId="0" xfId="0" applyNumberFormat="1" applyFont="1"/>
    <xf numFmtId="41" fontId="0" fillId="0" borderId="2" xfId="0" applyNumberFormat="1" applyBorder="1"/>
    <xf numFmtId="41" fontId="0" fillId="3" borderId="0" xfId="0" applyNumberFormat="1" applyFill="1"/>
    <xf numFmtId="41" fontId="2" fillId="0" borderId="3" xfId="0" applyNumberFormat="1" applyFont="1" applyBorder="1"/>
    <xf numFmtId="41" fontId="2" fillId="0" borderId="4" xfId="0" applyNumberFormat="1" applyFont="1" applyBorder="1"/>
    <xf numFmtId="0" fontId="8" fillId="4" borderId="0" xfId="0" quotePrefix="1" applyFont="1" applyFill="1" applyAlignment="1">
      <alignment horizontal="right"/>
    </xf>
    <xf numFmtId="0" fontId="0" fillId="0" borderId="0" xfId="0" applyFont="1" applyAlignment="1">
      <alignment horizontal="left" indent="1"/>
    </xf>
    <xf numFmtId="41" fontId="3" fillId="2" borderId="0" xfId="0" applyNumberFormat="1" applyFont="1" applyFill="1"/>
  </cellXfs>
  <cellStyles count="1">
    <cellStyle name="Normal" xfId="0" builtinId="0"/>
  </cellStyles>
  <dxfs count="6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A30F-7712-4A10-A98D-9E4BF660F167}">
  <sheetPr>
    <tabColor theme="6"/>
  </sheetPr>
  <dimension ref="A1:A3"/>
  <sheetViews>
    <sheetView showGridLines="0" workbookViewId="0">
      <selection activeCell="A3" sqref="A3"/>
    </sheetView>
  </sheetViews>
  <sheetFormatPr defaultRowHeight="12.75" x14ac:dyDescent="0.2"/>
  <sheetData>
    <row r="1" spans="1:1" x14ac:dyDescent="0.2">
      <c r="A1" s="7" t="str">
        <f ca="1">MID(CELL("filename",A1),FIND("]",CELL("filename",A1))+1,256)</f>
        <v>Cover</v>
      </c>
    </row>
    <row r="2" spans="1:1" x14ac:dyDescent="0.2">
      <c r="A2" s="6" t="str">
        <f>"Indicative valuation of "&amp;IF(Input!E7="","###",Input!E7)&amp;": Public information"</f>
        <v>Indicative valuation of BHP Group Limited: Public information</v>
      </c>
    </row>
    <row r="3" spans="1:1" x14ac:dyDescent="0.2">
      <c r="A3" s="6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B520-2803-4BDC-ACDB-778D17581A2C}">
  <sheetPr>
    <tabColor theme="6"/>
  </sheetPr>
  <dimension ref="A1:D11"/>
  <sheetViews>
    <sheetView showGridLines="0" workbookViewId="0">
      <selection activeCell="D8" sqref="D8"/>
    </sheetView>
  </sheetViews>
  <sheetFormatPr defaultRowHeight="12.75" x14ac:dyDescent="0.2"/>
  <cols>
    <col min="4" max="4" width="10.28515625" bestFit="1" customWidth="1"/>
  </cols>
  <sheetData>
    <row r="1" spans="1:4" x14ac:dyDescent="0.2">
      <c r="A1" s="5" t="str">
        <f ca="1">MID(CELL("filename",A1),FIND("]",CELL("filename",A1))+1,256)</f>
        <v>Manual</v>
      </c>
    </row>
    <row r="2" spans="1:4" x14ac:dyDescent="0.2">
      <c r="A2" s="6" t="str">
        <f>Cover!$A$2</f>
        <v>Indicative valuation of BHP Group Limited: Public information</v>
      </c>
    </row>
    <row r="3" spans="1:4" x14ac:dyDescent="0.2">
      <c r="A3" s="6" t="str">
        <f>Cover!$A$3</f>
        <v>Educational purposes only, no financial advice</v>
      </c>
    </row>
    <row r="5" spans="1:4" x14ac:dyDescent="0.2">
      <c r="B5" s="1" t="s">
        <v>0</v>
      </c>
      <c r="C5" s="1" t="s">
        <v>1</v>
      </c>
    </row>
    <row r="6" spans="1:4" x14ac:dyDescent="0.2">
      <c r="B6" s="1" t="s">
        <v>2</v>
      </c>
      <c r="C6" s="1">
        <v>10</v>
      </c>
    </row>
    <row r="7" spans="1:4" x14ac:dyDescent="0.2">
      <c r="B7" s="1"/>
      <c r="C7" s="1"/>
    </row>
    <row r="8" spans="1:4" x14ac:dyDescent="0.2">
      <c r="B8" s="1" t="s">
        <v>3</v>
      </c>
      <c r="C8" s="2" t="s">
        <v>4</v>
      </c>
      <c r="D8" s="27">
        <v>1234</v>
      </c>
    </row>
    <row r="9" spans="1:4" x14ac:dyDescent="0.2">
      <c r="B9" s="1" t="s">
        <v>5</v>
      </c>
      <c r="C9" s="1" t="s">
        <v>6</v>
      </c>
    </row>
    <row r="10" spans="1:4" x14ac:dyDescent="0.2">
      <c r="B10" s="1" t="s">
        <v>7</v>
      </c>
      <c r="C10" s="3" t="s">
        <v>8</v>
      </c>
    </row>
    <row r="11" spans="1:4" x14ac:dyDescent="0.2">
      <c r="B11" s="1" t="s">
        <v>9</v>
      </c>
      <c r="C11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ED60-5D58-4477-A45E-08C960351F6B}">
  <sheetPr>
    <tabColor theme="6"/>
  </sheetPr>
  <dimension ref="A1:B9"/>
  <sheetViews>
    <sheetView showGridLines="0" workbookViewId="0">
      <selection sqref="A1:XFD3"/>
    </sheetView>
  </sheetViews>
  <sheetFormatPr defaultRowHeight="12.75" x14ac:dyDescent="0.2"/>
  <sheetData>
    <row r="1" spans="1:2" x14ac:dyDescent="0.2">
      <c r="A1" s="5" t="str">
        <f ca="1">MID(CELL("filename",A1),FIND("]",CELL("filename",A1))+1,256)</f>
        <v>Disclaimer</v>
      </c>
    </row>
    <row r="2" spans="1:2" x14ac:dyDescent="0.2">
      <c r="A2" s="6" t="str">
        <f>Cover!$A$2</f>
        <v>Indicative valuation of BHP Group Limited: Public information</v>
      </c>
    </row>
    <row r="3" spans="1:2" x14ac:dyDescent="0.2">
      <c r="A3" s="6" t="str">
        <f>Cover!$A$3</f>
        <v>Educational purposes only, no financial advice</v>
      </c>
    </row>
    <row r="5" spans="1:2" x14ac:dyDescent="0.2">
      <c r="B5" s="1" t="s">
        <v>11</v>
      </c>
    </row>
    <row r="6" spans="1:2" x14ac:dyDescent="0.2">
      <c r="B6" s="1" t="s">
        <v>12</v>
      </c>
    </row>
    <row r="7" spans="1:2" x14ac:dyDescent="0.2">
      <c r="B7" s="1" t="s">
        <v>13</v>
      </c>
    </row>
    <row r="8" spans="1:2" x14ac:dyDescent="0.2">
      <c r="B8" s="1" t="s">
        <v>14</v>
      </c>
    </row>
    <row r="9" spans="1:2" x14ac:dyDescent="0.2">
      <c r="B9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7C0D-7744-4958-A551-A62FB871E436}">
  <sheetPr>
    <tabColor theme="6"/>
  </sheetPr>
  <dimension ref="A1:E12"/>
  <sheetViews>
    <sheetView showGridLines="0" workbookViewId="0">
      <selection activeCell="E7" sqref="E7"/>
    </sheetView>
  </sheetViews>
  <sheetFormatPr defaultRowHeight="12.75" x14ac:dyDescent="0.2"/>
  <cols>
    <col min="5" max="5" width="17.28515625" bestFit="1" customWidth="1"/>
  </cols>
  <sheetData>
    <row r="1" spans="1:5" x14ac:dyDescent="0.2">
      <c r="A1" s="5" t="str">
        <f ca="1">MID(CELL("filename",A1),FIND("]",CELL("filename",A1))+1,256)</f>
        <v>Input</v>
      </c>
    </row>
    <row r="2" spans="1:5" x14ac:dyDescent="0.2">
      <c r="A2" s="6" t="str">
        <f>Cover!$A$2</f>
        <v>Indicative valuation of BHP Group Limited: Public information</v>
      </c>
    </row>
    <row r="3" spans="1:5" x14ac:dyDescent="0.2">
      <c r="A3" s="6" t="str">
        <f>Cover!$A$3</f>
        <v>Educational purposes only, no financial advice</v>
      </c>
    </row>
    <row r="7" spans="1:5" x14ac:dyDescent="0.2">
      <c r="B7" t="s">
        <v>16</v>
      </c>
      <c r="E7" s="12" t="s">
        <v>40</v>
      </c>
    </row>
    <row r="8" spans="1:5" x14ac:dyDescent="0.2">
      <c r="B8" t="s">
        <v>17</v>
      </c>
      <c r="E8" s="12" t="s">
        <v>21</v>
      </c>
    </row>
    <row r="9" spans="1:5" x14ac:dyDescent="0.2">
      <c r="B9" t="s">
        <v>22</v>
      </c>
      <c r="E9" s="12" t="s">
        <v>23</v>
      </c>
    </row>
    <row r="10" spans="1:5" x14ac:dyDescent="0.2">
      <c r="B10" t="s">
        <v>24</v>
      </c>
      <c r="E10" s="12" t="s">
        <v>25</v>
      </c>
    </row>
    <row r="11" spans="1:5" x14ac:dyDescent="0.2">
      <c r="B11" t="s">
        <v>18</v>
      </c>
      <c r="E11" s="12" t="s">
        <v>21</v>
      </c>
    </row>
    <row r="12" spans="1:5" x14ac:dyDescent="0.2">
      <c r="B12" t="s">
        <v>20</v>
      </c>
      <c r="E12" s="13">
        <v>45473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0F5A-5B6E-42A4-A731-5AFEF466A00A}">
  <sheetPr>
    <tabColor theme="1"/>
  </sheetPr>
  <dimension ref="A1"/>
  <sheetViews>
    <sheetView showGridLines="0" workbookViewId="0">
      <selection sqref="A1:XFD3"/>
    </sheetView>
  </sheetViews>
  <sheetFormatPr defaultRowHeight="12.7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6982-496A-448F-BF6A-EFFFEFC40753}">
  <sheetPr>
    <tabColor rgb="FF0070C0"/>
  </sheetPr>
  <dimension ref="A1:N63"/>
  <sheetViews>
    <sheetView showGridLines="0" tabSelected="1" topLeftCell="A16" workbookViewId="0">
      <selection activeCell="G40" sqref="G40"/>
    </sheetView>
  </sheetViews>
  <sheetFormatPr defaultRowHeight="12.75" outlineLevelRow="1" outlineLevelCol="1" x14ac:dyDescent="0.2"/>
  <cols>
    <col min="1" max="3" width="9.140625" style="8" outlineLevel="1"/>
    <col min="4" max="4" width="2.28515625" customWidth="1"/>
    <col min="5" max="5" width="30.7109375" bestFit="1" customWidth="1"/>
  </cols>
  <sheetData>
    <row r="1" spans="2:14" s="8" customFormat="1" outlineLevel="1" x14ac:dyDescent="0.2">
      <c r="B1" s="8">
        <v>0.1</v>
      </c>
    </row>
    <row r="2" spans="2:14" s="8" customFormat="1" outlineLevel="1" x14ac:dyDescent="0.2">
      <c r="B2" s="18" t="b">
        <f>AND(C:C)</f>
        <v>1</v>
      </c>
    </row>
    <row r="3" spans="2:14" x14ac:dyDescent="0.2">
      <c r="D3" s="5" t="str">
        <f ca="1">MID(CELL("filename",D3),FIND("]",CELL("filename",D3))+1,256)</f>
        <v>Historical</v>
      </c>
    </row>
    <row r="4" spans="2:14" x14ac:dyDescent="0.2">
      <c r="D4" s="6" t="str">
        <f>Cover!$A$2</f>
        <v>Indicative valuation of BHP Group Limited: Public information</v>
      </c>
    </row>
    <row r="5" spans="2:14" x14ac:dyDescent="0.2">
      <c r="D5" s="6" t="str">
        <f>Cover!$A$3</f>
        <v>Educational purposes only, no financial advice</v>
      </c>
    </row>
    <row r="7" spans="2:14" x14ac:dyDescent="0.2">
      <c r="L7" s="9"/>
      <c r="M7" s="9"/>
      <c r="N7" s="9"/>
    </row>
    <row r="8" spans="2:14" x14ac:dyDescent="0.2">
      <c r="E8" s="5" t="str">
        <f>Input!$E$8&amp;" P&amp;L"</f>
        <v>BHP P&amp;L</v>
      </c>
      <c r="N8" s="10"/>
    </row>
    <row r="9" spans="2:14" x14ac:dyDescent="0.2">
      <c r="E9" s="11" t="s">
        <v>26</v>
      </c>
      <c r="F9" s="11">
        <v>2016</v>
      </c>
      <c r="G9" s="11">
        <v>2017</v>
      </c>
      <c r="H9" s="11">
        <v>2018</v>
      </c>
      <c r="I9" s="11">
        <v>2019</v>
      </c>
      <c r="J9" s="11">
        <v>2020</v>
      </c>
      <c r="K9" s="11">
        <v>2021</v>
      </c>
      <c r="L9" s="11">
        <v>2022</v>
      </c>
      <c r="M9" s="11">
        <v>2023</v>
      </c>
      <c r="N9" s="11">
        <v>2024</v>
      </c>
    </row>
    <row r="10" spans="2:14" ht="3" customHeight="1" x14ac:dyDescent="0.2"/>
    <row r="11" spans="2:14" x14ac:dyDescent="0.2">
      <c r="E11" s="14" t="s">
        <v>27</v>
      </c>
      <c r="F11" s="19"/>
      <c r="G11" s="19"/>
      <c r="H11" s="19"/>
      <c r="I11" s="19"/>
      <c r="J11" s="19"/>
      <c r="K11" s="19"/>
      <c r="L11" s="19">
        <v>65098</v>
      </c>
      <c r="M11" s="19">
        <v>53817</v>
      </c>
      <c r="N11" s="19">
        <v>55658</v>
      </c>
    </row>
    <row r="12" spans="2:14" x14ac:dyDescent="0.2">
      <c r="E12" s="14" t="s">
        <v>28</v>
      </c>
      <c r="F12" s="19"/>
      <c r="G12" s="19"/>
      <c r="H12" s="19"/>
      <c r="I12" s="19"/>
      <c r="J12" s="19"/>
      <c r="K12" s="19"/>
      <c r="L12" s="19">
        <v>1398</v>
      </c>
      <c r="M12" s="19">
        <v>394</v>
      </c>
      <c r="N12" s="19">
        <v>1285</v>
      </c>
    </row>
    <row r="13" spans="2:14" x14ac:dyDescent="0.2">
      <c r="E13" s="14" t="s">
        <v>29</v>
      </c>
      <c r="F13" s="19"/>
      <c r="G13" s="19"/>
      <c r="H13" s="19"/>
      <c r="I13" s="19"/>
      <c r="J13" s="19"/>
      <c r="K13" s="19"/>
      <c r="L13" s="19">
        <v>-32371</v>
      </c>
      <c r="M13" s="19">
        <v>-31873</v>
      </c>
      <c r="N13" s="19">
        <v>-36750</v>
      </c>
    </row>
    <row r="14" spans="2:14" x14ac:dyDescent="0.2">
      <c r="E14" s="14" t="s">
        <v>30</v>
      </c>
      <c r="F14" s="21"/>
      <c r="G14" s="21"/>
      <c r="H14" s="21"/>
      <c r="I14" s="21"/>
      <c r="J14" s="21"/>
      <c r="K14" s="21"/>
      <c r="L14" s="21">
        <v>-19</v>
      </c>
      <c r="M14" s="21">
        <v>594</v>
      </c>
      <c r="N14" s="21">
        <v>-2656</v>
      </c>
    </row>
    <row r="15" spans="2:14" x14ac:dyDescent="0.2">
      <c r="E15" s="5" t="s">
        <v>34</v>
      </c>
      <c r="F15" s="20">
        <f t="shared" ref="F15" si="0">SUM(F11:F14)</f>
        <v>0</v>
      </c>
      <c r="G15" s="20">
        <f t="shared" ref="G15" si="1">SUM(G11:G14)</f>
        <v>0</v>
      </c>
      <c r="H15" s="20">
        <f t="shared" ref="H15" si="2">SUM(H11:H14)</f>
        <v>0</v>
      </c>
      <c r="I15" s="20">
        <f t="shared" ref="I15" si="3">SUM(I11:I14)</f>
        <v>0</v>
      </c>
      <c r="J15" s="20">
        <f t="shared" ref="J15" si="4">SUM(J11:J14)</f>
        <v>0</v>
      </c>
      <c r="K15" s="20">
        <f t="shared" ref="K15" si="5">SUM(K11:K14)</f>
        <v>0</v>
      </c>
      <c r="L15" s="20">
        <f t="shared" ref="L15:M15" si="6">SUM(L11:L14)</f>
        <v>34106</v>
      </c>
      <c r="M15" s="20">
        <f t="shared" si="6"/>
        <v>22932</v>
      </c>
      <c r="N15" s="20">
        <f>SUM(N11:N14)</f>
        <v>17537</v>
      </c>
    </row>
    <row r="16" spans="2:14" x14ac:dyDescent="0.2">
      <c r="E16" s="17" t="s">
        <v>31</v>
      </c>
      <c r="F16" s="19"/>
      <c r="G16" s="19"/>
      <c r="H16" s="19"/>
      <c r="I16" s="19"/>
      <c r="J16" s="19"/>
      <c r="K16" s="19"/>
      <c r="L16" s="19">
        <v>-1050</v>
      </c>
      <c r="M16" s="19">
        <v>-2060</v>
      </c>
      <c r="N16" s="19">
        <v>-2198</v>
      </c>
    </row>
    <row r="17" spans="3:14" x14ac:dyDescent="0.2">
      <c r="E17" s="17" t="s">
        <v>32</v>
      </c>
      <c r="F17" s="21"/>
      <c r="G17" s="21"/>
      <c r="H17" s="21"/>
      <c r="I17" s="21"/>
      <c r="J17" s="21"/>
      <c r="K17" s="21"/>
      <c r="L17" s="21">
        <v>81</v>
      </c>
      <c r="M17" s="21">
        <v>529</v>
      </c>
      <c r="N17" s="21">
        <v>709</v>
      </c>
    </row>
    <row r="18" spans="3:14" x14ac:dyDescent="0.2">
      <c r="E18" s="15" t="s">
        <v>33</v>
      </c>
      <c r="F18" s="23">
        <f t="shared" ref="F18:M18" si="7">SUM(F16:F17)</f>
        <v>0</v>
      </c>
      <c r="G18" s="23">
        <f t="shared" si="7"/>
        <v>0</v>
      </c>
      <c r="H18" s="23">
        <f t="shared" si="7"/>
        <v>0</v>
      </c>
      <c r="I18" s="23">
        <f t="shared" si="7"/>
        <v>0</v>
      </c>
      <c r="J18" s="23">
        <f t="shared" si="7"/>
        <v>0</v>
      </c>
      <c r="K18" s="23">
        <f t="shared" si="7"/>
        <v>0</v>
      </c>
      <c r="L18" s="23">
        <f t="shared" si="7"/>
        <v>-969</v>
      </c>
      <c r="M18" s="23">
        <f t="shared" si="7"/>
        <v>-1531</v>
      </c>
      <c r="N18" s="23">
        <f>SUM(N16:N17)</f>
        <v>-1489</v>
      </c>
    </row>
    <row r="19" spans="3:14" x14ac:dyDescent="0.2">
      <c r="E19" s="16" t="s">
        <v>35</v>
      </c>
      <c r="F19" s="20">
        <f t="shared" ref="F19:M19" si="8">+F15+F18</f>
        <v>0</v>
      </c>
      <c r="G19" s="20">
        <f t="shared" si="8"/>
        <v>0</v>
      </c>
      <c r="H19" s="20">
        <f t="shared" si="8"/>
        <v>0</v>
      </c>
      <c r="I19" s="20">
        <f t="shared" si="8"/>
        <v>0</v>
      </c>
      <c r="J19" s="20">
        <f t="shared" si="8"/>
        <v>0</v>
      </c>
      <c r="K19" s="20">
        <f t="shared" si="8"/>
        <v>0</v>
      </c>
      <c r="L19" s="20">
        <f t="shared" si="8"/>
        <v>33137</v>
      </c>
      <c r="M19" s="20">
        <f t="shared" si="8"/>
        <v>21401</v>
      </c>
      <c r="N19" s="20">
        <f>+N15+N18</f>
        <v>16048</v>
      </c>
    </row>
    <row r="20" spans="3:14" x14ac:dyDescent="0.2">
      <c r="E20" t="s">
        <v>36</v>
      </c>
      <c r="F20" s="19"/>
      <c r="G20" s="19"/>
      <c r="H20" s="19"/>
      <c r="I20" s="19"/>
      <c r="J20" s="19"/>
      <c r="K20" s="19"/>
      <c r="L20" s="19">
        <v>-10737</v>
      </c>
      <c r="M20" s="19">
        <v>-7077</v>
      </c>
      <c r="N20" s="19">
        <v>-6447</v>
      </c>
    </row>
    <row r="21" spans="3:14" ht="13.5" thickBot="1" x14ac:dyDescent="0.25">
      <c r="E21" s="5" t="s">
        <v>37</v>
      </c>
      <c r="F21" s="24">
        <f t="shared" ref="F21:M21" si="9">SUM(F19:F20)</f>
        <v>0</v>
      </c>
      <c r="G21" s="24">
        <f t="shared" si="9"/>
        <v>0</v>
      </c>
      <c r="H21" s="24">
        <f t="shared" si="9"/>
        <v>0</v>
      </c>
      <c r="I21" s="24">
        <f t="shared" si="9"/>
        <v>0</v>
      </c>
      <c r="J21" s="24">
        <f t="shared" si="9"/>
        <v>0</v>
      </c>
      <c r="K21" s="24">
        <f t="shared" si="9"/>
        <v>0</v>
      </c>
      <c r="L21" s="24">
        <f t="shared" si="9"/>
        <v>22400</v>
      </c>
      <c r="M21" s="24">
        <f t="shared" si="9"/>
        <v>14324</v>
      </c>
      <c r="N21" s="24">
        <f>SUM(N19:N20)</f>
        <v>9601</v>
      </c>
    </row>
    <row r="22" spans="3:14" x14ac:dyDescent="0.2">
      <c r="F22" s="19"/>
      <c r="G22" s="19"/>
      <c r="H22" s="19"/>
      <c r="I22" s="19"/>
      <c r="J22" s="19"/>
      <c r="K22" s="19"/>
      <c r="L22" s="19"/>
      <c r="M22" s="19"/>
      <c r="N22" s="19"/>
    </row>
    <row r="23" spans="3:14" x14ac:dyDescent="0.2">
      <c r="E23" s="8" t="s">
        <v>39</v>
      </c>
      <c r="F23" s="22"/>
      <c r="G23" s="22"/>
      <c r="H23" s="22"/>
      <c r="I23" s="22"/>
      <c r="J23" s="22"/>
      <c r="K23" s="22"/>
      <c r="L23" s="22">
        <v>22400</v>
      </c>
      <c r="M23" s="22">
        <v>14324</v>
      </c>
      <c r="N23" s="22">
        <v>9601</v>
      </c>
    </row>
    <row r="24" spans="3:14" x14ac:dyDescent="0.2">
      <c r="C24" s="18" t="b" cm="1">
        <f t="array" ref="C24">AND(F24:N24&lt;$B$1,F24:N24&gt;-$B$1)</f>
        <v>1</v>
      </c>
      <c r="E24" s="8" t="s">
        <v>38</v>
      </c>
      <c r="F24" s="22">
        <f t="shared" ref="F24:M24" si="10">+F23-F21</f>
        <v>0</v>
      </c>
      <c r="G24" s="22">
        <f t="shared" si="10"/>
        <v>0</v>
      </c>
      <c r="H24" s="22">
        <f t="shared" si="10"/>
        <v>0</v>
      </c>
      <c r="I24" s="22">
        <f t="shared" si="10"/>
        <v>0</v>
      </c>
      <c r="J24" s="22">
        <f t="shared" si="10"/>
        <v>0</v>
      </c>
      <c r="K24" s="22">
        <f t="shared" si="10"/>
        <v>0</v>
      </c>
      <c r="L24" s="22">
        <f t="shared" si="10"/>
        <v>0</v>
      </c>
      <c r="M24" s="22">
        <f t="shared" si="10"/>
        <v>0</v>
      </c>
      <c r="N24" s="22">
        <f>+N23-N21</f>
        <v>0</v>
      </c>
    </row>
    <row r="25" spans="3:14" x14ac:dyDescent="0.2">
      <c r="F25" s="19"/>
      <c r="G25" s="19"/>
      <c r="H25" s="19"/>
      <c r="I25" s="19"/>
      <c r="J25" s="19"/>
      <c r="K25" s="19"/>
      <c r="L25" s="19"/>
      <c r="M25" s="19"/>
      <c r="N25" s="19"/>
    </row>
    <row r="26" spans="3:14" x14ac:dyDescent="0.2">
      <c r="E26" s="5" t="str">
        <f>Input!$E$8&amp;" BS"</f>
        <v>BHP BS</v>
      </c>
      <c r="N26" s="10"/>
    </row>
    <row r="27" spans="3:14" x14ac:dyDescent="0.2">
      <c r="E27" s="11" t="s">
        <v>26</v>
      </c>
      <c r="F27" s="25" t="s">
        <v>41</v>
      </c>
      <c r="G27" s="25" t="s">
        <v>42</v>
      </c>
      <c r="H27" s="25" t="s">
        <v>43</v>
      </c>
      <c r="I27" s="25" t="s">
        <v>44</v>
      </c>
      <c r="J27" s="25" t="s">
        <v>45</v>
      </c>
      <c r="K27" s="25" t="s">
        <v>46</v>
      </c>
      <c r="L27" s="25" t="s">
        <v>47</v>
      </c>
      <c r="M27" s="25" t="s">
        <v>48</v>
      </c>
      <c r="N27" s="25" t="s">
        <v>49</v>
      </c>
    </row>
    <row r="28" spans="3:14" ht="3" customHeight="1" x14ac:dyDescent="0.2"/>
    <row r="29" spans="3:14" x14ac:dyDescent="0.2">
      <c r="E29" s="14" t="s">
        <v>54</v>
      </c>
      <c r="F29" s="19"/>
      <c r="G29" s="19"/>
      <c r="H29" s="19"/>
      <c r="I29" s="19"/>
      <c r="J29" s="19"/>
      <c r="K29" s="19"/>
      <c r="L29" s="19"/>
      <c r="M29" s="19">
        <v>71818</v>
      </c>
      <c r="N29" s="19">
        <v>71629</v>
      </c>
    </row>
    <row r="30" spans="3:14" x14ac:dyDescent="0.2">
      <c r="E30" s="26" t="s">
        <v>55</v>
      </c>
      <c r="F30" s="21"/>
      <c r="G30" s="21"/>
      <c r="H30" s="21"/>
      <c r="I30" s="21"/>
      <c r="J30" s="21"/>
      <c r="K30" s="21"/>
      <c r="L30" s="21"/>
      <c r="M30" s="21">
        <f>77945-M29</f>
        <v>6127</v>
      </c>
      <c r="N30" s="21">
        <f>78024-N29</f>
        <v>6395</v>
      </c>
    </row>
    <row r="31" spans="3:14" x14ac:dyDescent="0.2">
      <c r="E31" s="5" t="s">
        <v>56</v>
      </c>
      <c r="F31" s="20">
        <f t="shared" ref="F31:L31" si="11">SUM(F29:F30)</f>
        <v>0</v>
      </c>
      <c r="G31" s="20">
        <f t="shared" si="11"/>
        <v>0</v>
      </c>
      <c r="H31" s="20">
        <f t="shared" si="11"/>
        <v>0</v>
      </c>
      <c r="I31" s="20">
        <f t="shared" si="11"/>
        <v>0</v>
      </c>
      <c r="J31" s="20">
        <f t="shared" si="11"/>
        <v>0</v>
      </c>
      <c r="K31" s="20">
        <f t="shared" si="11"/>
        <v>0</v>
      </c>
      <c r="L31" s="20">
        <f t="shared" si="11"/>
        <v>0</v>
      </c>
      <c r="M31" s="20">
        <f>SUM(M29:M30)</f>
        <v>77945</v>
      </c>
      <c r="N31" s="20">
        <f>SUM(N29:N30)</f>
        <v>78024</v>
      </c>
    </row>
    <row r="32" spans="3:14" x14ac:dyDescent="0.2">
      <c r="E32" s="14" t="s">
        <v>50</v>
      </c>
      <c r="F32" s="19"/>
      <c r="G32" s="19"/>
      <c r="H32" s="19"/>
      <c r="I32" s="19"/>
      <c r="J32" s="19"/>
      <c r="K32" s="19"/>
      <c r="L32" s="19"/>
      <c r="M32" s="19">
        <v>12428</v>
      </c>
      <c r="N32" s="19">
        <v>12501</v>
      </c>
    </row>
    <row r="33" spans="5:14" x14ac:dyDescent="0.2">
      <c r="E33" s="14" t="s">
        <v>51</v>
      </c>
      <c r="F33" s="19"/>
      <c r="G33" s="19"/>
      <c r="H33" s="19"/>
      <c r="I33" s="19"/>
      <c r="J33" s="19"/>
      <c r="K33" s="19"/>
      <c r="L33" s="19"/>
      <c r="M33" s="19">
        <v>4594</v>
      </c>
      <c r="N33" s="19">
        <v>5169</v>
      </c>
    </row>
    <row r="34" spans="5:14" x14ac:dyDescent="0.2">
      <c r="E34" s="14" t="s">
        <v>52</v>
      </c>
      <c r="F34" s="19"/>
      <c r="G34" s="19"/>
      <c r="H34" s="19"/>
      <c r="I34" s="19"/>
      <c r="J34" s="19"/>
      <c r="K34" s="19"/>
      <c r="L34" s="19"/>
      <c r="M34" s="19">
        <v>5220</v>
      </c>
      <c r="N34" s="19">
        <v>5828</v>
      </c>
    </row>
    <row r="35" spans="5:14" x14ac:dyDescent="0.2">
      <c r="E35" s="14" t="s">
        <v>57</v>
      </c>
      <c r="F35" s="21"/>
      <c r="G35" s="21"/>
      <c r="H35" s="21"/>
      <c r="I35" s="21"/>
      <c r="J35" s="21"/>
      <c r="K35" s="21"/>
      <c r="L35" s="21"/>
      <c r="M35" s="21">
        <f>470+508+131</f>
        <v>1109</v>
      </c>
      <c r="N35" s="21">
        <f>381+314+145</f>
        <v>840</v>
      </c>
    </row>
    <row r="36" spans="5:14" x14ac:dyDescent="0.2">
      <c r="E36" s="5" t="s">
        <v>58</v>
      </c>
      <c r="F36" s="20">
        <f t="shared" ref="F36" si="12">SUM(F32:F35)</f>
        <v>0</v>
      </c>
      <c r="G36" s="20">
        <f t="shared" ref="G36" si="13">SUM(G32:G35)</f>
        <v>0</v>
      </c>
      <c r="H36" s="20">
        <f t="shared" ref="H36" si="14">SUM(H32:H35)</f>
        <v>0</v>
      </c>
      <c r="I36" s="20">
        <f t="shared" ref="I36" si="15">SUM(I32:I35)</f>
        <v>0</v>
      </c>
      <c r="J36" s="20">
        <f t="shared" ref="J36" si="16">SUM(J32:J35)</f>
        <v>0</v>
      </c>
      <c r="K36" s="20">
        <f t="shared" ref="K36" si="17">SUM(K32:K35)</f>
        <v>0</v>
      </c>
      <c r="L36" s="20">
        <f t="shared" ref="L36" si="18">SUM(L32:L35)</f>
        <v>0</v>
      </c>
      <c r="M36" s="20">
        <f t="shared" ref="M36" si="19">SUM(M32:M35)</f>
        <v>23351</v>
      </c>
      <c r="N36" s="20">
        <f>SUM(N32:N35)</f>
        <v>24338</v>
      </c>
    </row>
    <row r="37" spans="5:14" ht="13.5" thickBot="1" x14ac:dyDescent="0.25">
      <c r="E37" s="5" t="s">
        <v>59</v>
      </c>
      <c r="F37" s="24">
        <f t="shared" ref="F37:M37" si="20">+F36+F31</f>
        <v>0</v>
      </c>
      <c r="G37" s="24">
        <f t="shared" si="20"/>
        <v>0</v>
      </c>
      <c r="H37" s="24">
        <f t="shared" si="20"/>
        <v>0</v>
      </c>
      <c r="I37" s="24">
        <f t="shared" si="20"/>
        <v>0</v>
      </c>
      <c r="J37" s="24">
        <f t="shared" si="20"/>
        <v>0</v>
      </c>
      <c r="K37" s="24">
        <f t="shared" si="20"/>
        <v>0</v>
      </c>
      <c r="L37" s="24">
        <f t="shared" si="20"/>
        <v>0</v>
      </c>
      <c r="M37" s="24">
        <f t="shared" si="20"/>
        <v>101296</v>
      </c>
      <c r="N37" s="24">
        <f>+N36+N31</f>
        <v>102362</v>
      </c>
    </row>
    <row r="38" spans="5:14" ht="3" customHeight="1" x14ac:dyDescent="0.2">
      <c r="F38" s="19"/>
      <c r="G38" s="19"/>
      <c r="H38" s="19"/>
      <c r="I38" s="19"/>
      <c r="J38" s="19"/>
      <c r="K38" s="19"/>
      <c r="L38" s="19"/>
      <c r="M38" s="19"/>
      <c r="N38" s="19"/>
    </row>
    <row r="39" spans="5:14" outlineLevel="1" x14ac:dyDescent="0.2">
      <c r="E39" s="14" t="s">
        <v>61</v>
      </c>
      <c r="F39" s="19"/>
      <c r="G39" s="19"/>
      <c r="H39" s="19"/>
      <c r="I39" s="19"/>
      <c r="J39" s="19"/>
      <c r="K39" s="19"/>
      <c r="L39" s="19"/>
      <c r="M39" s="19">
        <v>44496</v>
      </c>
      <c r="N39" s="19">
        <v>44811</v>
      </c>
    </row>
    <row r="40" spans="5:14" outlineLevel="1" x14ac:dyDescent="0.2">
      <c r="E40" s="14" t="s">
        <v>62</v>
      </c>
      <c r="F40" s="21"/>
      <c r="G40" s="21"/>
      <c r="H40" s="21"/>
      <c r="I40" s="21"/>
      <c r="J40" s="21"/>
      <c r="K40" s="21"/>
      <c r="L40" s="21"/>
      <c r="M40" s="21">
        <v>4034</v>
      </c>
      <c r="N40" s="21">
        <v>4309</v>
      </c>
    </row>
    <row r="41" spans="5:14" x14ac:dyDescent="0.2">
      <c r="E41" s="5" t="s">
        <v>63</v>
      </c>
      <c r="F41" s="20">
        <f t="shared" ref="F41" si="21">SUM(F39:F40)</f>
        <v>0</v>
      </c>
      <c r="G41" s="20">
        <f t="shared" ref="G41" si="22">SUM(G39:G40)</f>
        <v>0</v>
      </c>
      <c r="H41" s="20">
        <f t="shared" ref="H41" si="23">SUM(H39:H40)</f>
        <v>0</v>
      </c>
      <c r="I41" s="20">
        <f t="shared" ref="I41" si="24">SUM(I39:I40)</f>
        <v>0</v>
      </c>
      <c r="J41" s="20">
        <f t="shared" ref="J41" si="25">SUM(J39:J40)</f>
        <v>0</v>
      </c>
      <c r="K41" s="20">
        <f t="shared" ref="K41" si="26">SUM(K39:K40)</f>
        <v>0</v>
      </c>
      <c r="L41" s="20">
        <f t="shared" ref="L41" si="27">SUM(L39:L40)</f>
        <v>0</v>
      </c>
      <c r="M41" s="20">
        <f t="shared" ref="M41" si="28">SUM(M39:M40)</f>
        <v>48530</v>
      </c>
      <c r="N41" s="20">
        <f>SUM(N39:N40)</f>
        <v>49120</v>
      </c>
    </row>
    <row r="42" spans="5:14" x14ac:dyDescent="0.2">
      <c r="E42" t="s">
        <v>64</v>
      </c>
      <c r="F42" s="19"/>
      <c r="G42" s="19"/>
      <c r="H42" s="19"/>
      <c r="I42" s="19"/>
      <c r="J42" s="19"/>
      <c r="K42" s="19"/>
      <c r="L42" s="19"/>
      <c r="M42" s="19">
        <f>6296+4</f>
        <v>6300</v>
      </c>
      <c r="N42" s="19">
        <f>6719+45</f>
        <v>6764</v>
      </c>
    </row>
    <row r="43" spans="5:14" x14ac:dyDescent="0.2">
      <c r="E43" t="s">
        <v>65</v>
      </c>
      <c r="F43" s="19"/>
      <c r="G43" s="19"/>
      <c r="H43" s="19"/>
      <c r="I43" s="19"/>
      <c r="J43" s="19"/>
      <c r="K43" s="19"/>
      <c r="L43" s="19"/>
      <c r="M43" s="19">
        <f>7173+15172</f>
        <v>22345</v>
      </c>
      <c r="N43" s="19">
        <f>2084+18634</f>
        <v>20718</v>
      </c>
    </row>
    <row r="44" spans="5:14" x14ac:dyDescent="0.2">
      <c r="E44" t="s">
        <v>67</v>
      </c>
      <c r="F44" s="19"/>
      <c r="G44" s="19"/>
      <c r="H44" s="19"/>
      <c r="I44" s="19"/>
      <c r="J44" s="19"/>
      <c r="K44" s="19"/>
      <c r="L44" s="19"/>
      <c r="M44" s="19">
        <f>402+2157</f>
        <v>2559</v>
      </c>
      <c r="N44" s="19">
        <f>512+1759</f>
        <v>2271</v>
      </c>
    </row>
    <row r="45" spans="5:14" x14ac:dyDescent="0.2">
      <c r="E45" t="s">
        <v>66</v>
      </c>
      <c r="F45" s="19"/>
      <c r="G45" s="19"/>
      <c r="H45" s="19"/>
      <c r="I45" s="19"/>
      <c r="J45" s="19"/>
      <c r="K45" s="19"/>
      <c r="L45" s="19"/>
      <c r="M45" s="19">
        <f>4514+11973</f>
        <v>16487</v>
      </c>
      <c r="N45" s="19">
        <f>4007+15088</f>
        <v>19095</v>
      </c>
    </row>
    <row r="46" spans="5:14" x14ac:dyDescent="0.2">
      <c r="E46" t="s">
        <v>53</v>
      </c>
      <c r="F46" s="21"/>
      <c r="G46" s="21"/>
      <c r="H46" s="21"/>
      <c r="I46" s="21"/>
      <c r="J46" s="21"/>
      <c r="K46" s="21"/>
      <c r="L46" s="21"/>
      <c r="M46" s="21">
        <f>611+47+68+4299+50</f>
        <v>5075</v>
      </c>
      <c r="N46" s="21">
        <f>884+90+40+3332+48</f>
        <v>4394</v>
      </c>
    </row>
    <row r="47" spans="5:14" x14ac:dyDescent="0.2">
      <c r="E47" s="5" t="s">
        <v>60</v>
      </c>
      <c r="F47" s="20">
        <f t="shared" ref="F47:M47" si="29">SUM(F42:F46)</f>
        <v>0</v>
      </c>
      <c r="G47" s="20">
        <f t="shared" si="29"/>
        <v>0</v>
      </c>
      <c r="H47" s="20">
        <f t="shared" si="29"/>
        <v>0</v>
      </c>
      <c r="I47" s="20">
        <f t="shared" si="29"/>
        <v>0</v>
      </c>
      <c r="J47" s="20">
        <f t="shared" si="29"/>
        <v>0</v>
      </c>
      <c r="K47" s="20">
        <f t="shared" si="29"/>
        <v>0</v>
      </c>
      <c r="L47" s="20">
        <f t="shared" si="29"/>
        <v>0</v>
      </c>
      <c r="M47" s="20">
        <f t="shared" si="29"/>
        <v>52766</v>
      </c>
      <c r="N47" s="20">
        <f>SUM(N42:N46)</f>
        <v>53242</v>
      </c>
    </row>
    <row r="48" spans="5:14" ht="13.5" thickBot="1" x14ac:dyDescent="0.25">
      <c r="E48" s="5" t="s">
        <v>68</v>
      </c>
      <c r="F48" s="24">
        <f t="shared" ref="F48:M48" si="30">+F47+F41</f>
        <v>0</v>
      </c>
      <c r="G48" s="24">
        <f t="shared" si="30"/>
        <v>0</v>
      </c>
      <c r="H48" s="24">
        <f t="shared" si="30"/>
        <v>0</v>
      </c>
      <c r="I48" s="24">
        <f t="shared" si="30"/>
        <v>0</v>
      </c>
      <c r="J48" s="24">
        <f t="shared" si="30"/>
        <v>0</v>
      </c>
      <c r="K48" s="24">
        <f t="shared" si="30"/>
        <v>0</v>
      </c>
      <c r="L48" s="24">
        <f t="shared" si="30"/>
        <v>0</v>
      </c>
      <c r="M48" s="24">
        <f t="shared" si="30"/>
        <v>101296</v>
      </c>
      <c r="N48" s="24">
        <f>+N47+N41</f>
        <v>102362</v>
      </c>
    </row>
    <row r="49" spans="3:14" x14ac:dyDescent="0.2">
      <c r="F49" s="19"/>
      <c r="G49" s="19"/>
      <c r="H49" s="19"/>
      <c r="I49" s="19"/>
      <c r="J49" s="19"/>
      <c r="K49" s="19"/>
      <c r="L49" s="19"/>
      <c r="M49" s="19"/>
      <c r="N49" s="19"/>
    </row>
    <row r="50" spans="3:14" x14ac:dyDescent="0.2">
      <c r="E50" s="8" t="s">
        <v>39</v>
      </c>
      <c r="F50" s="22"/>
      <c r="G50" s="22"/>
      <c r="H50" s="22"/>
      <c r="I50" s="22"/>
      <c r="J50" s="22"/>
      <c r="K50" s="22"/>
      <c r="L50" s="22"/>
      <c r="M50" s="22">
        <v>101296</v>
      </c>
      <c r="N50" s="22">
        <v>102362</v>
      </c>
    </row>
    <row r="51" spans="3:14" x14ac:dyDescent="0.2">
      <c r="C51" s="18" t="b" cm="1">
        <f t="array" ref="C51">AND(F51:N51&lt;$B$1,F51:N51&gt;-$B$1)</f>
        <v>1</v>
      </c>
      <c r="E51" s="8" t="s">
        <v>38</v>
      </c>
      <c r="F51" s="22">
        <f t="shared" ref="F51" si="31">+F50-F48</f>
        <v>0</v>
      </c>
      <c r="G51" s="22">
        <f t="shared" ref="G51" si="32">+G50-G48</f>
        <v>0</v>
      </c>
      <c r="H51" s="22">
        <f t="shared" ref="H51" si="33">+H50-H48</f>
        <v>0</v>
      </c>
      <c r="I51" s="22">
        <f t="shared" ref="I51" si="34">+I50-I48</f>
        <v>0</v>
      </c>
      <c r="J51" s="22">
        <f t="shared" ref="J51" si="35">+J50-J48</f>
        <v>0</v>
      </c>
      <c r="K51" s="22">
        <f t="shared" ref="K51" si="36">+K50-K48</f>
        <v>0</v>
      </c>
      <c r="L51" s="22">
        <f t="shared" ref="L51" si="37">+L50-L48</f>
        <v>0</v>
      </c>
      <c r="M51" s="22">
        <f t="shared" ref="M51" si="38">+M50-M48</f>
        <v>0</v>
      </c>
      <c r="N51" s="22">
        <f>+N50-N48</f>
        <v>0</v>
      </c>
    </row>
    <row r="52" spans="3:14" x14ac:dyDescent="0.2">
      <c r="F52" s="19"/>
      <c r="G52" s="19"/>
      <c r="H52" s="19"/>
      <c r="I52" s="19"/>
      <c r="J52" s="19"/>
      <c r="K52" s="19"/>
      <c r="L52" s="19"/>
      <c r="M52" s="19"/>
      <c r="N52" s="19"/>
    </row>
    <row r="53" spans="3:14" x14ac:dyDescent="0.2">
      <c r="E53" s="5" t="str">
        <f>Input!$E$8&amp;" CF"</f>
        <v>BHP CF</v>
      </c>
      <c r="N53" s="10"/>
    </row>
    <row r="54" spans="3:14" x14ac:dyDescent="0.2">
      <c r="E54" s="11" t="s">
        <v>26</v>
      </c>
      <c r="F54" s="25" t="s">
        <v>41</v>
      </c>
      <c r="G54" s="25" t="s">
        <v>42</v>
      </c>
      <c r="H54" s="25" t="s">
        <v>43</v>
      </c>
      <c r="I54" s="25" t="s">
        <v>44</v>
      </c>
      <c r="J54" s="25" t="s">
        <v>45</v>
      </c>
      <c r="K54" s="25" t="s">
        <v>46</v>
      </c>
      <c r="L54" s="25" t="s">
        <v>47</v>
      </c>
      <c r="M54" s="25" t="s">
        <v>48</v>
      </c>
      <c r="N54" s="25" t="s">
        <v>49</v>
      </c>
    </row>
    <row r="55" spans="3:14" ht="3" customHeight="1" x14ac:dyDescent="0.2"/>
    <row r="56" spans="3:14" x14ac:dyDescent="0.2">
      <c r="F56" s="19"/>
      <c r="G56" s="19"/>
      <c r="H56" s="19"/>
      <c r="I56" s="19"/>
      <c r="J56" s="19"/>
      <c r="K56" s="19"/>
      <c r="L56" s="19"/>
      <c r="M56" s="19"/>
      <c r="N56" s="19"/>
    </row>
    <row r="57" spans="3:14" x14ac:dyDescent="0.2">
      <c r="F57" s="19"/>
      <c r="G57" s="19"/>
      <c r="H57" s="19"/>
      <c r="I57" s="19"/>
      <c r="J57" s="19"/>
      <c r="K57" s="19"/>
      <c r="L57" s="19"/>
      <c r="M57" s="19"/>
      <c r="N57" s="19"/>
    </row>
    <row r="58" spans="3:14" x14ac:dyDescent="0.2">
      <c r="E58" s="5" t="s">
        <v>69</v>
      </c>
      <c r="F58" s="19"/>
      <c r="G58" s="19"/>
      <c r="H58" s="19"/>
      <c r="I58" s="19"/>
      <c r="J58" s="19"/>
      <c r="K58" s="19"/>
      <c r="L58" s="19"/>
      <c r="M58" s="19"/>
      <c r="N58" s="19"/>
    </row>
    <row r="59" spans="3:14" x14ac:dyDescent="0.2">
      <c r="F59" s="19"/>
      <c r="G59" s="19"/>
      <c r="H59" s="19"/>
      <c r="I59" s="19"/>
      <c r="J59" s="19"/>
      <c r="K59" s="19"/>
      <c r="L59" s="19"/>
      <c r="M59" s="19"/>
      <c r="N59" s="19"/>
    </row>
    <row r="60" spans="3:14" x14ac:dyDescent="0.2">
      <c r="E60" s="5" t="s">
        <v>70</v>
      </c>
      <c r="F60" s="19"/>
      <c r="G60" s="19"/>
      <c r="H60" s="19"/>
      <c r="I60" s="19"/>
      <c r="J60" s="19"/>
      <c r="K60" s="19"/>
      <c r="L60" s="19"/>
      <c r="M60" s="19"/>
      <c r="N60" s="19"/>
    </row>
    <row r="61" spans="3:14" x14ac:dyDescent="0.2">
      <c r="F61" s="19"/>
      <c r="G61" s="19"/>
      <c r="H61" s="19"/>
      <c r="I61" s="19"/>
      <c r="J61" s="19"/>
      <c r="K61" s="19"/>
      <c r="L61" s="19"/>
      <c r="M61" s="19"/>
      <c r="N61" s="19"/>
    </row>
    <row r="62" spans="3:14" x14ac:dyDescent="0.2">
      <c r="F62" s="19"/>
      <c r="G62" s="19"/>
      <c r="H62" s="19"/>
      <c r="I62" s="19"/>
      <c r="J62" s="19"/>
      <c r="K62" s="19"/>
      <c r="L62" s="19"/>
      <c r="M62" s="19"/>
      <c r="N62" s="19"/>
    </row>
    <row r="63" spans="3:14" x14ac:dyDescent="0.2">
      <c r="E63" s="5" t="s">
        <v>71</v>
      </c>
      <c r="F63" s="19"/>
      <c r="G63" s="19"/>
      <c r="H63" s="19"/>
      <c r="I63" s="19"/>
      <c r="J63" s="19"/>
      <c r="K63" s="19"/>
      <c r="L63" s="19"/>
      <c r="M63" s="19"/>
      <c r="N63" s="19"/>
    </row>
  </sheetData>
  <conditionalFormatting sqref="C24">
    <cfRule type="cellIs" dxfId="5" priority="6" operator="equal">
      <formula>TRUE</formula>
    </cfRule>
  </conditionalFormatting>
  <conditionalFormatting sqref="B2">
    <cfRule type="cellIs" dxfId="2" priority="3" operator="equal">
      <formula>TRUE</formula>
    </cfRule>
  </conditionalFormatting>
  <conditionalFormatting sqref="C51">
    <cfRule type="cellIs" dxfId="0" priority="1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B558-A353-4739-9A96-E78EE3C0ADF8}">
  <sheetPr>
    <tabColor theme="1"/>
  </sheetPr>
  <dimension ref="A1"/>
  <sheetViews>
    <sheetView showGridLines="0"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Manual</vt:lpstr>
      <vt:lpstr>Disclaimer</vt:lpstr>
      <vt:lpstr>Input</vt:lpstr>
      <vt:lpstr>WORKINGS&gt;&gt;</vt:lpstr>
      <vt:lpstr>Historical</vt:lpstr>
      <vt:lpstr>INPUT&gt;&gt;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saltKonstantin</cp:lastModifiedBy>
  <dcterms:created xsi:type="dcterms:W3CDTF">2025-03-27T19:40:13Z</dcterms:created>
  <dcterms:modified xsi:type="dcterms:W3CDTF">2025-04-03T08:23:12Z</dcterms:modified>
</cp:coreProperties>
</file>