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valuations\"/>
    </mc:Choice>
  </mc:AlternateContent>
  <xr:revisionPtr revIDLastSave="0" documentId="13_ncr:1_{DB47DF30-2468-4452-B85B-4169CB3107ED}" xr6:coauthVersionLast="47" xr6:coauthVersionMax="47" xr10:uidLastSave="{00000000-0000-0000-0000-000000000000}"/>
  <bookViews>
    <workbookView xWindow="1980" yWindow="4275" windowWidth="38700" windowHeight="15345" tabRatio="767" activeTab="7" xr2:uid="{A454576F-BA0E-4C95-85A1-1E0F525C6E61}"/>
  </bookViews>
  <sheets>
    <sheet name="Cover" sheetId="3" r:id="rId1"/>
    <sheet name="Manual" sheetId="1" r:id="rId2"/>
    <sheet name="Disclaimer" sheetId="2" r:id="rId3"/>
    <sheet name="Input" sheetId="4" r:id="rId4"/>
    <sheet name="WORKINGS&gt;&gt;" sheetId="9" r:id="rId5"/>
    <sheet name="Valuation" sheetId="11" r:id="rId6"/>
    <sheet name="Model" sheetId="12" r:id="rId7"/>
    <sheet name="Historical" sheetId="10" r:id="rId8"/>
    <sheet name="INPUT&gt;&gt;" sheetId="6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90" i="10" l="1"/>
  <c r="E78" i="10"/>
  <c r="E67" i="10"/>
  <c r="E34" i="10"/>
  <c r="E8" i="10"/>
  <c r="E86" i="12"/>
  <c r="E55" i="12"/>
  <c r="E31" i="12"/>
  <c r="Q75" i="12"/>
  <c r="R75" i="12" s="1"/>
  <c r="S75" i="12" s="1"/>
  <c r="T75" i="12" s="1"/>
  <c r="U75" i="12" s="1"/>
  <c r="Q74" i="12"/>
  <c r="R74" i="12" s="1"/>
  <c r="S74" i="12" s="1"/>
  <c r="T74" i="12" s="1"/>
  <c r="R73" i="12"/>
  <c r="S73" i="12" s="1"/>
  <c r="T73" i="12" s="1"/>
  <c r="U73" i="12" s="1"/>
  <c r="Q73" i="12"/>
  <c r="Q76" i="12" s="1"/>
  <c r="Q72" i="12"/>
  <c r="R72" i="12" s="1"/>
  <c r="R71" i="12"/>
  <c r="R76" i="12" s="1"/>
  <c r="Q71" i="12"/>
  <c r="P75" i="12"/>
  <c r="P74" i="12"/>
  <c r="P73" i="12"/>
  <c r="P72" i="12"/>
  <c r="P76" i="12" s="1"/>
  <c r="P71" i="12"/>
  <c r="U61" i="12"/>
  <c r="T61" i="12"/>
  <c r="S61" i="12"/>
  <c r="R61" i="12"/>
  <c r="Q61" i="12"/>
  <c r="P61" i="12"/>
  <c r="R70" i="12"/>
  <c r="S70" i="12" s="1"/>
  <c r="T70" i="12" s="1"/>
  <c r="U70" i="12" s="1"/>
  <c r="Q70" i="12"/>
  <c r="P70" i="12"/>
  <c r="T95" i="12"/>
  <c r="S95" i="12"/>
  <c r="R95" i="12"/>
  <c r="Q95" i="12"/>
  <c r="P95" i="12"/>
  <c r="F14" i="11"/>
  <c r="F12" i="11"/>
  <c r="M93" i="12"/>
  <c r="K93" i="12"/>
  <c r="O91" i="12"/>
  <c r="N91" i="12"/>
  <c r="M91" i="12"/>
  <c r="L91" i="12"/>
  <c r="K91" i="12"/>
  <c r="J91" i="12"/>
  <c r="I91" i="12"/>
  <c r="H91" i="12"/>
  <c r="G91" i="12"/>
  <c r="F91" i="12"/>
  <c r="O90" i="12"/>
  <c r="N90" i="12"/>
  <c r="M90" i="12"/>
  <c r="L90" i="12"/>
  <c r="K90" i="12"/>
  <c r="P90" i="12" s="1"/>
  <c r="Q90" i="12" s="1"/>
  <c r="R90" i="12" s="1"/>
  <c r="S90" i="12" s="1"/>
  <c r="T90" i="12" s="1"/>
  <c r="J90" i="12"/>
  <c r="I90" i="12"/>
  <c r="H90" i="12"/>
  <c r="G90" i="12"/>
  <c r="F90" i="12"/>
  <c r="E87" i="12"/>
  <c r="O59" i="10"/>
  <c r="N59" i="10"/>
  <c r="M59" i="10"/>
  <c r="L59" i="10"/>
  <c r="K59" i="10"/>
  <c r="J59" i="10"/>
  <c r="I59" i="10"/>
  <c r="H59" i="10"/>
  <c r="G59" i="10"/>
  <c r="Q84" i="12"/>
  <c r="P84" i="12"/>
  <c r="O75" i="12"/>
  <c r="N75" i="12"/>
  <c r="M75" i="12"/>
  <c r="L75" i="12"/>
  <c r="K75" i="12"/>
  <c r="J75" i="12"/>
  <c r="I75" i="12"/>
  <c r="H75" i="12"/>
  <c r="G75" i="12"/>
  <c r="F75" i="12"/>
  <c r="O74" i="12"/>
  <c r="N74" i="12"/>
  <c r="M74" i="12"/>
  <c r="L74" i="12"/>
  <c r="X74" i="12" s="1"/>
  <c r="K74" i="12"/>
  <c r="J74" i="12"/>
  <c r="I74" i="12"/>
  <c r="H74" i="12"/>
  <c r="G74" i="12"/>
  <c r="F74" i="12"/>
  <c r="O73" i="12"/>
  <c r="N73" i="12"/>
  <c r="M73" i="12"/>
  <c r="L73" i="12"/>
  <c r="K73" i="12"/>
  <c r="J73" i="12"/>
  <c r="I73" i="12"/>
  <c r="H73" i="12"/>
  <c r="G73" i="12"/>
  <c r="F73" i="12"/>
  <c r="O72" i="12"/>
  <c r="N72" i="12"/>
  <c r="O80" i="12" s="1"/>
  <c r="M72" i="12"/>
  <c r="L72" i="12"/>
  <c r="K72" i="12"/>
  <c r="J72" i="12"/>
  <c r="I72" i="12"/>
  <c r="H72" i="12"/>
  <c r="I80" i="12" s="1"/>
  <c r="G72" i="12"/>
  <c r="H80" i="12" s="1"/>
  <c r="F72" i="12"/>
  <c r="G80" i="12" s="1"/>
  <c r="O71" i="12"/>
  <c r="N71" i="12"/>
  <c r="M71" i="12"/>
  <c r="L71" i="12"/>
  <c r="K71" i="12"/>
  <c r="J71" i="12"/>
  <c r="I71" i="12"/>
  <c r="H71" i="12"/>
  <c r="G71" i="12"/>
  <c r="F71" i="12"/>
  <c r="W71" i="12" s="1"/>
  <c r="O69" i="12"/>
  <c r="N69" i="12"/>
  <c r="M69" i="12"/>
  <c r="L69" i="12"/>
  <c r="X69" i="12" s="1"/>
  <c r="K69" i="12"/>
  <c r="J69" i="12"/>
  <c r="I69" i="12"/>
  <c r="H69" i="12"/>
  <c r="G69" i="12"/>
  <c r="F69" i="12"/>
  <c r="O68" i="12"/>
  <c r="N68" i="12"/>
  <c r="M68" i="12"/>
  <c r="L68" i="12"/>
  <c r="K68" i="12"/>
  <c r="J68" i="12"/>
  <c r="I68" i="12"/>
  <c r="H68" i="12"/>
  <c r="G68" i="12"/>
  <c r="F68" i="12"/>
  <c r="O64" i="12"/>
  <c r="N64" i="12"/>
  <c r="M64" i="12"/>
  <c r="L64" i="12"/>
  <c r="K64" i="12"/>
  <c r="J64" i="12"/>
  <c r="I64" i="12"/>
  <c r="H64" i="12"/>
  <c r="G64" i="12"/>
  <c r="F64" i="12"/>
  <c r="O63" i="12"/>
  <c r="N63" i="12"/>
  <c r="M63" i="12"/>
  <c r="L63" i="12"/>
  <c r="K63" i="12"/>
  <c r="J63" i="12"/>
  <c r="I63" i="12"/>
  <c r="H63" i="12"/>
  <c r="G63" i="12"/>
  <c r="F63" i="12"/>
  <c r="O62" i="12"/>
  <c r="N62" i="12"/>
  <c r="M62" i="12"/>
  <c r="L62" i="12"/>
  <c r="K62" i="12"/>
  <c r="J62" i="12"/>
  <c r="I62" i="12"/>
  <c r="H62" i="12"/>
  <c r="G62" i="12"/>
  <c r="F62" i="12"/>
  <c r="O61" i="12"/>
  <c r="N61" i="12"/>
  <c r="M61" i="12"/>
  <c r="L61" i="12"/>
  <c r="K61" i="12"/>
  <c r="J61" i="12"/>
  <c r="I61" i="12"/>
  <c r="H61" i="12"/>
  <c r="G61" i="12"/>
  <c r="F61" i="12"/>
  <c r="O59" i="12"/>
  <c r="N59" i="12"/>
  <c r="M59" i="12"/>
  <c r="L59" i="12"/>
  <c r="K59" i="12"/>
  <c r="J59" i="12"/>
  <c r="I59" i="12"/>
  <c r="H59" i="12"/>
  <c r="G59" i="12"/>
  <c r="F59" i="12"/>
  <c r="O58" i="12"/>
  <c r="Y58" i="12" s="1"/>
  <c r="N58" i="12"/>
  <c r="N93" i="12" s="1"/>
  <c r="M58" i="12"/>
  <c r="L58" i="12"/>
  <c r="L93" i="12" s="1"/>
  <c r="K58" i="12"/>
  <c r="K60" i="12" s="1"/>
  <c r="K96" i="12" s="1"/>
  <c r="J58" i="12"/>
  <c r="J93" i="12" s="1"/>
  <c r="I58" i="12"/>
  <c r="I93" i="12" s="1"/>
  <c r="H58" i="12"/>
  <c r="H93" i="12" s="1"/>
  <c r="G58" i="12"/>
  <c r="G93" i="12" s="1"/>
  <c r="F58" i="12"/>
  <c r="F93" i="12" s="1"/>
  <c r="Y69" i="12"/>
  <c r="E56" i="12"/>
  <c r="F32" i="4"/>
  <c r="O26" i="10"/>
  <c r="N26" i="10"/>
  <c r="M26" i="10"/>
  <c r="L26" i="10"/>
  <c r="K26" i="10"/>
  <c r="J26" i="10"/>
  <c r="I26" i="10"/>
  <c r="H26" i="10"/>
  <c r="G26" i="10"/>
  <c r="F26" i="10"/>
  <c r="K30" i="11"/>
  <c r="G27" i="11"/>
  <c r="H27" i="11" s="1"/>
  <c r="I27" i="11" s="1"/>
  <c r="F28" i="11"/>
  <c r="G28" i="11" s="1"/>
  <c r="H28" i="11" s="1"/>
  <c r="F27" i="11"/>
  <c r="F26" i="11"/>
  <c r="G26" i="11" s="1"/>
  <c r="F25" i="11"/>
  <c r="G25" i="11" s="1"/>
  <c r="H25" i="11" s="1"/>
  <c r="I25" i="11" s="1"/>
  <c r="J25" i="11" s="1"/>
  <c r="K25" i="11" s="1"/>
  <c r="S72" i="12" l="1"/>
  <c r="R84" i="12"/>
  <c r="R80" i="12"/>
  <c r="S80" i="12"/>
  <c r="U74" i="12"/>
  <c r="Y74" i="12"/>
  <c r="Y73" i="12"/>
  <c r="Y75" i="12"/>
  <c r="S71" i="12"/>
  <c r="Q80" i="12"/>
  <c r="P80" i="12"/>
  <c r="O96" i="12"/>
  <c r="I60" i="12"/>
  <c r="I96" i="12" s="1"/>
  <c r="J80" i="12"/>
  <c r="L80" i="12"/>
  <c r="O93" i="12"/>
  <c r="L89" i="12"/>
  <c r="L92" i="12" s="1"/>
  <c r="J89" i="12"/>
  <c r="J92" i="12" s="1"/>
  <c r="L84" i="12"/>
  <c r="F60" i="12"/>
  <c r="N60" i="12"/>
  <c r="J70" i="12"/>
  <c r="M60" i="12"/>
  <c r="N89" i="12" s="1"/>
  <c r="N92" i="12" s="1"/>
  <c r="N80" i="12"/>
  <c r="R77" i="12"/>
  <c r="R79" i="12" s="1"/>
  <c r="G70" i="12"/>
  <c r="W69" i="12"/>
  <c r="K80" i="12"/>
  <c r="W74" i="12"/>
  <c r="Q77" i="12"/>
  <c r="Q79" i="12" s="1"/>
  <c r="K70" i="12"/>
  <c r="X72" i="12"/>
  <c r="F65" i="12"/>
  <c r="F66" i="12" s="1"/>
  <c r="W75" i="12"/>
  <c r="I84" i="12"/>
  <c r="P77" i="12"/>
  <c r="P79" i="12" s="1"/>
  <c r="M80" i="12"/>
  <c r="W64" i="12"/>
  <c r="G60" i="12"/>
  <c r="H89" i="12" s="1"/>
  <c r="H92" i="12" s="1"/>
  <c r="X64" i="12"/>
  <c r="L65" i="12"/>
  <c r="F84" i="12"/>
  <c r="O65" i="12"/>
  <c r="W68" i="12"/>
  <c r="G84" i="12"/>
  <c r="W72" i="12"/>
  <c r="J60" i="12"/>
  <c r="K89" i="12" s="1"/>
  <c r="K92" i="12" s="1"/>
  <c r="F83" i="12"/>
  <c r="N83" i="12"/>
  <c r="N76" i="12"/>
  <c r="O60" i="12"/>
  <c r="G65" i="12"/>
  <c r="K83" i="12"/>
  <c r="H65" i="12"/>
  <c r="F76" i="12"/>
  <c r="X73" i="12"/>
  <c r="N70" i="12"/>
  <c r="X71" i="12"/>
  <c r="N84" i="12"/>
  <c r="X58" i="12"/>
  <c r="X61" i="12"/>
  <c r="O70" i="12"/>
  <c r="Y70" i="12" s="1"/>
  <c r="O84" i="12"/>
  <c r="H60" i="12"/>
  <c r="G76" i="12"/>
  <c r="G77" i="12" s="1"/>
  <c r="G79" i="12" s="1"/>
  <c r="Y68" i="12"/>
  <c r="I65" i="12"/>
  <c r="G83" i="12"/>
  <c r="O83" i="12"/>
  <c r="K65" i="12"/>
  <c r="K66" i="12" s="1"/>
  <c r="L76" i="12"/>
  <c r="F70" i="12"/>
  <c r="W58" i="12"/>
  <c r="W73" i="12"/>
  <c r="L60" i="12"/>
  <c r="M89" i="12" s="1"/>
  <c r="M92" i="12" s="1"/>
  <c r="J65" i="12"/>
  <c r="J84" i="12"/>
  <c r="X63" i="12"/>
  <c r="X75" i="12"/>
  <c r="L83" i="12"/>
  <c r="H83" i="12"/>
  <c r="I83" i="12"/>
  <c r="M83" i="12"/>
  <c r="K76" i="12"/>
  <c r="M84" i="12"/>
  <c r="H84" i="12"/>
  <c r="K84" i="12"/>
  <c r="H76" i="12"/>
  <c r="M76" i="12"/>
  <c r="M77" i="12" s="1"/>
  <c r="J76" i="12"/>
  <c r="J83" i="12"/>
  <c r="I76" i="12"/>
  <c r="L70" i="12"/>
  <c r="H70" i="12"/>
  <c r="M70" i="12"/>
  <c r="W70" i="12"/>
  <c r="I70" i="12"/>
  <c r="X68" i="12"/>
  <c r="M65" i="12"/>
  <c r="W62" i="12"/>
  <c r="W61" i="12"/>
  <c r="X62" i="12"/>
  <c r="N65" i="12"/>
  <c r="N66" i="12" s="1"/>
  <c r="W63" i="12"/>
  <c r="Y61" i="12"/>
  <c r="X59" i="12"/>
  <c r="Y59" i="12"/>
  <c r="W59" i="12"/>
  <c r="O76" i="12"/>
  <c r="G29" i="11"/>
  <c r="G31" i="11" s="1"/>
  <c r="H26" i="11"/>
  <c r="I26" i="11" s="1"/>
  <c r="J26" i="11" s="1"/>
  <c r="K26" i="11" s="1"/>
  <c r="F29" i="11"/>
  <c r="F31" i="11" s="1"/>
  <c r="F32" i="11" s="1"/>
  <c r="I28" i="11"/>
  <c r="J28" i="11" s="1"/>
  <c r="K28" i="11" s="1"/>
  <c r="H29" i="11"/>
  <c r="H31" i="11" s="1"/>
  <c r="J27" i="11"/>
  <c r="E19" i="11"/>
  <c r="E20" i="11"/>
  <c r="S76" i="12" l="1"/>
  <c r="S77" i="12" s="1"/>
  <c r="S79" i="12" s="1"/>
  <c r="T71" i="12"/>
  <c r="T72" i="12"/>
  <c r="S84" i="12"/>
  <c r="T80" i="12"/>
  <c r="K77" i="12"/>
  <c r="J66" i="12"/>
  <c r="G96" i="12"/>
  <c r="I66" i="12"/>
  <c r="X60" i="12"/>
  <c r="M96" i="12"/>
  <c r="L96" i="12"/>
  <c r="O89" i="12"/>
  <c r="O92" i="12" s="1"/>
  <c r="N96" i="12"/>
  <c r="J96" i="12"/>
  <c r="I89" i="12"/>
  <c r="I92" i="12" s="1"/>
  <c r="H96" i="12"/>
  <c r="G89" i="12"/>
  <c r="G92" i="12" s="1"/>
  <c r="F96" i="12"/>
  <c r="J77" i="12"/>
  <c r="J79" i="12" s="1"/>
  <c r="M66" i="12"/>
  <c r="L66" i="12"/>
  <c r="W60" i="12"/>
  <c r="N77" i="12"/>
  <c r="N79" i="12"/>
  <c r="X70" i="12"/>
  <c r="K79" i="12"/>
  <c r="M79" i="12"/>
  <c r="G66" i="12"/>
  <c r="P89" i="12"/>
  <c r="F77" i="12"/>
  <c r="F79" i="12" s="1"/>
  <c r="X65" i="12"/>
  <c r="W65" i="12"/>
  <c r="O66" i="12"/>
  <c r="X66" i="12" s="1"/>
  <c r="H66" i="12"/>
  <c r="I77" i="12"/>
  <c r="I79" i="12" s="1"/>
  <c r="L77" i="12"/>
  <c r="L79" i="12" s="1"/>
  <c r="H77" i="12"/>
  <c r="H79" i="12" s="1"/>
  <c r="X76" i="12"/>
  <c r="W76" i="12"/>
  <c r="W66" i="12"/>
  <c r="O77" i="12"/>
  <c r="O79" i="12" s="1"/>
  <c r="G32" i="11"/>
  <c r="K27" i="11"/>
  <c r="K29" i="11" s="1"/>
  <c r="K31" i="11" s="1"/>
  <c r="J29" i="11"/>
  <c r="J31" i="11" s="1"/>
  <c r="I29" i="11"/>
  <c r="I31" i="11" s="1"/>
  <c r="P38" i="12"/>
  <c r="Y34" i="12"/>
  <c r="Y21" i="12"/>
  <c r="Y17" i="12"/>
  <c r="Y16" i="12"/>
  <c r="Y14" i="12"/>
  <c r="Y13" i="12"/>
  <c r="Y12" i="12"/>
  <c r="B3" i="12"/>
  <c r="U90" i="12" s="1"/>
  <c r="G16" i="4"/>
  <c r="H16" i="4" s="1"/>
  <c r="I16" i="4" s="1"/>
  <c r="J16" i="4" s="1"/>
  <c r="O24" i="12"/>
  <c r="E46" i="12"/>
  <c r="O44" i="12"/>
  <c r="N44" i="12"/>
  <c r="N49" i="12" s="1"/>
  <c r="M44" i="12"/>
  <c r="M49" i="12" s="1"/>
  <c r="L44" i="12"/>
  <c r="L49" i="12" s="1"/>
  <c r="K44" i="12"/>
  <c r="K49" i="12" s="1"/>
  <c r="J44" i="12"/>
  <c r="J49" i="12" s="1"/>
  <c r="I44" i="12"/>
  <c r="I49" i="12" s="1"/>
  <c r="H44" i="12"/>
  <c r="H49" i="12" s="1"/>
  <c r="G44" i="12"/>
  <c r="G49" i="12" s="1"/>
  <c r="F44" i="12"/>
  <c r="F49" i="12" s="1"/>
  <c r="O43" i="12"/>
  <c r="N43" i="12"/>
  <c r="N48" i="12" s="1"/>
  <c r="M43" i="12"/>
  <c r="M48" i="12" s="1"/>
  <c r="L43" i="12"/>
  <c r="L48" i="12" s="1"/>
  <c r="K43" i="12"/>
  <c r="K48" i="12" s="1"/>
  <c r="J43" i="12"/>
  <c r="J48" i="12" s="1"/>
  <c r="I43" i="12"/>
  <c r="I48" i="12" s="1"/>
  <c r="H43" i="12"/>
  <c r="H48" i="12" s="1"/>
  <c r="G43" i="12"/>
  <c r="G48" i="12" s="1"/>
  <c r="F43" i="12"/>
  <c r="F48" i="12" s="1"/>
  <c r="O42" i="12"/>
  <c r="F21" i="4" s="1"/>
  <c r="G21" i="4" s="1"/>
  <c r="H21" i="4" s="1"/>
  <c r="I21" i="4" s="1"/>
  <c r="J21" i="4" s="1"/>
  <c r="N42" i="12"/>
  <c r="N47" i="12" s="1"/>
  <c r="M42" i="12"/>
  <c r="M47" i="12" s="1"/>
  <c r="L42" i="12"/>
  <c r="K42" i="12"/>
  <c r="K47" i="12" s="1"/>
  <c r="J42" i="12"/>
  <c r="J47" i="12" s="1"/>
  <c r="I42" i="12"/>
  <c r="I47" i="12" s="1"/>
  <c r="H42" i="12"/>
  <c r="H47" i="12" s="1"/>
  <c r="G42" i="12"/>
  <c r="G47" i="12" s="1"/>
  <c r="F42" i="12"/>
  <c r="F47" i="12" s="1"/>
  <c r="O39" i="12"/>
  <c r="N39" i="12"/>
  <c r="M39" i="12"/>
  <c r="L39" i="12"/>
  <c r="K39" i="12"/>
  <c r="J39" i="12"/>
  <c r="I39" i="12"/>
  <c r="H39" i="12"/>
  <c r="G39" i="12"/>
  <c r="F39" i="12"/>
  <c r="X38" i="12"/>
  <c r="W38" i="12"/>
  <c r="X37" i="12"/>
  <c r="W37" i="12"/>
  <c r="X36" i="12"/>
  <c r="W36" i="12"/>
  <c r="X35" i="12"/>
  <c r="W35" i="12"/>
  <c r="X34" i="12"/>
  <c r="W34" i="12"/>
  <c r="E32" i="12"/>
  <c r="N24" i="12"/>
  <c r="M24" i="12"/>
  <c r="L24" i="12"/>
  <c r="K24" i="12"/>
  <c r="J24" i="12"/>
  <c r="I24" i="12"/>
  <c r="H24" i="12"/>
  <c r="G24" i="12"/>
  <c r="F24" i="12"/>
  <c r="X21" i="12"/>
  <c r="W21" i="12"/>
  <c r="X20" i="12"/>
  <c r="W20" i="12"/>
  <c r="O18" i="12"/>
  <c r="P18" i="12" s="1"/>
  <c r="N18" i="12"/>
  <c r="M18" i="12"/>
  <c r="L18" i="12"/>
  <c r="K18" i="12"/>
  <c r="J18" i="12"/>
  <c r="I18" i="12"/>
  <c r="H18" i="12"/>
  <c r="G18" i="12"/>
  <c r="F18" i="12"/>
  <c r="X17" i="12"/>
  <c r="W17" i="12"/>
  <c r="X16" i="12"/>
  <c r="W16" i="12"/>
  <c r="O15" i="12"/>
  <c r="O25" i="12" s="1"/>
  <c r="N15" i="12"/>
  <c r="M15" i="12"/>
  <c r="M25" i="12" s="1"/>
  <c r="L15" i="12"/>
  <c r="L25" i="12" s="1"/>
  <c r="K15" i="12"/>
  <c r="J15" i="12"/>
  <c r="I15" i="12"/>
  <c r="H15" i="12"/>
  <c r="G15" i="12"/>
  <c r="F15" i="12"/>
  <c r="F25" i="12" s="1"/>
  <c r="X14" i="12"/>
  <c r="W14" i="12"/>
  <c r="X13" i="12"/>
  <c r="W13" i="12"/>
  <c r="X12" i="12"/>
  <c r="W12" i="12"/>
  <c r="X11" i="12"/>
  <c r="W11" i="12"/>
  <c r="E9" i="12"/>
  <c r="E8" i="12"/>
  <c r="D5" i="12"/>
  <c r="D3" i="12"/>
  <c r="O51" i="10"/>
  <c r="R51" i="10" s="1"/>
  <c r="E8" i="11"/>
  <c r="E9" i="11"/>
  <c r="D5" i="11"/>
  <c r="D3" i="11"/>
  <c r="F101" i="10"/>
  <c r="F93" i="10"/>
  <c r="G101" i="10"/>
  <c r="H101" i="10"/>
  <c r="I101" i="10"/>
  <c r="G93" i="10"/>
  <c r="H93" i="10"/>
  <c r="H102" i="10" s="1"/>
  <c r="H104" i="10" s="1"/>
  <c r="I93" i="10"/>
  <c r="F54" i="10"/>
  <c r="F53" i="10"/>
  <c r="G50" i="10"/>
  <c r="G53" i="10"/>
  <c r="G54" i="10"/>
  <c r="F52" i="10"/>
  <c r="G52" i="10"/>
  <c r="F51" i="10"/>
  <c r="G51" i="10"/>
  <c r="F50" i="10"/>
  <c r="F43" i="10"/>
  <c r="F44" i="10" s="1"/>
  <c r="G43" i="10"/>
  <c r="F38" i="10"/>
  <c r="G38" i="10"/>
  <c r="G39" i="10" s="1"/>
  <c r="H54" i="10"/>
  <c r="H52" i="10"/>
  <c r="I52" i="10"/>
  <c r="I54" i="10"/>
  <c r="H53" i="10"/>
  <c r="I53" i="10"/>
  <c r="H51" i="10"/>
  <c r="I51" i="10"/>
  <c r="H50" i="10"/>
  <c r="I50" i="10"/>
  <c r="H43" i="10"/>
  <c r="H44" i="10" s="1"/>
  <c r="I43" i="10"/>
  <c r="I44" i="10" s="1"/>
  <c r="H38" i="10"/>
  <c r="H39" i="10" s="1"/>
  <c r="I38" i="10"/>
  <c r="J54" i="10"/>
  <c r="K54" i="10"/>
  <c r="J53" i="10"/>
  <c r="K53" i="10"/>
  <c r="J52" i="10"/>
  <c r="K52" i="10"/>
  <c r="J51" i="10"/>
  <c r="K51" i="10"/>
  <c r="J50" i="10"/>
  <c r="K50" i="10"/>
  <c r="J43" i="10"/>
  <c r="K43" i="10"/>
  <c r="K44" i="10" s="1"/>
  <c r="J38" i="10"/>
  <c r="J39" i="10" s="1"/>
  <c r="K38" i="10"/>
  <c r="K39" i="10" s="1"/>
  <c r="Q14" i="10"/>
  <c r="Q95" i="10"/>
  <c r="R100" i="10"/>
  <c r="Q100" i="10"/>
  <c r="R99" i="10"/>
  <c r="Q99" i="10"/>
  <c r="R98" i="10"/>
  <c r="Q98" i="10"/>
  <c r="R97" i="10"/>
  <c r="Q97" i="10"/>
  <c r="R96" i="10"/>
  <c r="Q96" i="10"/>
  <c r="R95" i="10"/>
  <c r="R94" i="10"/>
  <c r="Q94" i="10"/>
  <c r="R85" i="10"/>
  <c r="Q85" i="10"/>
  <c r="R84" i="10"/>
  <c r="Q84" i="10"/>
  <c r="R83" i="10"/>
  <c r="Q83" i="10"/>
  <c r="R82" i="10"/>
  <c r="Q82" i="10"/>
  <c r="R73" i="10"/>
  <c r="Q73" i="10"/>
  <c r="R71" i="10"/>
  <c r="Q71" i="10"/>
  <c r="R48" i="10"/>
  <c r="Q48" i="10"/>
  <c r="R47" i="10"/>
  <c r="Q47" i="10"/>
  <c r="R46" i="10"/>
  <c r="Q46" i="10"/>
  <c r="R42" i="10"/>
  <c r="Q42" i="10"/>
  <c r="R41" i="10"/>
  <c r="Q41" i="10"/>
  <c r="R40" i="10"/>
  <c r="Q40" i="10"/>
  <c r="R81" i="10"/>
  <c r="Q81" i="10"/>
  <c r="R70" i="10"/>
  <c r="Q70" i="10"/>
  <c r="R37" i="10"/>
  <c r="Q37" i="10"/>
  <c r="Q21" i="10"/>
  <c r="Q20" i="10"/>
  <c r="Q17" i="10"/>
  <c r="Q16" i="10"/>
  <c r="Q13" i="10"/>
  <c r="Q12" i="10"/>
  <c r="Q11" i="10"/>
  <c r="R21" i="10"/>
  <c r="R20" i="10"/>
  <c r="R17" i="10"/>
  <c r="R16" i="10"/>
  <c r="R14" i="10"/>
  <c r="R13" i="10"/>
  <c r="R12" i="10"/>
  <c r="R11" i="10"/>
  <c r="F24" i="10"/>
  <c r="G24" i="10"/>
  <c r="F102" i="10"/>
  <c r="F104" i="10" s="1"/>
  <c r="F86" i="10"/>
  <c r="F88" i="10" s="1"/>
  <c r="F72" i="10"/>
  <c r="F49" i="10"/>
  <c r="F39" i="10"/>
  <c r="F18" i="10"/>
  <c r="F15" i="10"/>
  <c r="J101" i="10"/>
  <c r="K101" i="10"/>
  <c r="L101" i="10"/>
  <c r="J93" i="10"/>
  <c r="K93" i="10"/>
  <c r="L93" i="10"/>
  <c r="K86" i="10"/>
  <c r="K88" i="10" s="1"/>
  <c r="J86" i="10"/>
  <c r="J88" i="10" s="1"/>
  <c r="I86" i="10"/>
  <c r="I88" i="10" s="1"/>
  <c r="H86" i="10"/>
  <c r="H88" i="10" s="1"/>
  <c r="G86" i="10"/>
  <c r="G88" i="10" s="1"/>
  <c r="O86" i="10"/>
  <c r="O88" i="10" s="1"/>
  <c r="N86" i="10"/>
  <c r="N88" i="10" s="1"/>
  <c r="M86" i="10"/>
  <c r="M88" i="10" s="1"/>
  <c r="L86" i="10"/>
  <c r="L88" i="10" s="1"/>
  <c r="L54" i="10"/>
  <c r="M54" i="10"/>
  <c r="L53" i="10"/>
  <c r="M53" i="10"/>
  <c r="L52" i="10"/>
  <c r="M52" i="10"/>
  <c r="L51" i="10"/>
  <c r="M51" i="10"/>
  <c r="L43" i="10"/>
  <c r="L44" i="10" s="1"/>
  <c r="M43" i="10"/>
  <c r="M44" i="10" s="1"/>
  <c r="L38" i="10"/>
  <c r="L39" i="10" s="1"/>
  <c r="M38" i="10"/>
  <c r="M39" i="10" s="1"/>
  <c r="M101" i="10"/>
  <c r="N101" i="10"/>
  <c r="O101" i="10"/>
  <c r="M93" i="10"/>
  <c r="N93" i="10"/>
  <c r="O93" i="10"/>
  <c r="Q93" i="10" s="1"/>
  <c r="E91" i="10"/>
  <c r="E79" i="10"/>
  <c r="L15" i="10"/>
  <c r="L25" i="10" s="1"/>
  <c r="I15" i="10"/>
  <c r="I25" i="10" s="1"/>
  <c r="H15" i="10"/>
  <c r="H25" i="10" s="1"/>
  <c r="G15" i="10"/>
  <c r="G25" i="10" s="1"/>
  <c r="E68" i="10"/>
  <c r="E35" i="10"/>
  <c r="E9" i="10"/>
  <c r="N72" i="10"/>
  <c r="M72" i="10"/>
  <c r="L72" i="10"/>
  <c r="K72" i="10"/>
  <c r="J72" i="10"/>
  <c r="I72" i="10"/>
  <c r="H72" i="10"/>
  <c r="G72" i="10"/>
  <c r="O72" i="10"/>
  <c r="O24" i="10"/>
  <c r="N24" i="10"/>
  <c r="M24" i="10"/>
  <c r="L24" i="10"/>
  <c r="K24" i="10"/>
  <c r="J24" i="10"/>
  <c r="I24" i="10"/>
  <c r="H24" i="10"/>
  <c r="N54" i="10"/>
  <c r="O54" i="10"/>
  <c r="Q54" i="10" s="1"/>
  <c r="N53" i="10"/>
  <c r="O53" i="10"/>
  <c r="R53" i="10" s="1"/>
  <c r="N52" i="10"/>
  <c r="O52" i="10"/>
  <c r="N51" i="10"/>
  <c r="N50" i="10"/>
  <c r="O50" i="10"/>
  <c r="R50" i="10" s="1"/>
  <c r="M49" i="10"/>
  <c r="L49" i="10"/>
  <c r="K49" i="10"/>
  <c r="J49" i="10"/>
  <c r="I49" i="10"/>
  <c r="H49" i="10"/>
  <c r="G49" i="10"/>
  <c r="N49" i="10"/>
  <c r="O49" i="10"/>
  <c r="F17" i="11" s="1"/>
  <c r="J44" i="10"/>
  <c r="G44" i="10"/>
  <c r="N43" i="10"/>
  <c r="N44" i="10" s="1"/>
  <c r="O43" i="10"/>
  <c r="O44" i="10" s="1"/>
  <c r="I39" i="10"/>
  <c r="N38" i="10"/>
  <c r="N39" i="10" s="1"/>
  <c r="O38" i="10"/>
  <c r="O39" i="10" s="1"/>
  <c r="N18" i="10"/>
  <c r="M18" i="10"/>
  <c r="L18" i="10"/>
  <c r="K18" i="10"/>
  <c r="J18" i="10"/>
  <c r="I18" i="10"/>
  <c r="H18" i="10"/>
  <c r="G18" i="10"/>
  <c r="O18" i="10"/>
  <c r="R18" i="10" s="1"/>
  <c r="K15" i="10"/>
  <c r="K25" i="10" s="1"/>
  <c r="J15" i="10"/>
  <c r="J25" i="10" s="1"/>
  <c r="N15" i="10"/>
  <c r="N25" i="10" s="1"/>
  <c r="M15" i="10"/>
  <c r="M25" i="10" s="1"/>
  <c r="D5" i="10"/>
  <c r="D3" i="10"/>
  <c r="A3" i="4"/>
  <c r="A1" i="4"/>
  <c r="A3" i="2"/>
  <c r="A1" i="2"/>
  <c r="A2" i="3"/>
  <c r="A2" i="2" s="1"/>
  <c r="T84" i="12" l="1"/>
  <c r="U72" i="12"/>
  <c r="U84" i="12" s="1"/>
  <c r="Y72" i="12"/>
  <c r="T76" i="12"/>
  <c r="U71" i="12"/>
  <c r="U76" i="12" s="1"/>
  <c r="U77" i="12" s="1"/>
  <c r="U79" i="12" s="1"/>
  <c r="Y71" i="12"/>
  <c r="P96" i="12"/>
  <c r="W42" i="12"/>
  <c r="K53" i="12"/>
  <c r="P42" i="12"/>
  <c r="K51" i="12"/>
  <c r="X42" i="12"/>
  <c r="X77" i="12"/>
  <c r="W77" i="12"/>
  <c r="F13" i="11"/>
  <c r="R39" i="10"/>
  <c r="Q101" i="10"/>
  <c r="R44" i="10"/>
  <c r="I102" i="10"/>
  <c r="I104" i="10" s="1"/>
  <c r="O49" i="12"/>
  <c r="X49" i="12" s="1"/>
  <c r="F23" i="4"/>
  <c r="G23" i="4" s="1"/>
  <c r="H23" i="4" s="1"/>
  <c r="I23" i="4" s="1"/>
  <c r="J23" i="4" s="1"/>
  <c r="W44" i="12"/>
  <c r="L53" i="12"/>
  <c r="O47" i="12"/>
  <c r="O51" i="12" s="1"/>
  <c r="H51" i="12"/>
  <c r="X43" i="12"/>
  <c r="F22" i="4"/>
  <c r="G22" i="4" s="1"/>
  <c r="H22" i="4" s="1"/>
  <c r="I22" i="4" s="1"/>
  <c r="J22" i="4" s="1"/>
  <c r="M53" i="12"/>
  <c r="Q42" i="12"/>
  <c r="H32" i="11"/>
  <c r="U52" i="12"/>
  <c r="K23" i="11"/>
  <c r="Q38" i="12"/>
  <c r="R38" i="12" s="1"/>
  <c r="S38" i="12" s="1"/>
  <c r="T38" i="12" s="1"/>
  <c r="Q18" i="12"/>
  <c r="R18" i="12" s="1"/>
  <c r="S18" i="12" s="1"/>
  <c r="T18" i="12" s="1"/>
  <c r="H53" i="12"/>
  <c r="J51" i="12"/>
  <c r="N53" i="12"/>
  <c r="N51" i="12"/>
  <c r="K52" i="12"/>
  <c r="D4" i="12"/>
  <c r="U53" i="12"/>
  <c r="D4" i="11"/>
  <c r="M52" i="12"/>
  <c r="L52" i="12"/>
  <c r="N52" i="12"/>
  <c r="G52" i="12"/>
  <c r="H52" i="12"/>
  <c r="I52" i="12"/>
  <c r="J52" i="12"/>
  <c r="O48" i="12"/>
  <c r="X48" i="12" s="1"/>
  <c r="X44" i="12"/>
  <c r="I51" i="12"/>
  <c r="G53" i="12"/>
  <c r="L47" i="12"/>
  <c r="M51" i="12" s="1"/>
  <c r="J53" i="12"/>
  <c r="I53" i="12"/>
  <c r="W43" i="12"/>
  <c r="U51" i="12"/>
  <c r="G51" i="12"/>
  <c r="W18" i="12"/>
  <c r="N19" i="12"/>
  <c r="W15" i="12"/>
  <c r="O19" i="12"/>
  <c r="H19" i="12"/>
  <c r="H25" i="12"/>
  <c r="J19" i="12"/>
  <c r="K19" i="12"/>
  <c r="X15" i="12"/>
  <c r="G19" i="12"/>
  <c r="X18" i="12"/>
  <c r="G25" i="12"/>
  <c r="I19" i="12"/>
  <c r="N25" i="12"/>
  <c r="F19" i="12"/>
  <c r="F26" i="12" s="1"/>
  <c r="M19" i="12"/>
  <c r="L19" i="12"/>
  <c r="W39" i="12"/>
  <c r="I25" i="12"/>
  <c r="X39" i="12"/>
  <c r="J25" i="12"/>
  <c r="K25" i="12"/>
  <c r="G102" i="10"/>
  <c r="G104" i="10" s="1"/>
  <c r="R49" i="10"/>
  <c r="Q51" i="10"/>
  <c r="R54" i="10"/>
  <c r="Q18" i="10"/>
  <c r="R52" i="10"/>
  <c r="R101" i="10"/>
  <c r="R93" i="10"/>
  <c r="Q39" i="10"/>
  <c r="Q86" i="10"/>
  <c r="K102" i="10"/>
  <c r="K104" i="10" s="1"/>
  <c r="Q44" i="10"/>
  <c r="R86" i="10"/>
  <c r="Q52" i="10"/>
  <c r="Q49" i="10"/>
  <c r="Q38" i="10"/>
  <c r="R38" i="10"/>
  <c r="Q43" i="10"/>
  <c r="Q53" i="10"/>
  <c r="Q72" i="10"/>
  <c r="R43" i="10"/>
  <c r="R72" i="10"/>
  <c r="F55" i="10"/>
  <c r="G55" i="10"/>
  <c r="G56" i="10" s="1"/>
  <c r="G58" i="10" s="1"/>
  <c r="Q50" i="10"/>
  <c r="I55" i="10"/>
  <c r="I56" i="10" s="1"/>
  <c r="I58" i="10" s="1"/>
  <c r="H55" i="10"/>
  <c r="H56" i="10" s="1"/>
  <c r="H58" i="10" s="1"/>
  <c r="J55" i="10"/>
  <c r="J56" i="10" s="1"/>
  <c r="J58" i="10" s="1"/>
  <c r="K55" i="10"/>
  <c r="K56" i="10" s="1"/>
  <c r="K58" i="10" s="1"/>
  <c r="J102" i="10"/>
  <c r="J104" i="10" s="1"/>
  <c r="F45" i="10"/>
  <c r="F19" i="10"/>
  <c r="F25" i="10"/>
  <c r="L102" i="10"/>
  <c r="L104" i="10" s="1"/>
  <c r="N102" i="10"/>
  <c r="N104" i="10" s="1"/>
  <c r="M102" i="10"/>
  <c r="M104" i="10" s="1"/>
  <c r="L55" i="10"/>
  <c r="L56" i="10" s="1"/>
  <c r="L58" i="10" s="1"/>
  <c r="M55" i="10"/>
  <c r="M56" i="10" s="1"/>
  <c r="M58" i="10" s="1"/>
  <c r="O102" i="10"/>
  <c r="C88" i="10" a="1"/>
  <c r="C88" i="10" s="1"/>
  <c r="O15" i="10"/>
  <c r="N55" i="10"/>
  <c r="N56" i="10" s="1"/>
  <c r="N58" i="10" s="1"/>
  <c r="M45" i="10"/>
  <c r="I45" i="10"/>
  <c r="O55" i="10"/>
  <c r="G45" i="10"/>
  <c r="H45" i="10"/>
  <c r="J45" i="10"/>
  <c r="K45" i="10"/>
  <c r="L45" i="10"/>
  <c r="O45" i="10"/>
  <c r="R45" i="10" s="1"/>
  <c r="N45" i="10"/>
  <c r="G19" i="10"/>
  <c r="G22" i="10" s="1"/>
  <c r="H19" i="10"/>
  <c r="H22" i="10" s="1"/>
  <c r="J19" i="10"/>
  <c r="J22" i="10" s="1"/>
  <c r="L19" i="10"/>
  <c r="L22" i="10" s="1"/>
  <c r="I19" i="10"/>
  <c r="I22" i="10" s="1"/>
  <c r="K19" i="10"/>
  <c r="K22" i="10" s="1"/>
  <c r="K32" i="10" s="1"/>
  <c r="M19" i="10"/>
  <c r="M22" i="10" s="1"/>
  <c r="N19" i="10"/>
  <c r="N22" i="10" s="1"/>
  <c r="A2" i="4"/>
  <c r="D4" i="10"/>
  <c r="A2" i="1"/>
  <c r="A3" i="1"/>
  <c r="A1" i="3"/>
  <c r="U80" i="12" l="1"/>
  <c r="T77" i="12"/>
  <c r="Y76" i="12"/>
  <c r="Q96" i="12"/>
  <c r="R96" i="12" s="1"/>
  <c r="S96" i="12" s="1"/>
  <c r="T96" i="12" s="1"/>
  <c r="U96" i="12" s="1"/>
  <c r="P91" i="12"/>
  <c r="P93" i="12" s="1"/>
  <c r="W49" i="12"/>
  <c r="O53" i="12"/>
  <c r="P44" i="12"/>
  <c r="Q44" i="12" s="1"/>
  <c r="R44" i="12" s="1"/>
  <c r="U18" i="12"/>
  <c r="Y18" i="12"/>
  <c r="W47" i="12"/>
  <c r="P47" i="12"/>
  <c r="Q47" i="12" s="1"/>
  <c r="P49" i="12"/>
  <c r="P43" i="12"/>
  <c r="I32" i="11"/>
  <c r="S44" i="12"/>
  <c r="R42" i="12"/>
  <c r="U38" i="12"/>
  <c r="Y38" i="12"/>
  <c r="G22" i="12"/>
  <c r="G26" i="12"/>
  <c r="L22" i="12"/>
  <c r="L26" i="12"/>
  <c r="M22" i="12"/>
  <c r="M26" i="12"/>
  <c r="J22" i="12"/>
  <c r="J26" i="12"/>
  <c r="Q43" i="12"/>
  <c r="I22" i="12"/>
  <c r="I26" i="12"/>
  <c r="H22" i="12"/>
  <c r="H26" i="12"/>
  <c r="N22" i="12"/>
  <c r="N27" i="12" s="1"/>
  <c r="N26" i="12"/>
  <c r="K22" i="12"/>
  <c r="K26" i="12"/>
  <c r="R43" i="12"/>
  <c r="S43" i="12" s="1"/>
  <c r="O22" i="12"/>
  <c r="O26" i="12"/>
  <c r="T44" i="12"/>
  <c r="Y44" i="12" s="1"/>
  <c r="O52" i="12"/>
  <c r="W48" i="12"/>
  <c r="P48" i="12"/>
  <c r="X47" i="12"/>
  <c r="L51" i="12"/>
  <c r="W19" i="12"/>
  <c r="F22" i="12"/>
  <c r="X19" i="12"/>
  <c r="O25" i="10"/>
  <c r="F30" i="4" s="1"/>
  <c r="R15" i="10"/>
  <c r="O56" i="10"/>
  <c r="R55" i="10"/>
  <c r="O104" i="10"/>
  <c r="R102" i="10"/>
  <c r="Q102" i="10"/>
  <c r="Q45" i="10"/>
  <c r="Q55" i="10"/>
  <c r="Q15" i="10"/>
  <c r="F56" i="10"/>
  <c r="F65" i="10" s="1"/>
  <c r="F22" i="10"/>
  <c r="C104" i="10" a="1"/>
  <c r="C104" i="10" s="1"/>
  <c r="O19" i="10"/>
  <c r="R19" i="10" s="1"/>
  <c r="H65" i="10"/>
  <c r="G65" i="10"/>
  <c r="I65" i="10"/>
  <c r="M65" i="10"/>
  <c r="L65" i="10"/>
  <c r="K65" i="10"/>
  <c r="J65" i="10"/>
  <c r="N65" i="10"/>
  <c r="I32" i="10"/>
  <c r="I27" i="10"/>
  <c r="N32" i="10"/>
  <c r="N27" i="10"/>
  <c r="L32" i="10"/>
  <c r="L27" i="10"/>
  <c r="J32" i="10"/>
  <c r="J27" i="10"/>
  <c r="M32" i="10"/>
  <c r="M27" i="10"/>
  <c r="H32" i="10"/>
  <c r="H27" i="10"/>
  <c r="G32" i="10"/>
  <c r="K27" i="10"/>
  <c r="A1" i="1"/>
  <c r="T79" i="12" l="1"/>
  <c r="Y77" i="12"/>
  <c r="P60" i="12"/>
  <c r="Q91" i="12"/>
  <c r="P37" i="12"/>
  <c r="K27" i="12"/>
  <c r="L27" i="12"/>
  <c r="I27" i="12"/>
  <c r="O27" i="12"/>
  <c r="M27" i="12"/>
  <c r="X22" i="12"/>
  <c r="G27" i="12"/>
  <c r="Q49" i="12"/>
  <c r="R49" i="12" s="1"/>
  <c r="S49" i="12" s="1"/>
  <c r="T49" i="12" s="1"/>
  <c r="Y49" i="12" s="1"/>
  <c r="J27" i="12"/>
  <c r="H27" i="12"/>
  <c r="P25" i="12"/>
  <c r="G30" i="4"/>
  <c r="P35" i="12"/>
  <c r="P36" i="12"/>
  <c r="J32" i="11"/>
  <c r="T42" i="12"/>
  <c r="S42" i="12"/>
  <c r="Q25" i="12"/>
  <c r="H30" i="4"/>
  <c r="Q48" i="12"/>
  <c r="R48" i="12" s="1"/>
  <c r="S48" i="12" s="1"/>
  <c r="T48" i="12" s="1"/>
  <c r="T43" i="12"/>
  <c r="Y43" i="12" s="1"/>
  <c r="G32" i="4"/>
  <c r="P26" i="12"/>
  <c r="R47" i="12"/>
  <c r="Q35" i="12"/>
  <c r="F27" i="12"/>
  <c r="W22" i="12"/>
  <c r="B2" i="12"/>
  <c r="B2" i="11"/>
  <c r="Q19" i="10"/>
  <c r="Q56" i="10"/>
  <c r="O65" i="10"/>
  <c r="F58" i="10"/>
  <c r="R56" i="10"/>
  <c r="O58" i="10"/>
  <c r="F32" i="10"/>
  <c r="F27" i="10"/>
  <c r="G27" i="10"/>
  <c r="O22" i="10"/>
  <c r="F16" i="11" s="1"/>
  <c r="C65" i="10" a="1"/>
  <c r="C65" i="10" s="1"/>
  <c r="Q36" i="12" l="1"/>
  <c r="U49" i="12"/>
  <c r="Q37" i="12"/>
  <c r="U48" i="12"/>
  <c r="Y48" i="12"/>
  <c r="P39" i="12"/>
  <c r="K32" i="11"/>
  <c r="Y42" i="12"/>
  <c r="U42" i="12"/>
  <c r="Q26" i="12"/>
  <c r="H32" i="4"/>
  <c r="R25" i="12"/>
  <c r="I30" i="4"/>
  <c r="Q39" i="12"/>
  <c r="Q11" i="12" s="1"/>
  <c r="Q15" i="12" s="1"/>
  <c r="S47" i="12"/>
  <c r="R35" i="12"/>
  <c r="R36" i="12"/>
  <c r="R37" i="12"/>
  <c r="O27" i="10"/>
  <c r="R22" i="10"/>
  <c r="Q22" i="10"/>
  <c r="O32" i="10"/>
  <c r="C32" i="10" s="1" a="1"/>
  <c r="C32" i="10" s="1"/>
  <c r="B2" i="10" s="1"/>
  <c r="J30" i="4" l="1"/>
  <c r="T25" i="12" s="1"/>
  <c r="U25" i="12" s="1"/>
  <c r="S25" i="12"/>
  <c r="P11" i="12"/>
  <c r="R26" i="12"/>
  <c r="I32" i="4"/>
  <c r="Q24" i="12"/>
  <c r="S37" i="12"/>
  <c r="S36" i="12"/>
  <c r="R39" i="12"/>
  <c r="R11" i="12" s="1"/>
  <c r="R15" i="12" s="1"/>
  <c r="T47" i="12"/>
  <c r="Y47" i="12" s="1"/>
  <c r="S35" i="12"/>
  <c r="J32" i="4" l="1"/>
  <c r="T26" i="12" s="1"/>
  <c r="U26" i="12" s="1"/>
  <c r="S26" i="12"/>
  <c r="P15" i="12"/>
  <c r="P24" i="12"/>
  <c r="U43" i="12"/>
  <c r="U36" i="12" s="1"/>
  <c r="T36" i="12"/>
  <c r="Y36" i="12" s="1"/>
  <c r="T37" i="12"/>
  <c r="Y37" i="12" s="1"/>
  <c r="U44" i="12"/>
  <c r="U37" i="12" s="1"/>
  <c r="S39" i="12"/>
  <c r="S11" i="12" s="1"/>
  <c r="S15" i="12" s="1"/>
  <c r="U47" i="12"/>
  <c r="U35" i="12" s="1"/>
  <c r="T35" i="12"/>
  <c r="Y35" i="12" s="1"/>
  <c r="R24" i="12"/>
  <c r="Q19" i="12"/>
  <c r="P63" i="12" l="1"/>
  <c r="Q63" i="12" s="1"/>
  <c r="R63" i="12" s="1"/>
  <c r="P62" i="12"/>
  <c r="P64" i="12"/>
  <c r="P19" i="12"/>
  <c r="Q20" i="12"/>
  <c r="Q22" i="12" s="1"/>
  <c r="G22" i="11" s="1"/>
  <c r="G24" i="11" s="1"/>
  <c r="G33" i="11" s="1"/>
  <c r="T39" i="12"/>
  <c r="R19" i="12"/>
  <c r="S24" i="12"/>
  <c r="U39" i="12"/>
  <c r="U11" i="12" s="1"/>
  <c r="U15" i="12" s="1"/>
  <c r="S63" i="12" l="1"/>
  <c r="P65" i="12"/>
  <c r="Q64" i="12"/>
  <c r="R64" i="12" s="1"/>
  <c r="S64" i="12" s="1"/>
  <c r="Q62" i="12"/>
  <c r="P83" i="12"/>
  <c r="T11" i="12"/>
  <c r="U24" i="12" s="1"/>
  <c r="Y39" i="12"/>
  <c r="P20" i="12"/>
  <c r="R20" i="12"/>
  <c r="R22" i="12" s="1"/>
  <c r="S19" i="12"/>
  <c r="R62" i="12" l="1"/>
  <c r="Q83" i="12"/>
  <c r="Q65" i="12"/>
  <c r="R27" i="12"/>
  <c r="H22" i="11"/>
  <c r="H24" i="11" s="1"/>
  <c r="H33" i="11" s="1"/>
  <c r="T24" i="12"/>
  <c r="T63" i="12" s="1"/>
  <c r="T15" i="12"/>
  <c r="Y15" i="12" s="1"/>
  <c r="Y11" i="12"/>
  <c r="P22" i="12"/>
  <c r="F22" i="11" s="1"/>
  <c r="F24" i="11" s="1"/>
  <c r="F33" i="11" s="1"/>
  <c r="S20" i="12"/>
  <c r="S22" i="12" s="1"/>
  <c r="U19" i="12"/>
  <c r="U63" i="12" l="1"/>
  <c r="Y63" i="12"/>
  <c r="T64" i="12"/>
  <c r="S62" i="12"/>
  <c r="R83" i="12"/>
  <c r="R65" i="12"/>
  <c r="S27" i="12"/>
  <c r="I22" i="11"/>
  <c r="I24" i="11" s="1"/>
  <c r="I33" i="11" s="1"/>
  <c r="T19" i="12"/>
  <c r="Y19" i="12" s="1"/>
  <c r="P27" i="12"/>
  <c r="Q27" i="12"/>
  <c r="U20" i="12"/>
  <c r="U22" i="12" s="1"/>
  <c r="K22" i="11" s="1"/>
  <c r="K24" i="11" s="1"/>
  <c r="K33" i="11" s="1"/>
  <c r="T62" i="12" l="1"/>
  <c r="S65" i="12"/>
  <c r="S83" i="12"/>
  <c r="U64" i="12"/>
  <c r="Y64" i="12"/>
  <c r="T20" i="12"/>
  <c r="T22" i="12" s="1"/>
  <c r="U62" i="12" l="1"/>
  <c r="T65" i="12"/>
  <c r="T83" i="12"/>
  <c r="Y62" i="12"/>
  <c r="U27" i="12"/>
  <c r="J22" i="11"/>
  <c r="J24" i="11" s="1"/>
  <c r="J33" i="11" s="1"/>
  <c r="F34" i="11" s="1"/>
  <c r="Y20" i="12"/>
  <c r="T27" i="12"/>
  <c r="Y22" i="12"/>
  <c r="P66" i="12"/>
  <c r="Q89" i="12"/>
  <c r="Q93" i="12" l="1"/>
  <c r="Y65" i="12"/>
  <c r="U65" i="12"/>
  <c r="U83" i="12"/>
  <c r="Q60" i="12" l="1"/>
  <c r="Q66" i="12" s="1"/>
  <c r="R91" i="12"/>
  <c r="R89" i="12"/>
  <c r="R93" i="12" l="1"/>
  <c r="R60" i="12" l="1"/>
  <c r="R66" i="12" s="1"/>
  <c r="S91" i="12"/>
  <c r="S89" i="12"/>
  <c r="S93" i="12" l="1"/>
  <c r="S60" i="12" l="1"/>
  <c r="S66" i="12" s="1"/>
  <c r="T91" i="12"/>
  <c r="T89" i="12"/>
  <c r="T93" i="12" l="1"/>
  <c r="T60" i="12" l="1"/>
  <c r="T66" i="12" s="1"/>
  <c r="Y66" i="12" s="1"/>
  <c r="U91" i="12"/>
  <c r="U89" i="12"/>
  <c r="U93" i="12" s="1"/>
  <c r="U60" i="12" s="1"/>
  <c r="U66" i="12" s="1"/>
  <c r="Y60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<sst xmlns="http://schemas.openxmlformats.org/spreadsheetml/2006/main" count="393" uniqueCount="181">
  <si>
    <t>Font</t>
  </si>
  <si>
    <t>Arial</t>
  </si>
  <si>
    <t>Size</t>
  </si>
  <si>
    <t>Hard-coded</t>
  </si>
  <si>
    <t>Blue</t>
  </si>
  <si>
    <t>Formula</t>
  </si>
  <si>
    <t>Black</t>
  </si>
  <si>
    <t>Direct link</t>
  </si>
  <si>
    <t>Green</t>
  </si>
  <si>
    <t>Different file</t>
  </si>
  <si>
    <t>Red</t>
  </si>
  <si>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</si>
  <si>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</si>
  <si>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</si>
  <si>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</si>
  <si>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</si>
  <si>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</si>
  <si>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</si>
  <si>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</si>
  <si>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</si>
  <si>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</si>
  <si>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BHP</t>
  </si>
  <si>
    <t>Country</t>
  </si>
  <si>
    <t>Australia</t>
  </si>
  <si>
    <t>Exchange</t>
  </si>
  <si>
    <t>NYSE</t>
  </si>
  <si>
    <t>USDmn</t>
  </si>
  <si>
    <t>Revenue</t>
  </si>
  <si>
    <t>Other income</t>
  </si>
  <si>
    <t>Expenses (excl. finance costs)</t>
  </si>
  <si>
    <t>Accounting of equity investments</t>
  </si>
  <si>
    <t>Financial expenses</t>
  </si>
  <si>
    <t>Financial income</t>
  </si>
  <si>
    <t>Net financial result</t>
  </si>
  <si>
    <t>Operating profit (EBIT)</t>
  </si>
  <si>
    <t>EBT</t>
  </si>
  <si>
    <t>Taxes</t>
  </si>
  <si>
    <t>Net income</t>
  </si>
  <si>
    <t>Check</t>
  </si>
  <si>
    <t>Source</t>
  </si>
  <si>
    <t>BHP Group Limited</t>
  </si>
  <si>
    <t>Jun 16</t>
  </si>
  <si>
    <t>Jun 17</t>
  </si>
  <si>
    <t>Jun 18</t>
  </si>
  <si>
    <t>Jun 19</t>
  </si>
  <si>
    <t>Jun 20</t>
  </si>
  <si>
    <t>Jun 21</t>
  </si>
  <si>
    <t>Jun 22</t>
  </si>
  <si>
    <t>Jun 23</t>
  </si>
  <si>
    <t>Jun 24</t>
  </si>
  <si>
    <t>Cash</t>
  </si>
  <si>
    <t>Receivables</t>
  </si>
  <si>
    <t>Inventory</t>
  </si>
  <si>
    <t>Other</t>
  </si>
  <si>
    <t>PPE</t>
  </si>
  <si>
    <t>Other fixed assets</t>
  </si>
  <si>
    <t>Fixed assets</t>
  </si>
  <si>
    <t>Other current assets</t>
  </si>
  <si>
    <t>Current assets</t>
  </si>
  <si>
    <t>Total assets</t>
  </si>
  <si>
    <t>Total liabilities</t>
  </si>
  <si>
    <t>SE</t>
  </si>
  <si>
    <t>Non-controlling interests</t>
  </si>
  <si>
    <t>Total equity</t>
  </si>
  <si>
    <t>Payables</t>
  </si>
  <si>
    <t>Interest bearing liabilities</t>
  </si>
  <si>
    <t>Provisions</t>
  </si>
  <si>
    <t>Other financial liabilities</t>
  </si>
  <si>
    <t>Total L + E</t>
  </si>
  <si>
    <t>CFFO</t>
  </si>
  <si>
    <t>CapEX</t>
  </si>
  <si>
    <t>FCF</t>
  </si>
  <si>
    <t>Revenue growth</t>
  </si>
  <si>
    <t>EBIT-margin</t>
  </si>
  <si>
    <t>Net income growth</t>
  </si>
  <si>
    <t>Source: BHP Group Limited annual report</t>
  </si>
  <si>
    <t>Financing CF</t>
  </si>
  <si>
    <t>Currency</t>
  </si>
  <si>
    <t>Personnel expenses</t>
  </si>
  <si>
    <t>Changes in inventory</t>
  </si>
  <si>
    <t>Raw materials used</t>
  </si>
  <si>
    <t>Transportation</t>
  </si>
  <si>
    <t>External services</t>
  </si>
  <si>
    <t>Commodity purchases (third party)</t>
  </si>
  <si>
    <t>Government royalties</t>
  </si>
  <si>
    <t>D&amp;A</t>
  </si>
  <si>
    <t>Total expenses</t>
  </si>
  <si>
    <t>Total revenues</t>
  </si>
  <si>
    <t>Copper</t>
  </si>
  <si>
    <t>Mining of copper, uranium, gold, zinc, molybdenum and silver</t>
  </si>
  <si>
    <t>Mining of iron ore</t>
  </si>
  <si>
    <t>Mining of steelmaking coal and energy coal</t>
  </si>
  <si>
    <t>Notes</t>
  </si>
  <si>
    <t>Iron Ore</t>
  </si>
  <si>
    <t>Coal</t>
  </si>
  <si>
    <t>Unallocated</t>
  </si>
  <si>
    <t>FY24</t>
  </si>
  <si>
    <t>FY23</t>
  </si>
  <si>
    <t>FY22</t>
  </si>
  <si>
    <t>FY21</t>
  </si>
  <si>
    <t>FY20</t>
  </si>
  <si>
    <t>FY19</t>
  </si>
  <si>
    <t>FY18</t>
  </si>
  <si>
    <t>FY17</t>
  </si>
  <si>
    <t>FY16</t>
  </si>
  <si>
    <t>After tax result discontinued business</t>
  </si>
  <si>
    <t>Petroleum</t>
  </si>
  <si>
    <t>n/a</t>
  </si>
  <si>
    <t>Exploration, development and production of oil and gas</t>
  </si>
  <si>
    <t>FY15</t>
  </si>
  <si>
    <t>Jun 15</t>
  </si>
  <si>
    <t>CAGR</t>
  </si>
  <si>
    <t>FY15-24</t>
  </si>
  <si>
    <t>FY21-24</t>
  </si>
  <si>
    <t>Equity ratio</t>
  </si>
  <si>
    <t>2019: Proceeds from disinvestment (c.10bn)</t>
  </si>
  <si>
    <t>MCap</t>
  </si>
  <si>
    <t>Debt</t>
  </si>
  <si>
    <t>EV</t>
  </si>
  <si>
    <t>P/E</t>
  </si>
  <si>
    <t>P/B</t>
  </si>
  <si>
    <t>FY25E</t>
  </si>
  <si>
    <t>FY26E</t>
  </si>
  <si>
    <t>FY27E</t>
  </si>
  <si>
    <t>FY28E</t>
  </si>
  <si>
    <t>FY29E</t>
  </si>
  <si>
    <t>TV</t>
  </si>
  <si>
    <t>Commodity price development</t>
  </si>
  <si>
    <t>Copper (USD per ton)</t>
  </si>
  <si>
    <t>Iron Ore (USD per ton)</t>
  </si>
  <si>
    <t>Coal (USD per ton)</t>
  </si>
  <si>
    <t>Copper volume growth rate</t>
  </si>
  <si>
    <t>Iron ore volume growth rate</t>
  </si>
  <si>
    <t>Coal volume growth rate</t>
  </si>
  <si>
    <t>BHP clearly price driven and not volume</t>
  </si>
  <si>
    <t>Assumptions</t>
  </si>
  <si>
    <t>TV growth rate</t>
  </si>
  <si>
    <t>Half inflation rate</t>
  </si>
  <si>
    <t>TV growth</t>
  </si>
  <si>
    <t>Tax rate</t>
  </si>
  <si>
    <t>Commodity Prices</t>
  </si>
  <si>
    <t>Volume</t>
  </si>
  <si>
    <t>EBIT-Margin</t>
  </si>
  <si>
    <t>Median of the last 5 years</t>
  </si>
  <si>
    <t>No volume growth in the last 10 years. Assumption therefore also 0%</t>
  </si>
  <si>
    <t>FY24-29E</t>
  </si>
  <si>
    <t>2% increases yoy from FY24</t>
  </si>
  <si>
    <t>Retention of earnings</t>
  </si>
  <si>
    <t>Distributable profits</t>
  </si>
  <si>
    <t>No retention needed, TV growth retention</t>
  </si>
  <si>
    <t>Discount rate</t>
  </si>
  <si>
    <t>Risk free rate</t>
  </si>
  <si>
    <t>Market risk premium</t>
  </si>
  <si>
    <t>Betafactor</t>
  </si>
  <si>
    <t>yfinance (5Y monthly)</t>
  </si>
  <si>
    <t>Rough</t>
  </si>
  <si>
    <t>Risk premium</t>
  </si>
  <si>
    <t>Discount factor</t>
  </si>
  <si>
    <t>Valuation date</t>
  </si>
  <si>
    <t>Country risk premium</t>
  </si>
  <si>
    <t>Present values</t>
  </si>
  <si>
    <t>Sum of present values</t>
  </si>
  <si>
    <t>Median of the last 10 years</t>
  </si>
  <si>
    <t>FA</t>
  </si>
  <si>
    <t>EQ</t>
  </si>
  <si>
    <t>ND</t>
  </si>
  <si>
    <t>Net working capital</t>
  </si>
  <si>
    <t>Net debt</t>
  </si>
  <si>
    <t>NWC</t>
  </si>
  <si>
    <t>Average interest rate</t>
  </si>
  <si>
    <t>Fixed assets BoP</t>
  </si>
  <si>
    <t>Fixed assets EoP</t>
  </si>
  <si>
    <t>CAPEX</t>
  </si>
  <si>
    <t>D&amp;A (implied, calculated)</t>
  </si>
  <si>
    <t>Reconciling difference</t>
  </si>
  <si>
    <t>5Y average including Inflation of 2%</t>
  </si>
  <si>
    <t>Inflation rate</t>
  </si>
  <si>
    <t>D&amp;A/ Last year FA</t>
  </si>
  <si>
    <t>10Y average</t>
  </si>
  <si>
    <t>Stable Equity (Assumption: Full distribution of net income)</t>
  </si>
  <si>
    <t>Balancing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</si>
</sst>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(* #,##0_);_(* \(#,##0\);_(* &quot;-&quot;_);_(@_)"/>
    <numFmt numFmtId="44" formatCode="_(&quot;$&quot;* #,##0.00_);_(&quot;$&quot;* \(#,##0.00\);_(&quot;$&quot;* &quot;-&quot;??_);_(@_)"/>
    <numFmt numFmtId="164" formatCode="0.0%;\(0.0%\)"/>
    <numFmt numFmtId="165" formatCode="[$-409]d\-mmm\-yy;@"/>
    <numFmt numFmtId="166" formatCode="#,###.0\x"/>
    <numFmt numFmtId="167" formatCode="_(* #,##0.0_);_(* \(#,##0.0\);_(* &quot;-&quot;_);_(@_)"/>
    <numFmt numFmtId="168" formatCode="0.00%;\(0.00%\)"/>
    <numFmt numFmtId="169" formatCode="_(* #,##0.00_);_(* \(#,##0.00\);_(* &quot;-&quot;_);_(@_)"/>
  </numFmts>
  <fonts count="1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sz val="10"/>
      <color rgb="FF009900"/>
      <name val="Arial"/>
      <family val="2"/>
    </font>
    <font>
      <sz val="10"/>
      <color rgb="FF8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09900"/>
      <name val="Arial"/>
      <family val="2"/>
    </font>
    <font>
      <i/>
      <sz val="10"/>
      <color rgb="FF0366CC"/>
      <name val="Arial"/>
      <family val="2"/>
    </font>
    <font>
      <sz val="10"/>
      <color rgb="FF0366CC"/>
      <name val="Arial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2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44" fontId="0" fillId="0" borderId="0" xfId="0" applyNumberFormat="1"/>
    <xf numFmtId="0" fontId="8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indent="2"/>
    </xf>
    <xf numFmtId="0" fontId="8" fillId="5" borderId="0" xfId="0" applyFont="1" applyFill="1" applyAlignment="1">
      <alignment horizontal="center"/>
    </xf>
    <xf numFmtId="41" fontId="0" fillId="0" borderId="0" xfId="0" applyNumberFormat="1"/>
    <xf numFmtId="41" fontId="2" fillId="0" borderId="0" xfId="0" applyNumberFormat="1" applyFont="1"/>
    <xf numFmtId="41" fontId="0" fillId="0" borderId="2" xfId="0" applyNumberFormat="1" applyBorder="1"/>
    <xf numFmtId="41" fontId="0" fillId="3" borderId="0" xfId="0" applyNumberFormat="1" applyFill="1"/>
    <xf numFmtId="41" fontId="2" fillId="0" borderId="3" xfId="0" applyNumberFormat="1" applyFont="1" applyBorder="1"/>
    <xf numFmtId="41" fontId="2" fillId="0" borderId="4" xfId="0" applyNumberFormat="1" applyFont="1" applyBorder="1"/>
    <xf numFmtId="0" fontId="8" fillId="4" borderId="0" xfId="0" quotePrefix="1" applyFont="1" applyFill="1" applyAlignment="1">
      <alignment horizontal="right"/>
    </xf>
    <xf numFmtId="41" fontId="3" fillId="2" borderId="0" xfId="0" applyNumberFormat="1" applyFont="1" applyFill="1"/>
    <xf numFmtId="164" fontId="6" fillId="0" borderId="6" xfId="1" applyNumberFormat="1" applyFont="1" applyBorder="1" applyAlignment="1">
      <alignment horizontal="right"/>
    </xf>
    <xf numFmtId="164" fontId="6" fillId="0" borderId="7" xfId="1" applyNumberFormat="1" applyFont="1" applyBorder="1" applyAlignment="1">
      <alignment horizontal="right"/>
    </xf>
    <xf numFmtId="0" fontId="0" fillId="0" borderId="8" xfId="0" applyBorder="1"/>
    <xf numFmtId="164" fontId="6" fillId="0" borderId="0" xfId="1" applyNumberFormat="1" applyFont="1" applyBorder="1" applyAlignment="1">
      <alignment horizontal="right"/>
    </xf>
    <xf numFmtId="164" fontId="6" fillId="0" borderId="9" xfId="1" applyNumberFormat="1" applyFont="1" applyBorder="1" applyAlignment="1">
      <alignment horizontal="right"/>
    </xf>
    <xf numFmtId="0" fontId="0" fillId="0" borderId="10" xfId="0" applyBorder="1"/>
    <xf numFmtId="164" fontId="6" fillId="0" borderId="2" xfId="1" applyNumberFormat="1" applyFont="1" applyBorder="1" applyAlignment="1">
      <alignment horizontal="right"/>
    </xf>
    <xf numFmtId="164" fontId="6" fillId="0" borderId="11" xfId="1" applyNumberFormat="1" applyFont="1" applyBorder="1" applyAlignment="1">
      <alignment horizontal="right"/>
    </xf>
    <xf numFmtId="0" fontId="9" fillId="0" borderId="0" xfId="0" applyFont="1"/>
    <xf numFmtId="0" fontId="0" fillId="6" borderId="0" xfId="0" applyFill="1"/>
    <xf numFmtId="0" fontId="2" fillId="6" borderId="0" xfId="0" applyFont="1" applyFill="1"/>
    <xf numFmtId="0" fontId="8" fillId="4" borderId="0" xfId="0" applyFont="1" applyFill="1" applyAlignment="1">
      <alignment horizontal="right"/>
    </xf>
    <xf numFmtId="41" fontId="0" fillId="0" borderId="0" xfId="0" applyNumberFormat="1" applyAlignment="1">
      <alignment horizontal="right"/>
    </xf>
    <xf numFmtId="0" fontId="0" fillId="2" borderId="0" xfId="0" applyFill="1"/>
    <xf numFmtId="0" fontId="2" fillId="2" borderId="0" xfId="0" applyFont="1" applyFill="1"/>
    <xf numFmtId="164" fontId="7" fillId="0" borderId="0" xfId="1" applyNumberFormat="1" applyFont="1" applyBorder="1" applyAlignment="1">
      <alignment horizontal="right"/>
    </xf>
    <xf numFmtId="164" fontId="0" fillId="0" borderId="0" xfId="0" applyNumberFormat="1"/>
    <xf numFmtId="165" fontId="0" fillId="0" borderId="0" xfId="0" quotePrefix="1" applyNumberFormat="1" applyAlignment="1">
      <alignment horizontal="right"/>
    </xf>
    <xf numFmtId="16" fontId="0" fillId="0" borderId="0" xfId="0" quotePrefix="1" applyNumberFormat="1" applyAlignment="1">
      <alignment horizontal="right" indent="1"/>
    </xf>
    <xf numFmtId="166" fontId="0" fillId="0" borderId="0" xfId="0" applyNumberFormat="1"/>
    <xf numFmtId="0" fontId="8" fillId="7" borderId="0" xfId="0" applyFont="1" applyFill="1" applyAlignment="1">
      <alignment horizontal="right"/>
    </xf>
    <xf numFmtId="0" fontId="8" fillId="8" borderId="0" xfId="0" applyFont="1" applyFill="1" applyAlignment="1">
      <alignment horizontal="right"/>
    </xf>
    <xf numFmtId="0" fontId="6" fillId="0" borderId="5" xfId="0" applyFont="1" applyBorder="1"/>
    <xf numFmtId="0" fontId="6" fillId="0" borderId="8" xfId="0" applyFont="1" applyBorder="1"/>
    <xf numFmtId="0" fontId="6" fillId="0" borderId="10" xfId="0" applyFont="1" applyBorder="1"/>
    <xf numFmtId="41" fontId="0" fillId="1" borderId="0" xfId="0" applyNumberFormat="1" applyFill="1" applyAlignment="1">
      <alignment horizontal="right"/>
    </xf>
    <xf numFmtId="164" fontId="10" fillId="2" borderId="1" xfId="1" applyNumberFormat="1" applyFont="1" applyFill="1" applyBorder="1" applyAlignment="1">
      <alignment horizontal="center"/>
    </xf>
    <xf numFmtId="164" fontId="11" fillId="0" borderId="0" xfId="1" applyNumberFormat="1" applyFont="1" applyBorder="1" applyAlignment="1">
      <alignment horizontal="right"/>
    </xf>
    <xf numFmtId="167" fontId="4" fillId="0" borderId="0" xfId="0" applyNumberFormat="1" applyFont="1"/>
    <xf numFmtId="164" fontId="11" fillId="0" borderId="1" xfId="1" applyNumberFormat="1" applyFont="1" applyBorder="1" applyAlignment="1">
      <alignment horizontal="right"/>
    </xf>
    <xf numFmtId="41" fontId="3" fillId="2" borderId="1" xfId="0" applyNumberFormat="1" applyFont="1" applyFill="1" applyBorder="1"/>
    <xf numFmtId="41" fontId="0" fillId="1" borderId="2" xfId="0" applyNumberFormat="1" applyFill="1" applyBorder="1" applyAlignment="1">
      <alignment horizontal="right"/>
    </xf>
    <xf numFmtId="0" fontId="0" fillId="0" borderId="0" xfId="0" applyAlignment="1">
      <alignment horizontal="right"/>
    </xf>
    <xf numFmtId="164" fontId="11" fillId="0" borderId="6" xfId="1" applyNumberFormat="1" applyFont="1" applyBorder="1" applyAlignment="1">
      <alignment horizontal="right"/>
    </xf>
    <xf numFmtId="164" fontId="11" fillId="0" borderId="2" xfId="1" applyNumberFormat="1" applyFont="1" applyBorder="1" applyAlignment="1">
      <alignment horizontal="right"/>
    </xf>
    <xf numFmtId="164" fontId="12" fillId="2" borderId="1" xfId="1" applyNumberFormat="1" applyFont="1" applyFill="1" applyBorder="1" applyAlignment="1">
      <alignment horizontal="right"/>
    </xf>
    <xf numFmtId="0" fontId="13" fillId="0" borderId="0" xfId="0" applyFont="1"/>
    <xf numFmtId="164" fontId="12" fillId="2" borderId="1" xfId="1" applyNumberFormat="1" applyFont="1" applyFill="1" applyBorder="1" applyAlignment="1">
      <alignment horizontal="center"/>
    </xf>
    <xf numFmtId="41" fontId="2" fillId="0" borderId="6" xfId="0" applyNumberFormat="1" applyFont="1" applyBorder="1"/>
    <xf numFmtId="168" fontId="6" fillId="0" borderId="0" xfId="1" applyNumberFormat="1" applyFont="1" applyBorder="1" applyAlignment="1">
      <alignment horizontal="right"/>
    </xf>
    <xf numFmtId="15" fontId="3" fillId="2" borderId="1" xfId="0" applyNumberFormat="1" applyFont="1" applyFill="1" applyBorder="1" applyAlignment="1">
      <alignment horizontal="center"/>
    </xf>
    <xf numFmtId="169" fontId="0" fillId="0" borderId="0" xfId="0" applyNumberFormat="1"/>
    <xf numFmtId="17" fontId="8" fillId="7" borderId="0" xfId="0" applyNumberFormat="1" applyFont="1" applyFill="1" applyAlignment="1">
      <alignment horizontal="right"/>
    </xf>
    <xf numFmtId="0" fontId="14" fillId="9" borderId="0" xfId="0" applyFont="1" applyFill="1"/>
    <xf numFmtId="0" fontId="0" fillId="0" borderId="5" xfId="0" applyBorder="1"/>
    <xf numFmtId="41" fontId="0" fillId="0" borderId="6" xfId="0" applyNumberFormat="1" applyBorder="1"/>
    <xf numFmtId="41" fontId="0" fillId="0" borderId="7" xfId="0" applyNumberFormat="1" applyBorder="1"/>
    <xf numFmtId="41" fontId="0" fillId="0" borderId="11" xfId="0" applyNumberFormat="1" applyBorder="1"/>
    <xf numFmtId="41" fontId="2" fillId="0" borderId="0" xfId="0" applyNumberFormat="1" applyFont="1" applyAlignment="1">
      <alignment horizontal="right"/>
    </xf>
    <xf numFmtId="41" fontId="0" fillId="10" borderId="0" xfId="0" applyNumberFormat="1" applyFill="1" applyAlignment="1">
      <alignment horizontal="right"/>
    </xf>
    <xf numFmtId="0" fontId="6" fillId="0" borderId="5" xfId="0" applyFont="1" applyBorder="1" applyAlignment="1">
      <alignment horizontal="left"/>
    </xf>
    <xf numFmtId="41" fontId="0" fillId="1" borderId="6" xfId="0" applyNumberFormat="1" applyFill="1" applyBorder="1" applyAlignment="1">
      <alignment horizontal="right"/>
    </xf>
    <xf numFmtId="41" fontId="0" fillId="1" borderId="7" xfId="0" applyNumberFormat="1" applyFill="1" applyBorder="1" applyAlignment="1">
      <alignment horizontal="right"/>
    </xf>
    <xf numFmtId="0" fontId="6" fillId="0" borderId="10" xfId="0" applyFont="1" applyBorder="1" applyAlignment="1">
      <alignment horizontal="left"/>
    </xf>
    <xf numFmtId="41" fontId="2" fillId="0" borderId="3" xfId="0" applyNumberFormat="1" applyFont="1" applyBorder="1" applyAlignment="1">
      <alignment horizontal="center"/>
    </xf>
    <xf numFmtId="41" fontId="0" fillId="0" borderId="2" xfId="0" applyNumberFormat="1" applyBorder="1" applyAlignment="1">
      <alignment horizontal="right"/>
    </xf>
  </cellXfs>
  <cellStyles count="2">
    <cellStyle name="Normal" xfId="0" builtinId="0"/>
    <cellStyle name="Percent" xfId="1" builtinId="5"/>
  </cellStyles>
  <dxfs count="7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onstantin\Documents\valuations\MM_market_overview.xlsx" TargetMode="External"/><Relationship Id="rId1" Type="http://schemas.openxmlformats.org/officeDocument/2006/relationships/externalLinkPath" Target="MM_market_overvi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Manual"/>
      <sheetName val="Disclaimer"/>
      <sheetName val="WORKINGS&gt;&gt;"/>
      <sheetName val="Prices"/>
      <sheetName val="INPUT&gt;&gt;"/>
      <sheetName val="IMF_data"/>
    </sheetNames>
    <sheetDataSet>
      <sheetData sheetId="0"/>
      <sheetData sheetId="1"/>
      <sheetData sheetId="2"/>
      <sheetData sheetId="3"/>
      <sheetData sheetId="4">
        <row r="10">
          <cell r="AC10">
            <v>62.692552690750638</v>
          </cell>
          <cell r="AD10">
            <v>70.08180639301159</v>
          </cell>
          <cell r="AE10">
            <v>94.138079349276438</v>
          </cell>
          <cell r="AF10">
            <v>113.23078537013389</v>
          </cell>
          <cell r="AG10">
            <v>82.193236275241134</v>
          </cell>
          <cell r="AH10">
            <v>61.983198111650417</v>
          </cell>
          <cell r="AI10">
            <v>143.98474438540202</v>
          </cell>
          <cell r="AJ10">
            <v>384.16973325553721</v>
          </cell>
          <cell r="AK10">
            <v>188.15258386900859</v>
          </cell>
          <cell r="AL10">
            <v>143.55138180272291</v>
          </cell>
        </row>
        <row r="11">
          <cell r="AC11">
            <v>5510.4571127155004</v>
          </cell>
          <cell r="AD11">
            <v>4867.897429653679</v>
          </cell>
          <cell r="AE11">
            <v>6169.9399418513613</v>
          </cell>
          <cell r="AF11">
            <v>6529.7983709685941</v>
          </cell>
          <cell r="AG11">
            <v>6010.145429645836</v>
          </cell>
          <cell r="AH11">
            <v>6174.5579173221258</v>
          </cell>
          <cell r="AI11">
            <v>9317.4091658824254</v>
          </cell>
          <cell r="AJ11">
            <v>8828.9168140645579</v>
          </cell>
          <cell r="AK11">
            <v>8490.7617314997788</v>
          </cell>
          <cell r="AL11">
            <v>9142.1015600257251</v>
          </cell>
        </row>
        <row r="12">
          <cell r="AC12">
            <v>56.137484315201696</v>
          </cell>
          <cell r="AD12">
            <v>58.56519072714724</v>
          </cell>
          <cell r="AE12">
            <v>71.134474402409182</v>
          </cell>
          <cell r="AF12">
            <v>70.13840422862161</v>
          </cell>
          <cell r="AG12">
            <v>93.624179214505304</v>
          </cell>
          <cell r="AH12">
            <v>108.07149327122153</v>
          </cell>
          <cell r="AI12">
            <v>158.16166811235101</v>
          </cell>
          <cell r="AJ12">
            <v>120.7038647342995</v>
          </cell>
          <cell r="AK12">
            <v>120.31531698977351</v>
          </cell>
          <cell r="AL12">
            <v>111.06139108476066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A30F-7712-4A10-A98D-9E4BF660F167}">
  <sheetPr>
    <tabColor theme="6"/>
  </sheetPr>
  <dimension ref="A1:A3"/>
  <sheetViews>
    <sheetView showGridLines="0" workbookViewId="0">
      <selection activeCell="B5" sqref="B5"/>
    </sheetView>
  </sheetViews>
  <sheetFormatPr defaultColWidth="8.85546875" defaultRowHeight="12.75" x14ac:dyDescent="0.2"/>
  <sheetData>
    <row r="1" spans="1:1" x14ac:dyDescent="0.2">
      <c r="A1" s="7" t="str">
        <f ca="1">MID(CELL("filename",A1),FIND("]",CELL("filename",A1))+1,256)</f>
        <v>Cover</v>
      </c>
    </row>
    <row r="2" spans="1:1" x14ac:dyDescent="0.2">
      <c r="A2" s="6" t="str">
        <f>"Indicative valuation of "&amp;IF(Input!E7="","###",Input!E7)&amp;": Public information"</f>
        <v>Indicative valuation of BHP Group Limited: Public information</v>
      </c>
    </row>
    <row r="3" spans="1:1" x14ac:dyDescent="0.2">
      <c r="A3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B520-2803-4BDC-ACDB-778D17581A2C}">
  <sheetPr>
    <tabColor theme="6"/>
  </sheetPr>
  <dimension ref="A1:D11"/>
  <sheetViews>
    <sheetView showGridLines="0" workbookViewId="0">
      <selection activeCell="D8" sqref="D8"/>
    </sheetView>
  </sheetViews>
  <sheetFormatPr defaultColWidth="8.85546875" defaultRowHeight="12.75" x14ac:dyDescent="0.2"/>
  <cols>
    <col min="4" max="4" width="10.28515625" bestFit="1" customWidth="1"/>
  </cols>
  <sheetData>
    <row r="1" spans="1:4" x14ac:dyDescent="0.2">
      <c r="A1" s="5" t="str">
        <f ca="1">MID(CELL("filename",A1),FIND("]",CELL("filename",A1))+1,256)</f>
        <v>Manual</v>
      </c>
    </row>
    <row r="2" spans="1:4" x14ac:dyDescent="0.2">
      <c r="A2" s="6" t="str">
        <f>Cover!$A$2</f>
        <v>Indicative valuation of BHP Group Limited: Public information</v>
      </c>
    </row>
    <row r="3" spans="1:4" x14ac:dyDescent="0.2">
      <c r="A3" s="6" t="str">
        <f>Cover!$A$3</f>
        <v>Educational purposes only, no financial advice</v>
      </c>
    </row>
    <row r="5" spans="1:4" x14ac:dyDescent="0.2">
      <c r="B5" s="1" t="s">
        <v>0</v>
      </c>
      <c r="C5" s="1" t="s">
        <v>1</v>
      </c>
    </row>
    <row r="6" spans="1:4" x14ac:dyDescent="0.2">
      <c r="B6" s="1" t="s">
        <v>2</v>
      </c>
      <c r="C6" s="1">
        <v>10</v>
      </c>
    </row>
    <row r="7" spans="1:4" x14ac:dyDescent="0.2">
      <c r="B7" s="1"/>
      <c r="C7" s="1"/>
    </row>
    <row r="8" spans="1:4" x14ac:dyDescent="0.2">
      <c r="B8" s="1" t="s">
        <v>3</v>
      </c>
      <c r="C8" s="2" t="s">
        <v>4</v>
      </c>
      <c r="D8" s="25">
        <v>1234</v>
      </c>
    </row>
    <row r="9" spans="1:4" x14ac:dyDescent="0.2">
      <c r="B9" s="1" t="s">
        <v>5</v>
      </c>
      <c r="C9" s="1" t="s">
        <v>6</v>
      </c>
    </row>
    <row r="10" spans="1:4" x14ac:dyDescent="0.2">
      <c r="B10" s="1" t="s">
        <v>7</v>
      </c>
      <c r="C10" s="3" t="s">
        <v>8</v>
      </c>
    </row>
    <row r="11" spans="1:4" x14ac:dyDescent="0.2">
      <c r="B11" s="1" t="s">
        <v>9</v>
      </c>
      <c r="C1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H64" sqref="H64"/>
    </sheetView>
  </sheetViews>
  <sheetFormatPr defaultColWidth="8.85546875" defaultRowHeight="12.75" x14ac:dyDescent="0.2"/>
  <sheetData>
    <row r="1" spans="1:2" x14ac:dyDescent="0.2">
      <c r="A1" s="5" t="str">
        <f ca="1">MID(CELL("filename",A1),FIND("]",CELL("filename",A1))+1,256)</f>
        <v>Disclaimer</v>
      </c>
    </row>
    <row r="2" spans="1:2" x14ac:dyDescent="0.2">
      <c r="A2" s="6" t="str">
        <f>Cover!$A$2</f>
        <v>Indicative valuation of BHP Group Limited: Public information</v>
      </c>
    </row>
    <row r="3" spans="1:2" x14ac:dyDescent="0.2">
      <c r="A3" s="6" t="str">
        <f>Cover!$A$3</f>
        <v>Educational purposes only, no financial advice</v>
      </c>
    </row>
    <row r="5" spans="1:2" x14ac:dyDescent="0.2">
      <c r="B5" s="1" t="s">
        <v>11</v>
      </c>
    </row>
    <row r="6" spans="1:2" x14ac:dyDescent="0.2">
      <c r="B6" s="1" t="s">
        <v>12</v>
      </c>
    </row>
    <row r="7" spans="1:2" x14ac:dyDescent="0.2">
      <c r="B7" s="1" t="s">
        <v>13</v>
      </c>
    </row>
    <row r="8" spans="1:2" x14ac:dyDescent="0.2">
      <c r="B8" s="1" t="s">
        <v>14</v>
      </c>
    </row>
    <row r="9" spans="1:2" x14ac:dyDescent="0.2">
      <c r="B9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M38"/>
  <sheetViews>
    <sheetView showGridLines="0" topLeftCell="A3" zoomScale="133" workbookViewId="0">
      <selection activeCell="F19" sqref="F19:J19"/>
    </sheetView>
  </sheetViews>
  <sheetFormatPr defaultColWidth="8.85546875" defaultRowHeight="12.75" x14ac:dyDescent="0.2"/>
  <cols>
    <col min="5" max="5" width="17.28515625" bestFit="1" customWidth="1"/>
  </cols>
  <sheetData>
    <row r="1" spans="1:13" x14ac:dyDescent="0.2">
      <c r="A1" s="5" t="str">
        <f ca="1">MID(CELL("filename",A1),FIND("]",CELL("filename",A1))+1,256)</f>
        <v>Input</v>
      </c>
    </row>
    <row r="2" spans="1:13" x14ac:dyDescent="0.2">
      <c r="A2" s="6" t="str">
        <f>Cover!$A$2</f>
        <v>Indicative valuation of BHP Group Limited: Public information</v>
      </c>
    </row>
    <row r="3" spans="1:13" x14ac:dyDescent="0.2">
      <c r="A3" s="6" t="str">
        <f>Cover!$A$3</f>
        <v>Educational purposes only, no financial advice</v>
      </c>
    </row>
    <row r="7" spans="1:13" x14ac:dyDescent="0.2">
      <c r="B7" t="s">
        <v>16</v>
      </c>
      <c r="E7" s="11" t="s">
        <v>40</v>
      </c>
    </row>
    <row r="8" spans="1:13" x14ac:dyDescent="0.2">
      <c r="B8" t="s">
        <v>17</v>
      </c>
      <c r="E8" s="11" t="s">
        <v>21</v>
      </c>
    </row>
    <row r="9" spans="1:13" x14ac:dyDescent="0.2">
      <c r="B9" t="s">
        <v>22</v>
      </c>
      <c r="E9" s="11" t="s">
        <v>23</v>
      </c>
    </row>
    <row r="10" spans="1:13" x14ac:dyDescent="0.2">
      <c r="B10" t="s">
        <v>24</v>
      </c>
      <c r="E10" s="11" t="s">
        <v>25</v>
      </c>
    </row>
    <row r="11" spans="1:13" x14ac:dyDescent="0.2">
      <c r="B11" t="s">
        <v>18</v>
      </c>
      <c r="E11" s="11" t="s">
        <v>21</v>
      </c>
    </row>
    <row r="12" spans="1:13" x14ac:dyDescent="0.2">
      <c r="B12" t="s">
        <v>20</v>
      </c>
      <c r="E12" s="12">
        <v>45473</v>
      </c>
    </row>
    <row r="13" spans="1:13" x14ac:dyDescent="0.2">
      <c r="B13" t="s">
        <v>158</v>
      </c>
      <c r="E13" s="66">
        <v>45838</v>
      </c>
    </row>
    <row r="14" spans="1:13" x14ac:dyDescent="0.2">
      <c r="B14" t="s">
        <v>77</v>
      </c>
      <c r="E14" s="11" t="s">
        <v>26</v>
      </c>
    </row>
    <row r="16" spans="1:13" x14ac:dyDescent="0.2">
      <c r="B16" s="5" t="s">
        <v>135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58" t="s">
        <v>126</v>
      </c>
      <c r="M16" t="s">
        <v>92</v>
      </c>
    </row>
    <row r="18" spans="2:13" x14ac:dyDescent="0.2">
      <c r="B18" t="s">
        <v>136</v>
      </c>
      <c r="E18" s="51"/>
      <c r="F18" s="51"/>
      <c r="G18" s="51"/>
      <c r="H18" s="51"/>
      <c r="I18" s="51"/>
      <c r="J18" s="51"/>
      <c r="K18" s="52">
        <v>0.01</v>
      </c>
      <c r="M18" t="s">
        <v>137</v>
      </c>
    </row>
    <row r="19" spans="2:13" x14ac:dyDescent="0.2">
      <c r="F19" s="52">
        <v>0.02</v>
      </c>
      <c r="G19" s="52">
        <v>0.02</v>
      </c>
      <c r="H19" s="52">
        <v>0.02</v>
      </c>
      <c r="I19" s="52">
        <v>0.02</v>
      </c>
      <c r="J19" s="52">
        <v>0.02</v>
      </c>
      <c r="K19" s="51"/>
    </row>
    <row r="20" spans="2:13" x14ac:dyDescent="0.2">
      <c r="B20" s="5" t="s">
        <v>140</v>
      </c>
    </row>
    <row r="21" spans="2:13" x14ac:dyDescent="0.2">
      <c r="B21" t="s">
        <v>128</v>
      </c>
      <c r="E21" s="51"/>
      <c r="F21" s="56">
        <f>Model!O42*1.02</f>
        <v>9324.9435912262397</v>
      </c>
      <c r="G21" s="56">
        <f>F21*1.02</f>
        <v>9511.4424630507656</v>
      </c>
      <c r="H21" s="56">
        <f t="shared" ref="H21:J21" si="1">G21*1.02</f>
        <v>9701.6713123117806</v>
      </c>
      <c r="I21" s="56">
        <f t="shared" si="1"/>
        <v>9895.7047385580172</v>
      </c>
      <c r="J21" s="56">
        <f t="shared" si="1"/>
        <v>10093.618833329178</v>
      </c>
      <c r="M21" t="s">
        <v>146</v>
      </c>
    </row>
    <row r="22" spans="2:13" x14ac:dyDescent="0.2">
      <c r="B22" t="s">
        <v>129</v>
      </c>
      <c r="E22" s="51"/>
      <c r="F22" s="56">
        <f>Model!O43*1.02</f>
        <v>113.28261890645587</v>
      </c>
      <c r="G22" s="56">
        <f>F22*1.02</f>
        <v>115.54827128458498</v>
      </c>
      <c r="H22" s="56">
        <f t="shared" ref="H22:J22" si="2">G22*1.02</f>
        <v>117.85923671027669</v>
      </c>
      <c r="I22" s="56">
        <f t="shared" si="2"/>
        <v>120.21642144448222</v>
      </c>
      <c r="J22" s="56">
        <f t="shared" si="2"/>
        <v>122.62074987337186</v>
      </c>
    </row>
    <row r="23" spans="2:13" x14ac:dyDescent="0.2">
      <c r="B23" t="s">
        <v>130</v>
      </c>
      <c r="E23" s="51"/>
      <c r="F23" s="56">
        <f>Model!O44*1.02</f>
        <v>146.42240943877738</v>
      </c>
      <c r="G23" s="56">
        <f>F23*1.02</f>
        <v>149.35085762755293</v>
      </c>
      <c r="H23" s="56">
        <f t="shared" ref="H23:J23" si="3">G23*1.02</f>
        <v>152.33787478010399</v>
      </c>
      <c r="I23" s="56">
        <f t="shared" si="3"/>
        <v>155.38463227570608</v>
      </c>
      <c r="J23" s="56">
        <f t="shared" si="3"/>
        <v>158.49232492122022</v>
      </c>
    </row>
    <row r="25" spans="2:13" x14ac:dyDescent="0.2">
      <c r="B25" s="5" t="s">
        <v>141</v>
      </c>
    </row>
    <row r="26" spans="2:13" x14ac:dyDescent="0.2">
      <c r="B26" t="s">
        <v>88</v>
      </c>
      <c r="E26" s="51"/>
      <c r="F26" s="61">
        <v>0</v>
      </c>
      <c r="G26" s="61">
        <v>0</v>
      </c>
      <c r="H26" s="61">
        <v>0</v>
      </c>
      <c r="I26" s="61">
        <v>0</v>
      </c>
      <c r="J26" s="61">
        <v>0</v>
      </c>
      <c r="M26" t="s">
        <v>144</v>
      </c>
    </row>
    <row r="27" spans="2:13" x14ac:dyDescent="0.2">
      <c r="B27" t="s">
        <v>93</v>
      </c>
      <c r="E27" s="51"/>
      <c r="F27" s="61">
        <v>0</v>
      </c>
      <c r="G27" s="61">
        <v>0</v>
      </c>
      <c r="H27" s="61">
        <v>0</v>
      </c>
      <c r="I27" s="61">
        <v>0</v>
      </c>
      <c r="J27" s="61">
        <v>0</v>
      </c>
      <c r="M27" t="s">
        <v>144</v>
      </c>
    </row>
    <row r="28" spans="2:13" x14ac:dyDescent="0.2">
      <c r="B28" t="s">
        <v>94</v>
      </c>
      <c r="E28" s="51"/>
      <c r="F28" s="61">
        <v>0</v>
      </c>
      <c r="G28" s="61">
        <v>0</v>
      </c>
      <c r="H28" s="61">
        <v>0</v>
      </c>
      <c r="I28" s="61">
        <v>0</v>
      </c>
      <c r="J28" s="61">
        <v>0</v>
      </c>
      <c r="M28" t="s">
        <v>144</v>
      </c>
    </row>
    <row r="29" spans="2:13" x14ac:dyDescent="0.2">
      <c r="F29" s="62"/>
      <c r="G29" s="62"/>
      <c r="H29" s="62"/>
      <c r="I29" s="62"/>
      <c r="J29" s="62"/>
    </row>
    <row r="30" spans="2:13" x14ac:dyDescent="0.2">
      <c r="B30" t="s">
        <v>142</v>
      </c>
      <c r="E30" s="51"/>
      <c r="F30" s="61">
        <f>MEDIAN(Historical!F25:O25)</f>
        <v>0.35562127849432246</v>
      </c>
      <c r="G30" s="61">
        <f>F30</f>
        <v>0.35562127849432246</v>
      </c>
      <c r="H30" s="61">
        <f t="shared" ref="H30:J30" si="4">G30</f>
        <v>0.35562127849432246</v>
      </c>
      <c r="I30" s="61">
        <f t="shared" si="4"/>
        <v>0.35562127849432246</v>
      </c>
      <c r="J30" s="61">
        <f t="shared" si="4"/>
        <v>0.35562127849432246</v>
      </c>
      <c r="M30" t="s">
        <v>162</v>
      </c>
    </row>
    <row r="31" spans="2:13" x14ac:dyDescent="0.2">
      <c r="F31" s="62"/>
      <c r="G31" s="62"/>
      <c r="H31" s="62"/>
      <c r="I31" s="62"/>
      <c r="J31" s="62"/>
    </row>
    <row r="32" spans="2:13" x14ac:dyDescent="0.2">
      <c r="B32" t="s">
        <v>139</v>
      </c>
      <c r="E32" s="51"/>
      <c r="F32" s="61">
        <f>MEDIAN(Historical!F26:O26)</f>
        <v>0.40033638589931919</v>
      </c>
      <c r="G32" s="61">
        <f>F32</f>
        <v>0.40033638589931919</v>
      </c>
      <c r="H32" s="61">
        <f t="shared" ref="H32:J32" si="5">G32</f>
        <v>0.40033638589931919</v>
      </c>
      <c r="I32" s="61">
        <f t="shared" si="5"/>
        <v>0.40033638589931919</v>
      </c>
      <c r="J32" s="61">
        <f t="shared" si="5"/>
        <v>0.40033638589931919</v>
      </c>
      <c r="M32" t="s">
        <v>143</v>
      </c>
    </row>
    <row r="34" spans="2:13" x14ac:dyDescent="0.2">
      <c r="B34" s="5" t="s">
        <v>150</v>
      </c>
    </row>
    <row r="35" spans="2:13" x14ac:dyDescent="0.2">
      <c r="B35" t="s">
        <v>151</v>
      </c>
      <c r="E35" s="63">
        <v>0.04</v>
      </c>
      <c r="M35" t="s">
        <v>155</v>
      </c>
    </row>
    <row r="36" spans="2:13" x14ac:dyDescent="0.2">
      <c r="B36" t="s">
        <v>152</v>
      </c>
      <c r="E36" s="63">
        <v>0.04</v>
      </c>
      <c r="M36" t="s">
        <v>155</v>
      </c>
    </row>
    <row r="37" spans="2:13" x14ac:dyDescent="0.2">
      <c r="B37" t="s">
        <v>153</v>
      </c>
      <c r="E37" s="11">
        <v>0.78</v>
      </c>
      <c r="M37" t="s">
        <v>154</v>
      </c>
    </row>
    <row r="38" spans="2:13" x14ac:dyDescent="0.2">
      <c r="B38" t="s">
        <v>159</v>
      </c>
      <c r="E38" s="6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5287-6464-476C-B5E9-1C2B399B7557}">
  <sheetPr>
    <tabColor rgb="FF0070C0"/>
  </sheetPr>
  <dimension ref="A1:P704"/>
  <sheetViews>
    <sheetView showGridLines="0" topLeftCell="A7" zoomScale="183" workbookViewId="0">
      <selection activeCell="G8" sqref="G8"/>
    </sheetView>
  </sheetViews>
  <sheetFormatPr defaultColWidth="8.85546875" defaultRowHeight="12.75" outlineLevelRow="1" outlineLevelCol="1" x14ac:dyDescent="0.2"/>
  <cols>
    <col min="1" max="3" width="9.140625" style="8" customWidth="1" outlineLevel="1"/>
    <col min="4" max="4" width="2.28515625" customWidth="1"/>
    <col min="5" max="5" width="30.7109375" bestFit="1" customWidth="1"/>
  </cols>
  <sheetData>
    <row r="1" spans="2:16" s="8" customFormat="1" outlineLevel="1" x14ac:dyDescent="0.2">
      <c r="B1" s="8">
        <v>0.1</v>
      </c>
    </row>
    <row r="2" spans="2:16" s="8" customFormat="1" outlineLevel="1" x14ac:dyDescent="0.2">
      <c r="B2" s="17" t="e">
        <f>AND(C:C)</f>
        <v>#VALUE!</v>
      </c>
    </row>
    <row r="3" spans="2:16" x14ac:dyDescent="0.2">
      <c r="D3" s="5" t="str">
        <f ca="1">MID(CELL("filename",D3),FIND("]",CELL("filename",D3))+1,256)</f>
        <v>Valuation</v>
      </c>
    </row>
    <row r="4" spans="2:16" x14ac:dyDescent="0.2">
      <c r="D4" s="6" t="str">
        <f>Cover!$A$2</f>
        <v>Indicative valuation of BHP Group Limited: Public information</v>
      </c>
    </row>
    <row r="5" spans="2:16" x14ac:dyDescent="0.2">
      <c r="D5" s="6" t="str">
        <f>Cover!$A$3</f>
        <v>Educational purposes only, no financial advice</v>
      </c>
    </row>
    <row r="8" spans="2:16" x14ac:dyDescent="0.2">
      <c r="E8" s="5" t="str">
        <f>Input!$E$8</f>
        <v>BHP</v>
      </c>
      <c r="P8" s="9"/>
    </row>
    <row r="9" spans="2:16" x14ac:dyDescent="0.2">
      <c r="E9" s="10" t="str">
        <f>+Input!$E$14</f>
        <v>USDmn</v>
      </c>
      <c r="F9" s="37"/>
      <c r="G9" s="18"/>
      <c r="H9" s="18"/>
      <c r="I9" s="18"/>
      <c r="J9" s="18"/>
      <c r="K9" s="18"/>
      <c r="L9" s="18"/>
      <c r="M9" s="18"/>
      <c r="N9" s="18"/>
      <c r="O9" s="18"/>
      <c r="P9" s="18"/>
    </row>
    <row r="10" spans="2:16" ht="3" customHeight="1" x14ac:dyDescent="0.2"/>
    <row r="11" spans="2:16" x14ac:dyDescent="0.2">
      <c r="E11" s="5" t="s">
        <v>116</v>
      </c>
      <c r="F11" s="19">
        <v>122248</v>
      </c>
      <c r="G11" s="43"/>
      <c r="H11" s="43">
        <v>45750</v>
      </c>
      <c r="I11" s="18"/>
      <c r="J11" s="18"/>
      <c r="K11" s="18"/>
      <c r="L11" s="18"/>
      <c r="M11" s="18"/>
      <c r="N11" s="18"/>
      <c r="O11" s="18"/>
      <c r="P11" s="18"/>
    </row>
    <row r="12" spans="2:16" x14ac:dyDescent="0.2">
      <c r="E12" s="13" t="s">
        <v>50</v>
      </c>
      <c r="F12" s="18">
        <f>-Historical!O40</f>
        <v>-12501</v>
      </c>
      <c r="G12" s="44"/>
      <c r="H12" s="44" t="s">
        <v>49</v>
      </c>
      <c r="I12" s="18"/>
      <c r="J12" s="18"/>
      <c r="K12" s="18"/>
      <c r="L12" s="18"/>
      <c r="M12" s="18"/>
      <c r="N12" s="18"/>
      <c r="O12" s="18"/>
      <c r="P12" s="18"/>
    </row>
    <row r="13" spans="2:16" x14ac:dyDescent="0.2">
      <c r="E13" s="13" t="s">
        <v>117</v>
      </c>
      <c r="F13" s="18">
        <f>+Historical!O51</f>
        <v>20718</v>
      </c>
      <c r="G13" s="44"/>
      <c r="H13" s="44" t="s">
        <v>49</v>
      </c>
      <c r="I13" s="18"/>
      <c r="J13" s="18"/>
      <c r="K13" s="18"/>
      <c r="L13" s="18"/>
      <c r="M13" s="18"/>
      <c r="N13" s="18"/>
      <c r="O13" s="18"/>
      <c r="P13" s="18"/>
    </row>
    <row r="14" spans="2:16" x14ac:dyDescent="0.2">
      <c r="E14" s="5" t="s">
        <v>118</v>
      </c>
      <c r="F14" s="19">
        <f>SUM(F11:F13)</f>
        <v>130465</v>
      </c>
      <c r="G14" s="44"/>
      <c r="H14" s="44"/>
      <c r="I14" s="18"/>
      <c r="J14" s="18"/>
      <c r="K14" s="18"/>
      <c r="L14" s="18"/>
      <c r="M14" s="18"/>
      <c r="N14" s="18"/>
      <c r="O14" s="18"/>
      <c r="P14" s="18"/>
    </row>
    <row r="15" spans="2:16" x14ac:dyDescent="0.2"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 spans="2:16" x14ac:dyDescent="0.2">
      <c r="E16" t="s">
        <v>119</v>
      </c>
      <c r="F16" s="45">
        <f>+$F$11/Historical!O22</f>
        <v>12.732840329132381</v>
      </c>
      <c r="G16" s="44"/>
      <c r="H16" s="44"/>
      <c r="I16" s="18"/>
      <c r="J16" s="18"/>
      <c r="K16" s="18"/>
      <c r="L16" s="18"/>
      <c r="M16" s="18"/>
      <c r="N16" s="18"/>
      <c r="O16" s="18"/>
      <c r="P16" s="18"/>
    </row>
    <row r="17" spans="5:16" x14ac:dyDescent="0.2">
      <c r="E17" t="s">
        <v>120</v>
      </c>
      <c r="F17" s="45">
        <f>F11/Historical!O49</f>
        <v>2.4887622149837134</v>
      </c>
      <c r="G17" s="44"/>
      <c r="H17" s="44"/>
      <c r="I17" s="18"/>
      <c r="J17" s="18"/>
      <c r="K17" s="18"/>
      <c r="L17" s="18"/>
      <c r="M17" s="18"/>
      <c r="N17" s="18"/>
      <c r="O17" s="18"/>
      <c r="P17" s="18"/>
    </row>
    <row r="18" spans="5:16" x14ac:dyDescent="0.2"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 spans="5:16" x14ac:dyDescent="0.2">
      <c r="E19" s="5" t="str">
        <f>Input!$E$8&amp;" - DDM valuation"</f>
        <v>BHP - DDM valuation</v>
      </c>
      <c r="P19" s="9"/>
    </row>
    <row r="20" spans="5:16" x14ac:dyDescent="0.2">
      <c r="E20" s="10" t="str">
        <f>+Input!$E$14</f>
        <v>USDmn</v>
      </c>
      <c r="F20" s="46" t="s">
        <v>121</v>
      </c>
      <c r="G20" s="46" t="s">
        <v>122</v>
      </c>
      <c r="H20" s="46" t="s">
        <v>123</v>
      </c>
      <c r="I20" s="46" t="s">
        <v>124</v>
      </c>
      <c r="J20" s="46" t="s">
        <v>125</v>
      </c>
      <c r="K20" s="47" t="s">
        <v>126</v>
      </c>
      <c r="L20" s="18"/>
      <c r="M20" s="18"/>
      <c r="N20" s="18"/>
      <c r="O20" s="18"/>
      <c r="P20" s="18"/>
    </row>
    <row r="21" spans="5:16" ht="3" customHeight="1" x14ac:dyDescent="0.2"/>
    <row r="22" spans="5:16" x14ac:dyDescent="0.2">
      <c r="E22" s="5" t="s">
        <v>37</v>
      </c>
      <c r="F22" s="19">
        <f>Model!P22</f>
        <v>11238.534678607626</v>
      </c>
      <c r="G22" s="19">
        <f>Model!Q22</f>
        <v>11477.709080227949</v>
      </c>
      <c r="H22" s="19">
        <f>Model!R22</f>
        <v>11721.632427136881</v>
      </c>
      <c r="I22" s="19">
        <f>Model!S22</f>
        <v>11970.399352812754</v>
      </c>
      <c r="J22" s="19">
        <f>Model!T22</f>
        <v>12224.1063799492</v>
      </c>
      <c r="K22" s="19">
        <f>Model!U22</f>
        <v>12355.27643496265</v>
      </c>
      <c r="L22" s="18"/>
      <c r="M22" s="18"/>
      <c r="N22" s="18"/>
      <c r="O22" s="18"/>
      <c r="P22" s="18"/>
    </row>
    <row r="23" spans="5:16" x14ac:dyDescent="0.2">
      <c r="E23" t="s">
        <v>147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f>Historical!O49*Model!B3*-1</f>
        <v>-491.2</v>
      </c>
      <c r="L23" s="18"/>
      <c r="M23" s="18" t="s">
        <v>149</v>
      </c>
      <c r="N23" s="18"/>
      <c r="O23" s="18"/>
      <c r="P23" s="18"/>
    </row>
    <row r="24" spans="5:16" x14ac:dyDescent="0.2">
      <c r="E24" s="5" t="s">
        <v>148</v>
      </c>
      <c r="F24" s="64">
        <f>SUM(F22:F23)</f>
        <v>11238.534678607626</v>
      </c>
      <c r="G24" s="64">
        <f t="shared" ref="G24:K24" si="0">SUM(G22:G23)</f>
        <v>11477.709080227949</v>
      </c>
      <c r="H24" s="64">
        <f t="shared" si="0"/>
        <v>11721.632427136881</v>
      </c>
      <c r="I24" s="64">
        <f t="shared" si="0"/>
        <v>11970.399352812754</v>
      </c>
      <c r="J24" s="64">
        <f t="shared" si="0"/>
        <v>12224.1063799492</v>
      </c>
      <c r="K24" s="64">
        <f t="shared" si="0"/>
        <v>11864.07643496265</v>
      </c>
      <c r="L24" s="18"/>
      <c r="M24" s="18"/>
      <c r="N24" s="18"/>
      <c r="O24" s="18"/>
      <c r="P24" s="18"/>
    </row>
    <row r="25" spans="5:16" outlineLevel="1" x14ac:dyDescent="0.2">
      <c r="E25" t="s">
        <v>151</v>
      </c>
      <c r="F25" s="65">
        <f>Input!$E$35</f>
        <v>0.04</v>
      </c>
      <c r="G25" s="65">
        <f>F25</f>
        <v>0.04</v>
      </c>
      <c r="H25" s="65">
        <f t="shared" ref="H25:K25" si="1">G25</f>
        <v>0.04</v>
      </c>
      <c r="I25" s="65">
        <f t="shared" si="1"/>
        <v>0.04</v>
      </c>
      <c r="J25" s="65">
        <f t="shared" si="1"/>
        <v>0.04</v>
      </c>
      <c r="K25" s="65">
        <f t="shared" si="1"/>
        <v>0.04</v>
      </c>
      <c r="L25" s="18"/>
      <c r="M25" s="18"/>
      <c r="N25" s="18"/>
      <c r="O25" s="18"/>
      <c r="P25" s="18"/>
    </row>
    <row r="26" spans="5:16" outlineLevel="1" x14ac:dyDescent="0.2">
      <c r="E26" t="s">
        <v>153</v>
      </c>
      <c r="F26" s="67">
        <f>Input!E37</f>
        <v>0.78</v>
      </c>
      <c r="G26" s="67">
        <f>F26</f>
        <v>0.78</v>
      </c>
      <c r="H26" s="67">
        <f t="shared" ref="H26:K26" si="2">G26</f>
        <v>0.78</v>
      </c>
      <c r="I26" s="67">
        <f t="shared" si="2"/>
        <v>0.78</v>
      </c>
      <c r="J26" s="67">
        <f t="shared" si="2"/>
        <v>0.78</v>
      </c>
      <c r="K26" s="67">
        <f t="shared" si="2"/>
        <v>0.78</v>
      </c>
      <c r="L26" s="18"/>
      <c r="M26" s="18"/>
      <c r="N26" s="18"/>
      <c r="O26" s="18"/>
      <c r="P26" s="18"/>
    </row>
    <row r="27" spans="5:16" outlineLevel="1" x14ac:dyDescent="0.2">
      <c r="E27" t="s">
        <v>152</v>
      </c>
      <c r="F27" s="65">
        <f>Input!E36</f>
        <v>0.04</v>
      </c>
      <c r="G27" s="65">
        <f>F27</f>
        <v>0.04</v>
      </c>
      <c r="H27" s="65">
        <f t="shared" ref="H27:K27" si="3">G27</f>
        <v>0.04</v>
      </c>
      <c r="I27" s="65">
        <f t="shared" si="3"/>
        <v>0.04</v>
      </c>
      <c r="J27" s="65">
        <f t="shared" si="3"/>
        <v>0.04</v>
      </c>
      <c r="K27" s="65">
        <f t="shared" si="3"/>
        <v>0.04</v>
      </c>
      <c r="L27" s="18"/>
      <c r="M27" s="18"/>
      <c r="N27" s="18"/>
      <c r="O27" s="18"/>
      <c r="P27" s="18"/>
    </row>
    <row r="28" spans="5:16" outlineLevel="1" x14ac:dyDescent="0.2">
      <c r="E28" t="s">
        <v>159</v>
      </c>
      <c r="F28" s="65">
        <f>Input!E38</f>
        <v>0</v>
      </c>
      <c r="G28" s="65">
        <f t="shared" ref="G28:K28" si="4">F28</f>
        <v>0</v>
      </c>
      <c r="H28" s="65">
        <f t="shared" si="4"/>
        <v>0</v>
      </c>
      <c r="I28" s="65">
        <f t="shared" si="4"/>
        <v>0</v>
      </c>
      <c r="J28" s="65">
        <f t="shared" si="4"/>
        <v>0</v>
      </c>
      <c r="K28" s="65">
        <f t="shared" si="4"/>
        <v>0</v>
      </c>
      <c r="L28" s="18"/>
      <c r="M28" s="18"/>
      <c r="N28" s="18"/>
      <c r="O28" s="18"/>
      <c r="P28" s="18"/>
    </row>
    <row r="29" spans="5:16" outlineLevel="1" x14ac:dyDescent="0.2">
      <c r="E29" t="s">
        <v>156</v>
      </c>
      <c r="F29" s="65">
        <f>F26*F27+F28</f>
        <v>3.1200000000000002E-2</v>
      </c>
      <c r="G29" s="65">
        <f t="shared" ref="G29:K29" si="5">G26*G27+G28</f>
        <v>3.1200000000000002E-2</v>
      </c>
      <c r="H29" s="65">
        <f t="shared" si="5"/>
        <v>3.1200000000000002E-2</v>
      </c>
      <c r="I29" s="65">
        <f t="shared" si="5"/>
        <v>3.1200000000000002E-2</v>
      </c>
      <c r="J29" s="65">
        <f t="shared" si="5"/>
        <v>3.1200000000000002E-2</v>
      </c>
      <c r="K29" s="65">
        <f t="shared" si="5"/>
        <v>3.1200000000000002E-2</v>
      </c>
      <c r="L29" s="65"/>
      <c r="M29" s="18"/>
      <c r="N29" s="18"/>
      <c r="O29" s="18"/>
      <c r="P29" s="18"/>
    </row>
    <row r="30" spans="5:16" outlineLevel="1" x14ac:dyDescent="0.2">
      <c r="E30" t="s">
        <v>136</v>
      </c>
      <c r="F30" s="65">
        <v>0</v>
      </c>
      <c r="G30" s="65">
        <v>0</v>
      </c>
      <c r="H30" s="65">
        <v>0</v>
      </c>
      <c r="I30" s="65">
        <v>0</v>
      </c>
      <c r="J30" s="65">
        <v>0</v>
      </c>
      <c r="K30" s="65">
        <f>Input!K18*-1</f>
        <v>-0.01</v>
      </c>
      <c r="L30" s="18"/>
      <c r="M30" s="18"/>
      <c r="N30" s="18"/>
      <c r="O30" s="18"/>
      <c r="P30" s="18"/>
    </row>
    <row r="31" spans="5:16" outlineLevel="1" x14ac:dyDescent="0.2">
      <c r="E31" t="s">
        <v>150</v>
      </c>
      <c r="F31" s="65">
        <f>F29+F25+F30</f>
        <v>7.1199999999999999E-2</v>
      </c>
      <c r="G31" s="65">
        <f t="shared" ref="G31:K31" si="6">G29+G25+G30</f>
        <v>7.1199999999999999E-2</v>
      </c>
      <c r="H31" s="65">
        <f t="shared" si="6"/>
        <v>7.1199999999999999E-2</v>
      </c>
      <c r="I31" s="65">
        <f t="shared" si="6"/>
        <v>7.1199999999999999E-2</v>
      </c>
      <c r="J31" s="65">
        <f t="shared" si="6"/>
        <v>7.1199999999999999E-2</v>
      </c>
      <c r="K31" s="65">
        <f t="shared" si="6"/>
        <v>6.1199999999999997E-2</v>
      </c>
      <c r="L31" s="18"/>
      <c r="M31" s="18"/>
      <c r="N31" s="18"/>
      <c r="O31" s="18"/>
      <c r="P31" s="18"/>
    </row>
    <row r="32" spans="5:16" x14ac:dyDescent="0.2">
      <c r="E32" t="s">
        <v>157</v>
      </c>
      <c r="F32" s="67">
        <f>1/(1+F31)^1</f>
        <v>0.93353248693054525</v>
      </c>
      <c r="G32" s="67">
        <f>F32/(1+G31)^1</f>
        <v>0.87148290415472862</v>
      </c>
      <c r="H32" s="67">
        <f t="shared" ref="H32:J32" si="7">G32/(1+H31)^1</f>
        <v>0.81355760283301781</v>
      </c>
      <c r="I32" s="67">
        <f t="shared" si="7"/>
        <v>0.75948245223395994</v>
      </c>
      <c r="J32" s="67">
        <f t="shared" si="7"/>
        <v>0.70900154241407765</v>
      </c>
      <c r="K32" s="67">
        <f>J32/K31</f>
        <v>11.584992523105845</v>
      </c>
      <c r="L32" s="18"/>
      <c r="M32" s="18"/>
      <c r="N32" s="18"/>
      <c r="O32" s="18"/>
      <c r="P32" s="18"/>
    </row>
    <row r="33" spans="5:16" x14ac:dyDescent="0.2">
      <c r="E33" s="5" t="s">
        <v>160</v>
      </c>
      <c r="F33" s="19">
        <f>F24*F32</f>
        <v>10491.537227975754</v>
      </c>
      <c r="G33" s="19">
        <f t="shared" ref="G33:K33" si="8">G24*G32</f>
        <v>10002.627242280152</v>
      </c>
      <c r="H33" s="19">
        <f t="shared" si="8"/>
        <v>9536.2231787112487</v>
      </c>
      <c r="I33" s="19">
        <f t="shared" si="8"/>
        <v>9091.3082546940368</v>
      </c>
      <c r="J33" s="19">
        <f t="shared" si="8"/>
        <v>8666.9102780177509</v>
      </c>
      <c r="K33" s="19">
        <f t="shared" si="8"/>
        <v>137445.23679259853</v>
      </c>
      <c r="L33" s="18"/>
      <c r="M33" s="18"/>
      <c r="N33" s="18"/>
      <c r="O33" s="18"/>
      <c r="P33" s="18"/>
    </row>
    <row r="34" spans="5:16" x14ac:dyDescent="0.2">
      <c r="E34" s="5" t="s">
        <v>161</v>
      </c>
      <c r="F34" s="19">
        <f>SUM(F33:K33)</f>
        <v>185233.84297427748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</row>
    <row r="35" spans="5:16" x14ac:dyDescent="0.2"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</row>
    <row r="36" spans="5:16" x14ac:dyDescent="0.2"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spans="5:16" x14ac:dyDescent="0.2"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8" spans="5:16" x14ac:dyDescent="0.2"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</row>
    <row r="39" spans="5:16" x14ac:dyDescent="0.2"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</row>
    <row r="40" spans="5:16" x14ac:dyDescent="0.2"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</row>
    <row r="41" spans="5:16" x14ac:dyDescent="0.2"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</row>
    <row r="42" spans="5:16" x14ac:dyDescent="0.2"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</row>
    <row r="43" spans="5:16" x14ac:dyDescent="0.2"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</row>
    <row r="44" spans="5:16" x14ac:dyDescent="0.2"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</row>
    <row r="45" spans="5:16" x14ac:dyDescent="0.2"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</row>
    <row r="46" spans="5:16" x14ac:dyDescent="0.2"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</row>
    <row r="47" spans="5:16" x14ac:dyDescent="0.2"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</row>
    <row r="48" spans="5:16" x14ac:dyDescent="0.2"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</row>
    <row r="49" spans="6:16" x14ac:dyDescent="0.2"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</row>
    <row r="50" spans="6:16" x14ac:dyDescent="0.2"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spans="6:16" x14ac:dyDescent="0.2"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6:16" x14ac:dyDescent="0.2"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</row>
    <row r="53" spans="6:16" x14ac:dyDescent="0.2"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</row>
    <row r="54" spans="6:16" x14ac:dyDescent="0.2"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</row>
    <row r="55" spans="6:16" x14ac:dyDescent="0.2"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</row>
    <row r="56" spans="6:16" x14ac:dyDescent="0.2"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</row>
    <row r="57" spans="6:16" x14ac:dyDescent="0.2"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</row>
    <row r="58" spans="6:16" x14ac:dyDescent="0.2"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6:16" x14ac:dyDescent="0.2"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</row>
    <row r="60" spans="6:16" x14ac:dyDescent="0.2"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</row>
    <row r="61" spans="6:16" x14ac:dyDescent="0.2"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</row>
    <row r="62" spans="6:16" x14ac:dyDescent="0.2"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</row>
    <row r="63" spans="6:16" x14ac:dyDescent="0.2"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</row>
    <row r="64" spans="6:16" x14ac:dyDescent="0.2"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</row>
    <row r="65" spans="6:16" x14ac:dyDescent="0.2"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</row>
    <row r="66" spans="6:16" x14ac:dyDescent="0.2"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</row>
    <row r="67" spans="6:16" x14ac:dyDescent="0.2"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</row>
    <row r="68" spans="6:16" x14ac:dyDescent="0.2"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</row>
    <row r="69" spans="6:16" x14ac:dyDescent="0.2"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</row>
    <row r="70" spans="6:16" x14ac:dyDescent="0.2"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</row>
    <row r="71" spans="6:16" x14ac:dyDescent="0.2"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</row>
    <row r="72" spans="6:16" x14ac:dyDescent="0.2"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</row>
    <row r="73" spans="6:16" x14ac:dyDescent="0.2"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</row>
    <row r="74" spans="6:16" x14ac:dyDescent="0.2"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</row>
    <row r="75" spans="6:16" x14ac:dyDescent="0.2"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</row>
    <row r="76" spans="6:16" x14ac:dyDescent="0.2"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</row>
    <row r="77" spans="6:16" x14ac:dyDescent="0.2"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</row>
    <row r="78" spans="6:16" x14ac:dyDescent="0.2"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</row>
    <row r="79" spans="6:16" x14ac:dyDescent="0.2"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</row>
    <row r="80" spans="6:16" x14ac:dyDescent="0.2"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</row>
    <row r="81" spans="6:16" x14ac:dyDescent="0.2"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</row>
    <row r="82" spans="6:16" x14ac:dyDescent="0.2"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</row>
    <row r="83" spans="6:16" x14ac:dyDescent="0.2"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</row>
    <row r="84" spans="6:16" x14ac:dyDescent="0.2"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</row>
    <row r="85" spans="6:16" x14ac:dyDescent="0.2"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</row>
    <row r="86" spans="6:16" x14ac:dyDescent="0.2"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</row>
    <row r="87" spans="6:16" x14ac:dyDescent="0.2"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</row>
    <row r="88" spans="6:16" x14ac:dyDescent="0.2"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</row>
    <row r="89" spans="6:16" x14ac:dyDescent="0.2"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</row>
    <row r="90" spans="6:16" x14ac:dyDescent="0.2"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</row>
    <row r="91" spans="6:16" x14ac:dyDescent="0.2"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</row>
    <row r="92" spans="6:16" x14ac:dyDescent="0.2"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</row>
    <row r="93" spans="6:16" x14ac:dyDescent="0.2"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</row>
    <row r="94" spans="6:16" x14ac:dyDescent="0.2"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</row>
    <row r="95" spans="6:16" x14ac:dyDescent="0.2"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</row>
    <row r="96" spans="6:16" x14ac:dyDescent="0.2"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</row>
    <row r="97" spans="6:16" x14ac:dyDescent="0.2"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</row>
    <row r="98" spans="6:16" x14ac:dyDescent="0.2"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</row>
    <row r="99" spans="6:16" x14ac:dyDescent="0.2"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</row>
    <row r="100" spans="6:16" x14ac:dyDescent="0.2"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</row>
    <row r="101" spans="6:16" x14ac:dyDescent="0.2"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</row>
    <row r="102" spans="6:16" x14ac:dyDescent="0.2"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</row>
    <row r="103" spans="6:16" x14ac:dyDescent="0.2"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</row>
    <row r="104" spans="6:16" x14ac:dyDescent="0.2"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</row>
    <row r="105" spans="6:16" x14ac:dyDescent="0.2"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</row>
    <row r="106" spans="6:16" x14ac:dyDescent="0.2"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</row>
    <row r="107" spans="6:16" x14ac:dyDescent="0.2"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</row>
    <row r="108" spans="6:16" x14ac:dyDescent="0.2"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</row>
    <row r="109" spans="6:16" x14ac:dyDescent="0.2"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</row>
    <row r="110" spans="6:16" x14ac:dyDescent="0.2"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</row>
    <row r="111" spans="6:16" x14ac:dyDescent="0.2"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</row>
    <row r="112" spans="6:16" x14ac:dyDescent="0.2"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</row>
    <row r="113" spans="6:16" x14ac:dyDescent="0.2"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</row>
    <row r="114" spans="6:16" x14ac:dyDescent="0.2"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</row>
    <row r="115" spans="6:16" x14ac:dyDescent="0.2"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</row>
    <row r="116" spans="6:16" x14ac:dyDescent="0.2"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</row>
    <row r="117" spans="6:16" x14ac:dyDescent="0.2"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</row>
    <row r="118" spans="6:16" x14ac:dyDescent="0.2"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</row>
    <row r="119" spans="6:16" x14ac:dyDescent="0.2"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</row>
    <row r="120" spans="6:16" x14ac:dyDescent="0.2"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</row>
    <row r="121" spans="6:16" x14ac:dyDescent="0.2"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</row>
    <row r="122" spans="6:16" x14ac:dyDescent="0.2"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</row>
    <row r="123" spans="6:16" x14ac:dyDescent="0.2"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</row>
    <row r="124" spans="6:16" x14ac:dyDescent="0.2"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</row>
    <row r="125" spans="6:16" x14ac:dyDescent="0.2"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</row>
    <row r="126" spans="6:16" x14ac:dyDescent="0.2"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</row>
    <row r="127" spans="6:16" x14ac:dyDescent="0.2"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</row>
    <row r="128" spans="6:16" x14ac:dyDescent="0.2"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</row>
    <row r="129" spans="6:16" x14ac:dyDescent="0.2"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</row>
    <row r="130" spans="6:16" x14ac:dyDescent="0.2"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</row>
    <row r="131" spans="6:16" x14ac:dyDescent="0.2"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</row>
    <row r="132" spans="6:16" x14ac:dyDescent="0.2"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</row>
    <row r="133" spans="6:16" x14ac:dyDescent="0.2"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</row>
    <row r="134" spans="6:16" x14ac:dyDescent="0.2"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</row>
    <row r="135" spans="6:16" x14ac:dyDescent="0.2"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</row>
    <row r="136" spans="6:16" x14ac:dyDescent="0.2"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</row>
    <row r="137" spans="6:16" x14ac:dyDescent="0.2"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</row>
    <row r="138" spans="6:16" x14ac:dyDescent="0.2"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</row>
    <row r="139" spans="6:16" x14ac:dyDescent="0.2"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</row>
    <row r="140" spans="6:16" x14ac:dyDescent="0.2"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</row>
    <row r="141" spans="6:16" x14ac:dyDescent="0.2"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</row>
    <row r="142" spans="6:16" x14ac:dyDescent="0.2"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</row>
    <row r="143" spans="6:16" x14ac:dyDescent="0.2"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</row>
    <row r="144" spans="6:16" x14ac:dyDescent="0.2"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</row>
    <row r="145" spans="6:16" x14ac:dyDescent="0.2"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</row>
    <row r="146" spans="6:16" x14ac:dyDescent="0.2"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</row>
    <row r="147" spans="6:16" x14ac:dyDescent="0.2"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</row>
    <row r="148" spans="6:16" x14ac:dyDescent="0.2"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</row>
    <row r="149" spans="6:16" x14ac:dyDescent="0.2"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</row>
    <row r="150" spans="6:16" x14ac:dyDescent="0.2"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</row>
    <row r="151" spans="6:16" x14ac:dyDescent="0.2"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</row>
    <row r="152" spans="6:16" x14ac:dyDescent="0.2"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</row>
    <row r="153" spans="6:16" x14ac:dyDescent="0.2"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</row>
    <row r="154" spans="6:16" x14ac:dyDescent="0.2"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</row>
    <row r="155" spans="6:16" x14ac:dyDescent="0.2"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</row>
    <row r="156" spans="6:16" x14ac:dyDescent="0.2"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</row>
    <row r="157" spans="6:16" x14ac:dyDescent="0.2"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</row>
    <row r="158" spans="6:16" x14ac:dyDescent="0.2"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</row>
    <row r="159" spans="6:16" x14ac:dyDescent="0.2"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</row>
    <row r="160" spans="6:16" x14ac:dyDescent="0.2"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</row>
    <row r="161" spans="6:16" x14ac:dyDescent="0.2"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</row>
    <row r="162" spans="6:16" x14ac:dyDescent="0.2"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</row>
    <row r="163" spans="6:16" x14ac:dyDescent="0.2"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</row>
    <row r="164" spans="6:16" x14ac:dyDescent="0.2"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</row>
    <row r="165" spans="6:16" x14ac:dyDescent="0.2"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</row>
    <row r="166" spans="6:16" x14ac:dyDescent="0.2"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</row>
    <row r="167" spans="6:16" x14ac:dyDescent="0.2"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</row>
    <row r="168" spans="6:16" x14ac:dyDescent="0.2"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</row>
    <row r="169" spans="6:16" x14ac:dyDescent="0.2"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</row>
    <row r="170" spans="6:16" x14ac:dyDescent="0.2"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</row>
    <row r="171" spans="6:16" x14ac:dyDescent="0.2"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</row>
    <row r="172" spans="6:16" x14ac:dyDescent="0.2"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</row>
    <row r="173" spans="6:16" x14ac:dyDescent="0.2"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</row>
    <row r="174" spans="6:16" x14ac:dyDescent="0.2"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</row>
    <row r="175" spans="6:16" x14ac:dyDescent="0.2"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</row>
    <row r="176" spans="6:16" x14ac:dyDescent="0.2"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</row>
    <row r="177" spans="6:16" x14ac:dyDescent="0.2"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</row>
    <row r="178" spans="6:16" x14ac:dyDescent="0.2"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</row>
    <row r="179" spans="6:16" x14ac:dyDescent="0.2"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</row>
    <row r="180" spans="6:16" x14ac:dyDescent="0.2"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</row>
    <row r="181" spans="6:16" x14ac:dyDescent="0.2"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</row>
    <row r="182" spans="6:16" x14ac:dyDescent="0.2"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</row>
    <row r="183" spans="6:16" x14ac:dyDescent="0.2"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</row>
    <row r="184" spans="6:16" x14ac:dyDescent="0.2"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</row>
    <row r="185" spans="6:16" x14ac:dyDescent="0.2"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</row>
    <row r="186" spans="6:16" x14ac:dyDescent="0.2"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</row>
    <row r="187" spans="6:16" x14ac:dyDescent="0.2"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</row>
    <row r="188" spans="6:16" x14ac:dyDescent="0.2"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</row>
    <row r="189" spans="6:16" x14ac:dyDescent="0.2"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</row>
    <row r="190" spans="6:16" x14ac:dyDescent="0.2"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</row>
    <row r="191" spans="6:16" x14ac:dyDescent="0.2"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</row>
    <row r="192" spans="6:16" x14ac:dyDescent="0.2"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</row>
    <row r="193" spans="6:16" x14ac:dyDescent="0.2"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</row>
    <row r="194" spans="6:16" x14ac:dyDescent="0.2"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</row>
    <row r="195" spans="6:16" x14ac:dyDescent="0.2"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</row>
    <row r="196" spans="6:16" x14ac:dyDescent="0.2"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</row>
    <row r="197" spans="6:16" x14ac:dyDescent="0.2"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</row>
    <row r="198" spans="6:16" x14ac:dyDescent="0.2"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</row>
    <row r="199" spans="6:16" x14ac:dyDescent="0.2"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</row>
    <row r="200" spans="6:16" x14ac:dyDescent="0.2"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</row>
    <row r="201" spans="6:16" x14ac:dyDescent="0.2"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</row>
    <row r="202" spans="6:16" x14ac:dyDescent="0.2"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</row>
    <row r="203" spans="6:16" x14ac:dyDescent="0.2"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</row>
    <row r="204" spans="6:16" x14ac:dyDescent="0.2"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</row>
    <row r="205" spans="6:16" x14ac:dyDescent="0.2"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</row>
    <row r="206" spans="6:16" x14ac:dyDescent="0.2"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</row>
    <row r="207" spans="6:16" x14ac:dyDescent="0.2"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</row>
    <row r="208" spans="6:16" x14ac:dyDescent="0.2"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</row>
    <row r="209" spans="6:16" x14ac:dyDescent="0.2"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</row>
    <row r="210" spans="6:16" x14ac:dyDescent="0.2"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</row>
    <row r="211" spans="6:16" x14ac:dyDescent="0.2"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</row>
    <row r="212" spans="6:16" x14ac:dyDescent="0.2"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</row>
    <row r="213" spans="6:16" x14ac:dyDescent="0.2"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</row>
    <row r="214" spans="6:16" x14ac:dyDescent="0.2"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</row>
    <row r="215" spans="6:16" x14ac:dyDescent="0.2"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</row>
    <row r="216" spans="6:16" x14ac:dyDescent="0.2"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</row>
    <row r="217" spans="6:16" x14ac:dyDescent="0.2"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</row>
    <row r="218" spans="6:16" x14ac:dyDescent="0.2"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</row>
    <row r="219" spans="6:16" x14ac:dyDescent="0.2"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</row>
    <row r="220" spans="6:16" x14ac:dyDescent="0.2"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</row>
    <row r="221" spans="6:16" x14ac:dyDescent="0.2"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</row>
    <row r="222" spans="6:16" x14ac:dyDescent="0.2"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</row>
    <row r="223" spans="6:16" x14ac:dyDescent="0.2"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</row>
    <row r="224" spans="6:16" x14ac:dyDescent="0.2"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</row>
    <row r="225" spans="6:16" x14ac:dyDescent="0.2"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</row>
    <row r="226" spans="6:16" x14ac:dyDescent="0.2"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</row>
    <row r="227" spans="6:16" x14ac:dyDescent="0.2"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</row>
    <row r="228" spans="6:16" x14ac:dyDescent="0.2"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</row>
    <row r="229" spans="6:16" x14ac:dyDescent="0.2"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</row>
    <row r="230" spans="6:16" x14ac:dyDescent="0.2"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</row>
    <row r="231" spans="6:16" x14ac:dyDescent="0.2"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</row>
    <row r="232" spans="6:16" x14ac:dyDescent="0.2"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</row>
    <row r="233" spans="6:16" x14ac:dyDescent="0.2"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</row>
    <row r="234" spans="6:16" x14ac:dyDescent="0.2"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</row>
    <row r="235" spans="6:16" x14ac:dyDescent="0.2"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</row>
    <row r="236" spans="6:16" x14ac:dyDescent="0.2"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</row>
    <row r="237" spans="6:16" x14ac:dyDescent="0.2"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</row>
    <row r="238" spans="6:16" x14ac:dyDescent="0.2"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</row>
    <row r="239" spans="6:16" x14ac:dyDescent="0.2"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</row>
    <row r="240" spans="6:16" x14ac:dyDescent="0.2"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</row>
    <row r="241" spans="6:16" x14ac:dyDescent="0.2"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</row>
    <row r="242" spans="6:16" x14ac:dyDescent="0.2"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</row>
    <row r="243" spans="6:16" x14ac:dyDescent="0.2"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</row>
    <row r="244" spans="6:16" x14ac:dyDescent="0.2"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</row>
    <row r="245" spans="6:16" x14ac:dyDescent="0.2"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</row>
    <row r="246" spans="6:16" x14ac:dyDescent="0.2"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</row>
    <row r="247" spans="6:16" x14ac:dyDescent="0.2"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</row>
    <row r="248" spans="6:16" x14ac:dyDescent="0.2"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</row>
    <row r="249" spans="6:16" x14ac:dyDescent="0.2"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</row>
    <row r="250" spans="6:16" x14ac:dyDescent="0.2"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</row>
    <row r="251" spans="6:16" x14ac:dyDescent="0.2"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</row>
    <row r="252" spans="6:16" x14ac:dyDescent="0.2"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</row>
    <row r="253" spans="6:16" x14ac:dyDescent="0.2"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</row>
    <row r="254" spans="6:16" x14ac:dyDescent="0.2"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</row>
    <row r="255" spans="6:16" x14ac:dyDescent="0.2"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</row>
    <row r="256" spans="6:16" x14ac:dyDescent="0.2"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</row>
    <row r="257" spans="6:16" x14ac:dyDescent="0.2"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</row>
    <row r="258" spans="6:16" x14ac:dyDescent="0.2"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</row>
    <row r="259" spans="6:16" x14ac:dyDescent="0.2"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</row>
    <row r="260" spans="6:16" x14ac:dyDescent="0.2"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</row>
    <row r="261" spans="6:16" x14ac:dyDescent="0.2"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</row>
    <row r="262" spans="6:16" x14ac:dyDescent="0.2"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</row>
    <row r="263" spans="6:16" x14ac:dyDescent="0.2"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</row>
    <row r="264" spans="6:16" x14ac:dyDescent="0.2"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</row>
    <row r="265" spans="6:16" x14ac:dyDescent="0.2"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</row>
    <row r="266" spans="6:16" x14ac:dyDescent="0.2"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</row>
    <row r="267" spans="6:16" x14ac:dyDescent="0.2"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</row>
    <row r="268" spans="6:16" x14ac:dyDescent="0.2"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</row>
    <row r="269" spans="6:16" x14ac:dyDescent="0.2"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</row>
    <row r="270" spans="6:16" x14ac:dyDescent="0.2"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</row>
    <row r="271" spans="6:16" x14ac:dyDescent="0.2"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</row>
    <row r="272" spans="6:16" x14ac:dyDescent="0.2"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</row>
    <row r="273" spans="6:16" x14ac:dyDescent="0.2"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</row>
    <row r="274" spans="6:16" x14ac:dyDescent="0.2"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</row>
    <row r="275" spans="6:16" x14ac:dyDescent="0.2"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</row>
    <row r="276" spans="6:16" x14ac:dyDescent="0.2"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</row>
    <row r="277" spans="6:16" x14ac:dyDescent="0.2"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</row>
    <row r="278" spans="6:16" x14ac:dyDescent="0.2"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</row>
    <row r="279" spans="6:16" x14ac:dyDescent="0.2"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</row>
    <row r="280" spans="6:16" x14ac:dyDescent="0.2"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</row>
    <row r="281" spans="6:16" x14ac:dyDescent="0.2"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</row>
    <row r="282" spans="6:16" x14ac:dyDescent="0.2"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</row>
    <row r="283" spans="6:16" x14ac:dyDescent="0.2"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</row>
    <row r="284" spans="6:16" x14ac:dyDescent="0.2"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</row>
    <row r="285" spans="6:16" x14ac:dyDescent="0.2"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</row>
    <row r="286" spans="6:16" x14ac:dyDescent="0.2"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</row>
    <row r="287" spans="6:16" x14ac:dyDescent="0.2"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</row>
    <row r="288" spans="6:16" x14ac:dyDescent="0.2"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</row>
    <row r="289" spans="6:16" x14ac:dyDescent="0.2"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</row>
    <row r="290" spans="6:16" x14ac:dyDescent="0.2"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</row>
    <row r="291" spans="6:16" x14ac:dyDescent="0.2"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</row>
    <row r="292" spans="6:16" x14ac:dyDescent="0.2"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</row>
    <row r="293" spans="6:16" x14ac:dyDescent="0.2"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</row>
    <row r="294" spans="6:16" x14ac:dyDescent="0.2"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</row>
    <row r="295" spans="6:16" x14ac:dyDescent="0.2"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</row>
    <row r="296" spans="6:16" x14ac:dyDescent="0.2"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</row>
    <row r="297" spans="6:16" x14ac:dyDescent="0.2"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</row>
    <row r="298" spans="6:16" x14ac:dyDescent="0.2"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</row>
    <row r="299" spans="6:16" x14ac:dyDescent="0.2"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</row>
    <row r="300" spans="6:16" x14ac:dyDescent="0.2"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</row>
    <row r="301" spans="6:16" x14ac:dyDescent="0.2"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</row>
    <row r="302" spans="6:16" x14ac:dyDescent="0.2"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</row>
    <row r="303" spans="6:16" x14ac:dyDescent="0.2"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</row>
    <row r="304" spans="6:16" x14ac:dyDescent="0.2"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</row>
    <row r="305" spans="6:16" x14ac:dyDescent="0.2"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</row>
    <row r="306" spans="6:16" x14ac:dyDescent="0.2"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</row>
    <row r="307" spans="6:16" x14ac:dyDescent="0.2"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</row>
    <row r="308" spans="6:16" x14ac:dyDescent="0.2"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</row>
    <row r="309" spans="6:16" x14ac:dyDescent="0.2"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</row>
    <row r="310" spans="6:16" x14ac:dyDescent="0.2"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</row>
    <row r="311" spans="6:16" x14ac:dyDescent="0.2"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</row>
    <row r="312" spans="6:16" x14ac:dyDescent="0.2"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</row>
    <row r="313" spans="6:16" x14ac:dyDescent="0.2"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</row>
    <row r="314" spans="6:16" x14ac:dyDescent="0.2"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</row>
    <row r="315" spans="6:16" x14ac:dyDescent="0.2"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</row>
    <row r="316" spans="6:16" x14ac:dyDescent="0.2"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</row>
    <row r="317" spans="6:16" x14ac:dyDescent="0.2"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</row>
    <row r="318" spans="6:16" x14ac:dyDescent="0.2"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</row>
    <row r="319" spans="6:16" x14ac:dyDescent="0.2"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</row>
    <row r="320" spans="6:16" x14ac:dyDescent="0.2"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</row>
    <row r="321" spans="6:16" x14ac:dyDescent="0.2"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</row>
    <row r="322" spans="6:16" x14ac:dyDescent="0.2"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</row>
    <row r="323" spans="6:16" x14ac:dyDescent="0.2"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</row>
    <row r="324" spans="6:16" x14ac:dyDescent="0.2"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</row>
    <row r="325" spans="6:16" x14ac:dyDescent="0.2"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</row>
    <row r="326" spans="6:16" x14ac:dyDescent="0.2"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</row>
    <row r="327" spans="6:16" x14ac:dyDescent="0.2"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</row>
    <row r="328" spans="6:16" x14ac:dyDescent="0.2"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</row>
    <row r="329" spans="6:16" x14ac:dyDescent="0.2"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</row>
    <row r="330" spans="6:16" x14ac:dyDescent="0.2"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</row>
    <row r="331" spans="6:16" x14ac:dyDescent="0.2"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</row>
    <row r="332" spans="6:16" x14ac:dyDescent="0.2"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</row>
    <row r="333" spans="6:16" x14ac:dyDescent="0.2"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</row>
    <row r="334" spans="6:16" x14ac:dyDescent="0.2"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</row>
    <row r="335" spans="6:16" x14ac:dyDescent="0.2"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</row>
    <row r="336" spans="6:16" x14ac:dyDescent="0.2"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</row>
    <row r="337" spans="6:16" x14ac:dyDescent="0.2"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</row>
    <row r="338" spans="6:16" x14ac:dyDescent="0.2"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</row>
    <row r="339" spans="6:16" x14ac:dyDescent="0.2"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</row>
    <row r="340" spans="6:16" x14ac:dyDescent="0.2"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</row>
    <row r="341" spans="6:16" x14ac:dyDescent="0.2"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</row>
    <row r="342" spans="6:16" x14ac:dyDescent="0.2"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</row>
    <row r="343" spans="6:16" x14ac:dyDescent="0.2"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</row>
    <row r="344" spans="6:16" x14ac:dyDescent="0.2"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</row>
    <row r="345" spans="6:16" x14ac:dyDescent="0.2"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</row>
    <row r="346" spans="6:16" x14ac:dyDescent="0.2"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</row>
    <row r="347" spans="6:16" x14ac:dyDescent="0.2"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</row>
    <row r="348" spans="6:16" x14ac:dyDescent="0.2"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</row>
    <row r="349" spans="6:16" x14ac:dyDescent="0.2"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</row>
    <row r="350" spans="6:16" x14ac:dyDescent="0.2"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</row>
    <row r="351" spans="6:16" x14ac:dyDescent="0.2"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</row>
    <row r="352" spans="6:16" x14ac:dyDescent="0.2"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</row>
    <row r="353" spans="6:16" x14ac:dyDescent="0.2"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</row>
    <row r="354" spans="6:16" x14ac:dyDescent="0.2"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</row>
    <row r="355" spans="6:16" x14ac:dyDescent="0.2"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</row>
    <row r="356" spans="6:16" x14ac:dyDescent="0.2"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</row>
    <row r="357" spans="6:16" x14ac:dyDescent="0.2"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</row>
    <row r="358" spans="6:16" x14ac:dyDescent="0.2"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</row>
    <row r="359" spans="6:16" x14ac:dyDescent="0.2"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</row>
    <row r="360" spans="6:16" x14ac:dyDescent="0.2"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</row>
    <row r="361" spans="6:16" x14ac:dyDescent="0.2"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</row>
    <row r="362" spans="6:16" x14ac:dyDescent="0.2"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</row>
    <row r="363" spans="6:16" x14ac:dyDescent="0.2"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</row>
    <row r="364" spans="6:16" x14ac:dyDescent="0.2"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</row>
    <row r="365" spans="6:16" x14ac:dyDescent="0.2"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</row>
    <row r="366" spans="6:16" x14ac:dyDescent="0.2"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</row>
    <row r="367" spans="6:16" x14ac:dyDescent="0.2"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</row>
    <row r="368" spans="6:16" x14ac:dyDescent="0.2"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</row>
    <row r="369" spans="6:16" x14ac:dyDescent="0.2"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</row>
    <row r="370" spans="6:16" x14ac:dyDescent="0.2"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</row>
    <row r="371" spans="6:16" x14ac:dyDescent="0.2"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</row>
    <row r="372" spans="6:16" x14ac:dyDescent="0.2"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</row>
    <row r="373" spans="6:16" x14ac:dyDescent="0.2"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</row>
    <row r="374" spans="6:16" x14ac:dyDescent="0.2"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</row>
    <row r="375" spans="6:16" x14ac:dyDescent="0.2"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</row>
    <row r="376" spans="6:16" x14ac:dyDescent="0.2"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</row>
    <row r="377" spans="6:16" x14ac:dyDescent="0.2"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</row>
    <row r="378" spans="6:16" x14ac:dyDescent="0.2"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</row>
    <row r="379" spans="6:16" x14ac:dyDescent="0.2"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</row>
    <row r="380" spans="6:16" x14ac:dyDescent="0.2"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</row>
    <row r="381" spans="6:16" x14ac:dyDescent="0.2"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</row>
    <row r="382" spans="6:16" x14ac:dyDescent="0.2"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</row>
    <row r="383" spans="6:16" x14ac:dyDescent="0.2"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</row>
    <row r="384" spans="6:16" x14ac:dyDescent="0.2"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</row>
    <row r="385" spans="6:16" x14ac:dyDescent="0.2"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</row>
    <row r="386" spans="6:16" x14ac:dyDescent="0.2"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</row>
    <row r="387" spans="6:16" x14ac:dyDescent="0.2"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</row>
    <row r="388" spans="6:16" x14ac:dyDescent="0.2"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</row>
    <row r="389" spans="6:16" x14ac:dyDescent="0.2"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</row>
    <row r="390" spans="6:16" x14ac:dyDescent="0.2"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</row>
    <row r="391" spans="6:16" x14ac:dyDescent="0.2"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</row>
    <row r="392" spans="6:16" x14ac:dyDescent="0.2"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</row>
    <row r="393" spans="6:16" x14ac:dyDescent="0.2"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</row>
    <row r="394" spans="6:16" x14ac:dyDescent="0.2"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</row>
    <row r="395" spans="6:16" x14ac:dyDescent="0.2"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</row>
    <row r="396" spans="6:16" x14ac:dyDescent="0.2"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</row>
    <row r="397" spans="6:16" x14ac:dyDescent="0.2"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</row>
    <row r="398" spans="6:16" x14ac:dyDescent="0.2"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</row>
    <row r="399" spans="6:16" x14ac:dyDescent="0.2"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</row>
    <row r="400" spans="6:16" x14ac:dyDescent="0.2"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</row>
    <row r="401" spans="6:16" x14ac:dyDescent="0.2"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</row>
    <row r="402" spans="6:16" x14ac:dyDescent="0.2"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</row>
    <row r="403" spans="6:16" x14ac:dyDescent="0.2"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</row>
    <row r="404" spans="6:16" x14ac:dyDescent="0.2"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</row>
    <row r="405" spans="6:16" x14ac:dyDescent="0.2"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</row>
    <row r="406" spans="6:16" x14ac:dyDescent="0.2"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</row>
    <row r="407" spans="6:16" x14ac:dyDescent="0.2"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</row>
    <row r="408" spans="6:16" x14ac:dyDescent="0.2"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</row>
    <row r="409" spans="6:16" x14ac:dyDescent="0.2"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</row>
    <row r="410" spans="6:16" x14ac:dyDescent="0.2"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</row>
    <row r="411" spans="6:16" x14ac:dyDescent="0.2"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</row>
    <row r="412" spans="6:16" x14ac:dyDescent="0.2"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</row>
    <row r="413" spans="6:16" x14ac:dyDescent="0.2"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</row>
    <row r="414" spans="6:16" x14ac:dyDescent="0.2"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</row>
    <row r="415" spans="6:16" x14ac:dyDescent="0.2"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</row>
    <row r="416" spans="6:16" x14ac:dyDescent="0.2"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</row>
    <row r="417" spans="6:16" x14ac:dyDescent="0.2"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</row>
    <row r="418" spans="6:16" x14ac:dyDescent="0.2"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</row>
    <row r="419" spans="6:16" x14ac:dyDescent="0.2"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</row>
    <row r="420" spans="6:16" x14ac:dyDescent="0.2"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</row>
    <row r="421" spans="6:16" x14ac:dyDescent="0.2"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</row>
    <row r="422" spans="6:16" x14ac:dyDescent="0.2"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</row>
    <row r="423" spans="6:16" x14ac:dyDescent="0.2"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</row>
    <row r="424" spans="6:16" x14ac:dyDescent="0.2"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</row>
    <row r="425" spans="6:16" x14ac:dyDescent="0.2"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</row>
    <row r="426" spans="6:16" x14ac:dyDescent="0.2"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</row>
    <row r="427" spans="6:16" x14ac:dyDescent="0.2"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</row>
    <row r="428" spans="6:16" x14ac:dyDescent="0.2"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</row>
    <row r="429" spans="6:16" x14ac:dyDescent="0.2"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</row>
    <row r="430" spans="6:16" x14ac:dyDescent="0.2"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</row>
    <row r="431" spans="6:16" x14ac:dyDescent="0.2"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</row>
    <row r="432" spans="6:16" x14ac:dyDescent="0.2"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</row>
    <row r="433" spans="6:16" x14ac:dyDescent="0.2"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</row>
    <row r="434" spans="6:16" x14ac:dyDescent="0.2"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</row>
    <row r="435" spans="6:16" x14ac:dyDescent="0.2"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</row>
    <row r="436" spans="6:16" x14ac:dyDescent="0.2"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</row>
    <row r="437" spans="6:16" x14ac:dyDescent="0.2"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</row>
    <row r="438" spans="6:16" x14ac:dyDescent="0.2"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</row>
    <row r="439" spans="6:16" x14ac:dyDescent="0.2"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</row>
    <row r="440" spans="6:16" x14ac:dyDescent="0.2"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</row>
    <row r="441" spans="6:16" x14ac:dyDescent="0.2"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</row>
    <row r="442" spans="6:16" x14ac:dyDescent="0.2"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</row>
    <row r="443" spans="6:16" x14ac:dyDescent="0.2"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</row>
    <row r="444" spans="6:16" x14ac:dyDescent="0.2"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</row>
    <row r="445" spans="6:16" x14ac:dyDescent="0.2"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</row>
    <row r="446" spans="6:16" x14ac:dyDescent="0.2"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</row>
    <row r="447" spans="6:16" x14ac:dyDescent="0.2"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</row>
    <row r="448" spans="6:16" x14ac:dyDescent="0.2"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</row>
    <row r="449" spans="6:16" x14ac:dyDescent="0.2"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</row>
    <row r="450" spans="6:16" x14ac:dyDescent="0.2"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</row>
    <row r="451" spans="6:16" x14ac:dyDescent="0.2"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</row>
    <row r="452" spans="6:16" x14ac:dyDescent="0.2"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</row>
    <row r="453" spans="6:16" x14ac:dyDescent="0.2"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</row>
    <row r="454" spans="6:16" x14ac:dyDescent="0.2"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</row>
    <row r="455" spans="6:16" x14ac:dyDescent="0.2"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</row>
    <row r="456" spans="6:16" x14ac:dyDescent="0.2"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</row>
    <row r="457" spans="6:16" x14ac:dyDescent="0.2"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</row>
    <row r="458" spans="6:16" x14ac:dyDescent="0.2"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</row>
    <row r="459" spans="6:16" x14ac:dyDescent="0.2"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</row>
    <row r="460" spans="6:16" x14ac:dyDescent="0.2"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</row>
    <row r="461" spans="6:16" x14ac:dyDescent="0.2"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</row>
    <row r="462" spans="6:16" x14ac:dyDescent="0.2"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</row>
    <row r="463" spans="6:16" x14ac:dyDescent="0.2"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</row>
    <row r="464" spans="6:16" x14ac:dyDescent="0.2"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</row>
    <row r="465" spans="6:16" x14ac:dyDescent="0.2"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</row>
    <row r="466" spans="6:16" x14ac:dyDescent="0.2"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</row>
    <row r="467" spans="6:16" x14ac:dyDescent="0.2"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</row>
    <row r="468" spans="6:16" x14ac:dyDescent="0.2"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</row>
    <row r="469" spans="6:16" x14ac:dyDescent="0.2"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</row>
    <row r="470" spans="6:16" x14ac:dyDescent="0.2"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</row>
    <row r="471" spans="6:16" x14ac:dyDescent="0.2"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</row>
    <row r="472" spans="6:16" x14ac:dyDescent="0.2"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</row>
    <row r="473" spans="6:16" x14ac:dyDescent="0.2"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</row>
    <row r="474" spans="6:16" x14ac:dyDescent="0.2"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</row>
    <row r="475" spans="6:16" x14ac:dyDescent="0.2"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</row>
    <row r="476" spans="6:16" x14ac:dyDescent="0.2"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</row>
    <row r="477" spans="6:16" x14ac:dyDescent="0.2"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</row>
    <row r="478" spans="6:16" x14ac:dyDescent="0.2"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</row>
    <row r="479" spans="6:16" x14ac:dyDescent="0.2"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</row>
    <row r="480" spans="6:16" x14ac:dyDescent="0.2"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</row>
    <row r="481" spans="6:16" x14ac:dyDescent="0.2"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</row>
    <row r="482" spans="6:16" x14ac:dyDescent="0.2"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</row>
    <row r="483" spans="6:16" x14ac:dyDescent="0.2"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</row>
    <row r="484" spans="6:16" x14ac:dyDescent="0.2"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</row>
    <row r="485" spans="6:16" x14ac:dyDescent="0.2"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</row>
    <row r="486" spans="6:16" x14ac:dyDescent="0.2"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</row>
    <row r="487" spans="6:16" x14ac:dyDescent="0.2"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</row>
    <row r="488" spans="6:16" x14ac:dyDescent="0.2"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</row>
    <row r="489" spans="6:16" x14ac:dyDescent="0.2"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</row>
    <row r="490" spans="6:16" x14ac:dyDescent="0.2"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</row>
    <row r="491" spans="6:16" x14ac:dyDescent="0.2"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</row>
    <row r="492" spans="6:16" x14ac:dyDescent="0.2"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</row>
    <row r="493" spans="6:16" x14ac:dyDescent="0.2"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</row>
    <row r="494" spans="6:16" x14ac:dyDescent="0.2"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</row>
    <row r="495" spans="6:16" x14ac:dyDescent="0.2"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</row>
    <row r="496" spans="6:16" x14ac:dyDescent="0.2"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</row>
    <row r="497" spans="6:16" x14ac:dyDescent="0.2"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</row>
    <row r="498" spans="6:16" x14ac:dyDescent="0.2"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</row>
    <row r="499" spans="6:16" x14ac:dyDescent="0.2"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</row>
    <row r="500" spans="6:16" x14ac:dyDescent="0.2"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</row>
    <row r="501" spans="6:16" x14ac:dyDescent="0.2"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</row>
    <row r="502" spans="6:16" x14ac:dyDescent="0.2"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</row>
    <row r="503" spans="6:16" x14ac:dyDescent="0.2"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</row>
    <row r="504" spans="6:16" x14ac:dyDescent="0.2"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</row>
    <row r="505" spans="6:16" x14ac:dyDescent="0.2"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</row>
    <row r="506" spans="6:16" x14ac:dyDescent="0.2"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</row>
    <row r="507" spans="6:16" x14ac:dyDescent="0.2"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</row>
    <row r="508" spans="6:16" x14ac:dyDescent="0.2"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</row>
    <row r="509" spans="6:16" x14ac:dyDescent="0.2"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</row>
    <row r="510" spans="6:16" x14ac:dyDescent="0.2"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</row>
    <row r="511" spans="6:16" x14ac:dyDescent="0.2"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</row>
    <row r="512" spans="6:16" x14ac:dyDescent="0.2"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</row>
    <row r="513" spans="6:16" x14ac:dyDescent="0.2"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</row>
    <row r="514" spans="6:16" x14ac:dyDescent="0.2"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</row>
    <row r="515" spans="6:16" x14ac:dyDescent="0.2"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</row>
    <row r="516" spans="6:16" x14ac:dyDescent="0.2"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</row>
    <row r="517" spans="6:16" x14ac:dyDescent="0.2"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</row>
    <row r="518" spans="6:16" x14ac:dyDescent="0.2"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</row>
    <row r="519" spans="6:16" x14ac:dyDescent="0.2"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</row>
    <row r="520" spans="6:16" x14ac:dyDescent="0.2"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</row>
    <row r="521" spans="6:16" x14ac:dyDescent="0.2"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</row>
    <row r="522" spans="6:16" x14ac:dyDescent="0.2"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</row>
    <row r="523" spans="6:16" x14ac:dyDescent="0.2"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</row>
    <row r="524" spans="6:16" x14ac:dyDescent="0.2"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</row>
    <row r="525" spans="6:16" x14ac:dyDescent="0.2"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</row>
    <row r="526" spans="6:16" x14ac:dyDescent="0.2"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</row>
    <row r="527" spans="6:16" x14ac:dyDescent="0.2"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</row>
    <row r="528" spans="6:16" x14ac:dyDescent="0.2"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</row>
    <row r="529" spans="6:16" x14ac:dyDescent="0.2"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</row>
    <row r="530" spans="6:16" x14ac:dyDescent="0.2"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</row>
    <row r="531" spans="6:16" x14ac:dyDescent="0.2"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</row>
    <row r="532" spans="6:16" x14ac:dyDescent="0.2"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</row>
    <row r="533" spans="6:16" x14ac:dyDescent="0.2"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</row>
    <row r="534" spans="6:16" x14ac:dyDescent="0.2"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</row>
    <row r="535" spans="6:16" x14ac:dyDescent="0.2"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</row>
    <row r="536" spans="6:16" x14ac:dyDescent="0.2"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</row>
    <row r="537" spans="6:16" x14ac:dyDescent="0.2"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</row>
    <row r="538" spans="6:16" x14ac:dyDescent="0.2"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</row>
    <row r="539" spans="6:16" x14ac:dyDescent="0.2"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</row>
    <row r="540" spans="6:16" x14ac:dyDescent="0.2"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</row>
    <row r="541" spans="6:16" x14ac:dyDescent="0.2"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</row>
    <row r="542" spans="6:16" x14ac:dyDescent="0.2"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</row>
    <row r="543" spans="6:16" x14ac:dyDescent="0.2"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</row>
    <row r="544" spans="6:16" x14ac:dyDescent="0.2"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</row>
    <row r="545" spans="6:16" x14ac:dyDescent="0.2"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</row>
    <row r="546" spans="6:16" x14ac:dyDescent="0.2"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</row>
    <row r="547" spans="6:16" x14ac:dyDescent="0.2"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</row>
    <row r="548" spans="6:16" x14ac:dyDescent="0.2"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</row>
    <row r="549" spans="6:16" x14ac:dyDescent="0.2"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</row>
    <row r="550" spans="6:16" x14ac:dyDescent="0.2"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</row>
    <row r="551" spans="6:16" x14ac:dyDescent="0.2"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</row>
    <row r="552" spans="6:16" x14ac:dyDescent="0.2"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</row>
    <row r="553" spans="6:16" x14ac:dyDescent="0.2"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</row>
    <row r="554" spans="6:16" x14ac:dyDescent="0.2"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</row>
    <row r="555" spans="6:16" x14ac:dyDescent="0.2"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</row>
    <row r="556" spans="6:16" x14ac:dyDescent="0.2"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</row>
    <row r="557" spans="6:16" x14ac:dyDescent="0.2"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</row>
    <row r="558" spans="6:16" x14ac:dyDescent="0.2"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</row>
    <row r="559" spans="6:16" x14ac:dyDescent="0.2"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</row>
    <row r="560" spans="6:16" x14ac:dyDescent="0.2"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</row>
    <row r="561" spans="6:16" x14ac:dyDescent="0.2"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</row>
    <row r="562" spans="6:16" x14ac:dyDescent="0.2"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</row>
    <row r="563" spans="6:16" x14ac:dyDescent="0.2"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</row>
    <row r="564" spans="6:16" x14ac:dyDescent="0.2"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</row>
    <row r="565" spans="6:16" x14ac:dyDescent="0.2"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</row>
    <row r="566" spans="6:16" x14ac:dyDescent="0.2"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</row>
    <row r="567" spans="6:16" x14ac:dyDescent="0.2"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</row>
    <row r="568" spans="6:16" x14ac:dyDescent="0.2"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</row>
    <row r="569" spans="6:16" x14ac:dyDescent="0.2"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</row>
    <row r="570" spans="6:16" x14ac:dyDescent="0.2"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</row>
    <row r="571" spans="6:16" x14ac:dyDescent="0.2"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</row>
    <row r="572" spans="6:16" x14ac:dyDescent="0.2"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</row>
    <row r="573" spans="6:16" x14ac:dyDescent="0.2"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</row>
    <row r="574" spans="6:16" x14ac:dyDescent="0.2"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</row>
    <row r="575" spans="6:16" x14ac:dyDescent="0.2"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</row>
    <row r="576" spans="6:16" x14ac:dyDescent="0.2"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</row>
    <row r="577" spans="6:16" x14ac:dyDescent="0.2"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</row>
    <row r="578" spans="6:16" x14ac:dyDescent="0.2"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</row>
    <row r="579" spans="6:16" x14ac:dyDescent="0.2"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</row>
    <row r="580" spans="6:16" x14ac:dyDescent="0.2"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</row>
    <row r="581" spans="6:16" x14ac:dyDescent="0.2"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</row>
    <row r="582" spans="6:16" x14ac:dyDescent="0.2"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</row>
    <row r="583" spans="6:16" x14ac:dyDescent="0.2"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</row>
    <row r="584" spans="6:16" x14ac:dyDescent="0.2"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</row>
    <row r="585" spans="6:16" x14ac:dyDescent="0.2"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</row>
    <row r="586" spans="6:16" x14ac:dyDescent="0.2"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</row>
    <row r="587" spans="6:16" x14ac:dyDescent="0.2"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</row>
    <row r="588" spans="6:16" x14ac:dyDescent="0.2"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</row>
    <row r="589" spans="6:16" x14ac:dyDescent="0.2"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</row>
    <row r="590" spans="6:16" x14ac:dyDescent="0.2"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</row>
    <row r="591" spans="6:16" x14ac:dyDescent="0.2"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</row>
    <row r="592" spans="6:16" x14ac:dyDescent="0.2"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</row>
    <row r="593" spans="6:16" x14ac:dyDescent="0.2"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</row>
    <row r="594" spans="6:16" x14ac:dyDescent="0.2"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</row>
    <row r="595" spans="6:16" x14ac:dyDescent="0.2"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</row>
    <row r="596" spans="6:16" x14ac:dyDescent="0.2"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</row>
    <row r="597" spans="6:16" x14ac:dyDescent="0.2"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</row>
    <row r="598" spans="6:16" x14ac:dyDescent="0.2"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</row>
    <row r="599" spans="6:16" x14ac:dyDescent="0.2"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</row>
    <row r="600" spans="6:16" x14ac:dyDescent="0.2"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</row>
    <row r="601" spans="6:16" x14ac:dyDescent="0.2"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</row>
    <row r="602" spans="6:16" x14ac:dyDescent="0.2"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</row>
    <row r="603" spans="6:16" x14ac:dyDescent="0.2"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</row>
    <row r="604" spans="6:16" x14ac:dyDescent="0.2"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</row>
    <row r="605" spans="6:16" x14ac:dyDescent="0.2"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</row>
    <row r="606" spans="6:16" x14ac:dyDescent="0.2"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</row>
    <row r="607" spans="6:16" x14ac:dyDescent="0.2"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</row>
    <row r="608" spans="6:16" x14ac:dyDescent="0.2"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</row>
    <row r="609" spans="6:16" x14ac:dyDescent="0.2"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</row>
    <row r="610" spans="6:16" x14ac:dyDescent="0.2"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</row>
    <row r="611" spans="6:16" x14ac:dyDescent="0.2"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</row>
    <row r="612" spans="6:16" x14ac:dyDescent="0.2"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</row>
    <row r="613" spans="6:16" x14ac:dyDescent="0.2"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</row>
    <row r="614" spans="6:16" x14ac:dyDescent="0.2"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</row>
    <row r="615" spans="6:16" x14ac:dyDescent="0.2"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</row>
    <row r="616" spans="6:16" x14ac:dyDescent="0.2"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</row>
    <row r="617" spans="6:16" x14ac:dyDescent="0.2"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</row>
    <row r="618" spans="6:16" x14ac:dyDescent="0.2"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</row>
    <row r="619" spans="6:16" x14ac:dyDescent="0.2"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</row>
    <row r="620" spans="6:16" x14ac:dyDescent="0.2"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</row>
    <row r="621" spans="6:16" x14ac:dyDescent="0.2"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</row>
    <row r="622" spans="6:16" x14ac:dyDescent="0.2"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</row>
    <row r="623" spans="6:16" x14ac:dyDescent="0.2"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</row>
    <row r="624" spans="6:16" x14ac:dyDescent="0.2"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</row>
    <row r="625" spans="6:16" x14ac:dyDescent="0.2"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</row>
    <row r="626" spans="6:16" x14ac:dyDescent="0.2"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</row>
    <row r="627" spans="6:16" x14ac:dyDescent="0.2"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</row>
    <row r="628" spans="6:16" x14ac:dyDescent="0.2"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</row>
    <row r="629" spans="6:16" x14ac:dyDescent="0.2"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</row>
    <row r="630" spans="6:16" x14ac:dyDescent="0.2"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</row>
    <row r="631" spans="6:16" x14ac:dyDescent="0.2"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</row>
    <row r="632" spans="6:16" x14ac:dyDescent="0.2"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</row>
    <row r="633" spans="6:16" x14ac:dyDescent="0.2"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</row>
    <row r="634" spans="6:16" x14ac:dyDescent="0.2"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</row>
    <row r="635" spans="6:16" x14ac:dyDescent="0.2"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</row>
    <row r="636" spans="6:16" x14ac:dyDescent="0.2"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</row>
    <row r="637" spans="6:16" x14ac:dyDescent="0.2"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</row>
    <row r="638" spans="6:16" x14ac:dyDescent="0.2"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</row>
    <row r="639" spans="6:16" x14ac:dyDescent="0.2"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</row>
    <row r="640" spans="6:16" x14ac:dyDescent="0.2"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</row>
    <row r="641" spans="6:16" x14ac:dyDescent="0.2"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</row>
    <row r="642" spans="6:16" x14ac:dyDescent="0.2"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</row>
    <row r="643" spans="6:16" x14ac:dyDescent="0.2"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</row>
    <row r="644" spans="6:16" x14ac:dyDescent="0.2"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</row>
    <row r="645" spans="6:16" x14ac:dyDescent="0.2"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</row>
    <row r="646" spans="6:16" x14ac:dyDescent="0.2"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</row>
    <row r="647" spans="6:16" x14ac:dyDescent="0.2"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</row>
    <row r="648" spans="6:16" x14ac:dyDescent="0.2"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</row>
    <row r="649" spans="6:16" x14ac:dyDescent="0.2"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</row>
    <row r="650" spans="6:16" x14ac:dyDescent="0.2"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</row>
    <row r="651" spans="6:16" x14ac:dyDescent="0.2"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</row>
    <row r="652" spans="6:16" x14ac:dyDescent="0.2"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</row>
    <row r="653" spans="6:16" x14ac:dyDescent="0.2"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</row>
    <row r="654" spans="6:16" x14ac:dyDescent="0.2"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</row>
    <row r="655" spans="6:16" x14ac:dyDescent="0.2"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</row>
    <row r="656" spans="6:16" x14ac:dyDescent="0.2"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</row>
    <row r="657" spans="6:16" x14ac:dyDescent="0.2"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</row>
    <row r="658" spans="6:16" x14ac:dyDescent="0.2"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</row>
    <row r="659" spans="6:16" x14ac:dyDescent="0.2"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</row>
    <row r="660" spans="6:16" x14ac:dyDescent="0.2"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</row>
    <row r="661" spans="6:16" x14ac:dyDescent="0.2"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</row>
    <row r="662" spans="6:16" x14ac:dyDescent="0.2"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</row>
    <row r="663" spans="6:16" x14ac:dyDescent="0.2"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</row>
    <row r="664" spans="6:16" x14ac:dyDescent="0.2"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</row>
    <row r="665" spans="6:16" x14ac:dyDescent="0.2"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</row>
    <row r="666" spans="6:16" x14ac:dyDescent="0.2"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</row>
    <row r="667" spans="6:16" x14ac:dyDescent="0.2"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</row>
    <row r="668" spans="6:16" x14ac:dyDescent="0.2"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</row>
    <row r="669" spans="6:16" x14ac:dyDescent="0.2"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</row>
    <row r="670" spans="6:16" x14ac:dyDescent="0.2"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</row>
    <row r="671" spans="6:16" x14ac:dyDescent="0.2"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</row>
    <row r="672" spans="6:16" x14ac:dyDescent="0.2"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</row>
    <row r="673" spans="6:16" x14ac:dyDescent="0.2"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</row>
    <row r="674" spans="6:16" x14ac:dyDescent="0.2"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</row>
    <row r="675" spans="6:16" x14ac:dyDescent="0.2"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</row>
    <row r="676" spans="6:16" x14ac:dyDescent="0.2"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</row>
    <row r="677" spans="6:16" x14ac:dyDescent="0.2"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</row>
    <row r="678" spans="6:16" x14ac:dyDescent="0.2"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</row>
    <row r="679" spans="6:16" x14ac:dyDescent="0.2"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</row>
    <row r="680" spans="6:16" x14ac:dyDescent="0.2"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</row>
    <row r="681" spans="6:16" x14ac:dyDescent="0.2"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</row>
    <row r="682" spans="6:16" x14ac:dyDescent="0.2"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</row>
    <row r="683" spans="6:16" x14ac:dyDescent="0.2"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</row>
    <row r="684" spans="6:16" x14ac:dyDescent="0.2"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</row>
    <row r="685" spans="6:16" x14ac:dyDescent="0.2"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</row>
    <row r="686" spans="6:16" x14ac:dyDescent="0.2"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</row>
    <row r="687" spans="6:16" x14ac:dyDescent="0.2"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</row>
    <row r="688" spans="6:16" x14ac:dyDescent="0.2"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</row>
    <row r="689" spans="6:16" x14ac:dyDescent="0.2"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</row>
    <row r="690" spans="6:16" x14ac:dyDescent="0.2"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</row>
    <row r="691" spans="6:16" x14ac:dyDescent="0.2"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</row>
    <row r="692" spans="6:16" x14ac:dyDescent="0.2"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</row>
    <row r="693" spans="6:16" x14ac:dyDescent="0.2"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</row>
    <row r="694" spans="6:16" x14ac:dyDescent="0.2"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</row>
    <row r="695" spans="6:16" x14ac:dyDescent="0.2"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</row>
    <row r="696" spans="6:16" x14ac:dyDescent="0.2"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</row>
    <row r="697" spans="6:16" x14ac:dyDescent="0.2"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</row>
    <row r="698" spans="6:16" x14ac:dyDescent="0.2"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</row>
    <row r="699" spans="6:16" x14ac:dyDescent="0.2"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</row>
    <row r="700" spans="6:16" x14ac:dyDescent="0.2"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</row>
    <row r="701" spans="6:16" x14ac:dyDescent="0.2"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</row>
    <row r="702" spans="6:16" x14ac:dyDescent="0.2"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</row>
    <row r="703" spans="6:16" x14ac:dyDescent="0.2"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</row>
    <row r="704" spans="6:16" x14ac:dyDescent="0.2"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</row>
  </sheetData>
  <conditionalFormatting sqref="B2">
    <cfRule type="cellIs" dxfId="6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FB75C-42E2-1A4E-9F90-83288A587508}">
  <sheetPr>
    <tabColor rgb="FF0070C0"/>
  </sheetPr>
  <dimension ref="A1:AA753"/>
  <sheetViews>
    <sheetView showGridLines="0" topLeftCell="A34" zoomScale="132" zoomScaleNormal="130" workbookViewId="0">
      <selection activeCell="E86" sqref="E86"/>
    </sheetView>
  </sheetViews>
  <sheetFormatPr defaultColWidth="8.85546875" defaultRowHeight="12.75" outlineLevelRow="1" outlineLevelCol="1" x14ac:dyDescent="0.2"/>
  <cols>
    <col min="1" max="3" width="9.140625" style="8" customWidth="1" outlineLevel="1"/>
    <col min="4" max="4" width="2.28515625" customWidth="1"/>
    <col min="5" max="5" width="30.7109375" bestFit="1" customWidth="1"/>
    <col min="6" max="19" width="9" bestFit="1" customWidth="1"/>
    <col min="20" max="20" width="9.140625" bestFit="1" customWidth="1"/>
    <col min="21" max="21" width="9" bestFit="1" customWidth="1"/>
    <col min="23" max="25" width="9" bestFit="1" customWidth="1"/>
    <col min="27" max="27" width="52.85546875" style="35" bestFit="1" customWidth="1"/>
  </cols>
  <sheetData>
    <row r="1" spans="1:27" s="8" customFormat="1" outlineLevel="1" x14ac:dyDescent="0.2">
      <c r="B1" s="8">
        <v>0.1</v>
      </c>
    </row>
    <row r="2" spans="1:27" s="8" customFormat="1" outlineLevel="1" x14ac:dyDescent="0.2">
      <c r="B2" s="17" t="e">
        <f>AND(C:C)</f>
        <v>#VALUE!</v>
      </c>
    </row>
    <row r="3" spans="1:27" x14ac:dyDescent="0.2">
      <c r="A3" s="8" t="s">
        <v>138</v>
      </c>
      <c r="B3" s="55">
        <f>Input!$K$18</f>
        <v>0.01</v>
      </c>
      <c r="D3" s="5" t="str">
        <f ca="1">MID(CELL("filename",D3),FIND("]",CELL("filename",D3))+1,256)</f>
        <v>Model</v>
      </c>
    </row>
    <row r="4" spans="1:27" x14ac:dyDescent="0.2">
      <c r="D4" s="6" t="str">
        <f>Cover!$A$2</f>
        <v>Indicative valuation of BHP Group Limited: Public information</v>
      </c>
    </row>
    <row r="5" spans="1:27" x14ac:dyDescent="0.2">
      <c r="D5" s="6" t="str">
        <f>Cover!$A$3</f>
        <v>Educational purposes only, no financial advice</v>
      </c>
    </row>
    <row r="8" spans="1:27" x14ac:dyDescent="0.2">
      <c r="E8" s="5" t="str">
        <f>Input!$E$8&amp;" P&amp;L"</f>
        <v>BHP P&amp;L</v>
      </c>
      <c r="O8" s="9"/>
      <c r="P8" s="9"/>
      <c r="Q8" s="9"/>
      <c r="R8" s="9"/>
      <c r="S8" s="9"/>
      <c r="T8" s="9"/>
      <c r="U8" s="9"/>
      <c r="W8" s="40" t="s">
        <v>111</v>
      </c>
      <c r="X8" s="39"/>
      <c r="Y8" s="39"/>
      <c r="AA8" s="36" t="s">
        <v>92</v>
      </c>
    </row>
    <row r="9" spans="1:27" x14ac:dyDescent="0.2">
      <c r="E9" s="10" t="str">
        <f>+Input!$E$14</f>
        <v>USDmn</v>
      </c>
      <c r="F9" s="37" t="s">
        <v>109</v>
      </c>
      <c r="G9" s="37" t="s">
        <v>104</v>
      </c>
      <c r="H9" s="37" t="s">
        <v>103</v>
      </c>
      <c r="I9" s="37" t="s">
        <v>102</v>
      </c>
      <c r="J9" s="37" t="s">
        <v>101</v>
      </c>
      <c r="K9" s="37" t="s">
        <v>100</v>
      </c>
      <c r="L9" s="37" t="s">
        <v>99</v>
      </c>
      <c r="M9" s="37" t="s">
        <v>98</v>
      </c>
      <c r="N9" s="37" t="s">
        <v>97</v>
      </c>
      <c r="O9" s="37" t="s">
        <v>96</v>
      </c>
      <c r="P9" s="46" t="s">
        <v>121</v>
      </c>
      <c r="Q9" s="46" t="s">
        <v>122</v>
      </c>
      <c r="R9" s="46" t="s">
        <v>123</v>
      </c>
      <c r="S9" s="46" t="s">
        <v>124</v>
      </c>
      <c r="T9" s="46" t="s">
        <v>125</v>
      </c>
      <c r="U9" s="47" t="s">
        <v>126</v>
      </c>
      <c r="W9" s="39" t="s">
        <v>112</v>
      </c>
      <c r="X9" s="39" t="s">
        <v>113</v>
      </c>
      <c r="Y9" s="39" t="s">
        <v>145</v>
      </c>
    </row>
    <row r="10" spans="1:27" ht="3" customHeight="1" x14ac:dyDescent="0.2"/>
    <row r="11" spans="1:27" x14ac:dyDescent="0.2">
      <c r="E11" s="13" t="s">
        <v>27</v>
      </c>
      <c r="F11" s="18">
        <v>44636</v>
      </c>
      <c r="G11" s="18">
        <v>28567</v>
      </c>
      <c r="H11" s="18">
        <v>36135</v>
      </c>
      <c r="I11" s="18">
        <v>43638</v>
      </c>
      <c r="J11" s="18">
        <v>44288</v>
      </c>
      <c r="K11" s="18">
        <v>42931</v>
      </c>
      <c r="L11" s="18">
        <v>60817</v>
      </c>
      <c r="M11" s="18">
        <v>65098</v>
      </c>
      <c r="N11" s="18">
        <v>53817</v>
      </c>
      <c r="O11" s="18">
        <v>55658</v>
      </c>
      <c r="P11" s="18">
        <f>P39</f>
        <v>56887.479999999996</v>
      </c>
      <c r="Q11" s="18">
        <f t="shared" ref="Q11:U11" si="0">Q39</f>
        <v>58009.031600000002</v>
      </c>
      <c r="R11" s="18">
        <f t="shared" si="0"/>
        <v>59152.852252000004</v>
      </c>
      <c r="S11" s="18">
        <f t="shared" si="0"/>
        <v>60319.385717239995</v>
      </c>
      <c r="T11" s="18">
        <f t="shared" si="0"/>
        <v>61509.084615986802</v>
      </c>
      <c r="U11" s="18">
        <f t="shared" si="0"/>
        <v>62124.175462146668</v>
      </c>
      <c r="W11" s="29">
        <f>IFERROR((O11/F11)^(1/9)-1,"n/a")</f>
        <v>2.4823669769025392E-2</v>
      </c>
      <c r="X11" s="29">
        <f>IFERROR((O11/L11)^(1/3)-1,"n/a")</f>
        <v>-2.9115574512328934E-2</v>
      </c>
      <c r="Y11" s="29">
        <f>IFERROR((T11/O11)^(1/5)-1,"n/a")</f>
        <v>2.0192986291499571E-2</v>
      </c>
    </row>
    <row r="12" spans="1:27" x14ac:dyDescent="0.2">
      <c r="E12" s="13" t="s">
        <v>28</v>
      </c>
      <c r="F12" s="18">
        <v>496</v>
      </c>
      <c r="G12" s="18">
        <v>432</v>
      </c>
      <c r="H12" s="18">
        <v>662</v>
      </c>
      <c r="I12" s="18">
        <v>247</v>
      </c>
      <c r="J12" s="18">
        <v>393</v>
      </c>
      <c r="K12" s="18">
        <v>777</v>
      </c>
      <c r="L12" s="18">
        <v>510</v>
      </c>
      <c r="M12" s="18">
        <v>1398</v>
      </c>
      <c r="N12" s="18">
        <v>394</v>
      </c>
      <c r="O12" s="18">
        <v>1285</v>
      </c>
      <c r="P12" s="51"/>
      <c r="Q12" s="51"/>
      <c r="R12" s="51"/>
      <c r="S12" s="51"/>
      <c r="T12" s="51"/>
      <c r="U12" s="51"/>
      <c r="W12" s="29">
        <f t="shared" ref="W12:W22" si="1">IFERROR((O12/F12)^(1/9)-1,"n/a")</f>
        <v>0.11156718365981</v>
      </c>
      <c r="X12" s="29">
        <f t="shared" ref="X12:X22" si="2">IFERROR((O12/L12)^(1/3)-1,"n/a")</f>
        <v>0.36074783033775892</v>
      </c>
      <c r="Y12" s="29">
        <f t="shared" ref="Y12:Y22" si="3">IFERROR((T12/O12)^(1/5)-1,"n/a")</f>
        <v>-1</v>
      </c>
    </row>
    <row r="13" spans="1:27" x14ac:dyDescent="0.2">
      <c r="E13" s="13" t="s">
        <v>29</v>
      </c>
      <c r="F13" s="18">
        <v>-37010</v>
      </c>
      <c r="G13" s="18">
        <v>-24091</v>
      </c>
      <c r="H13" s="18">
        <v>-24515</v>
      </c>
      <c r="I13" s="18">
        <v>-28036</v>
      </c>
      <c r="J13" s="18">
        <v>-28022</v>
      </c>
      <c r="K13" s="18">
        <v>-28775</v>
      </c>
      <c r="L13" s="18">
        <v>-34500</v>
      </c>
      <c r="M13" s="18">
        <v>-32371</v>
      </c>
      <c r="N13" s="18">
        <v>-31873</v>
      </c>
      <c r="O13" s="18">
        <v>-36750</v>
      </c>
      <c r="P13" s="51"/>
      <c r="Q13" s="51"/>
      <c r="R13" s="51"/>
      <c r="S13" s="51"/>
      <c r="T13" s="51"/>
      <c r="U13" s="51"/>
      <c r="W13" s="29">
        <f t="shared" si="1"/>
        <v>-7.8301780801481868E-4</v>
      </c>
      <c r="X13" s="29">
        <f t="shared" si="2"/>
        <v>2.1282952880393058E-2</v>
      </c>
      <c r="Y13" s="29">
        <f t="shared" si="3"/>
        <v>-1</v>
      </c>
    </row>
    <row r="14" spans="1:27" x14ac:dyDescent="0.2">
      <c r="E14" s="13" t="s">
        <v>30</v>
      </c>
      <c r="F14" s="20">
        <v>548</v>
      </c>
      <c r="G14" s="20">
        <v>-2104</v>
      </c>
      <c r="H14" s="20">
        <v>272</v>
      </c>
      <c r="I14" s="20">
        <v>147</v>
      </c>
      <c r="J14" s="20">
        <v>-546</v>
      </c>
      <c r="K14" s="20">
        <v>-512</v>
      </c>
      <c r="L14" s="20">
        <v>-921</v>
      </c>
      <c r="M14" s="20">
        <v>-19</v>
      </c>
      <c r="N14" s="20">
        <v>594</v>
      </c>
      <c r="O14" s="20">
        <v>-2656</v>
      </c>
      <c r="P14" s="57"/>
      <c r="Q14" s="57"/>
      <c r="R14" s="57"/>
      <c r="S14" s="57"/>
      <c r="T14" s="57"/>
      <c r="U14" s="57"/>
      <c r="W14" s="29">
        <f>IFERROR((O14/F14)^(1/9)-1,"n/a")</f>
        <v>-2.1916832490021325</v>
      </c>
      <c r="X14" s="29">
        <f t="shared" si="2"/>
        <v>0.42338640502534819</v>
      </c>
      <c r="Y14" s="29">
        <f t="shared" si="3"/>
        <v>-1</v>
      </c>
    </row>
    <row r="15" spans="1:27" x14ac:dyDescent="0.2">
      <c r="E15" s="5" t="s">
        <v>34</v>
      </c>
      <c r="F15" s="19">
        <f t="shared" ref="F15:O15" si="4">SUM(F11:F14)</f>
        <v>8670</v>
      </c>
      <c r="G15" s="19">
        <f t="shared" si="4"/>
        <v>2804</v>
      </c>
      <c r="H15" s="19">
        <f t="shared" si="4"/>
        <v>12554</v>
      </c>
      <c r="I15" s="19">
        <f t="shared" si="4"/>
        <v>15996</v>
      </c>
      <c r="J15" s="19">
        <f t="shared" si="4"/>
        <v>16113</v>
      </c>
      <c r="K15" s="19">
        <f t="shared" si="4"/>
        <v>14421</v>
      </c>
      <c r="L15" s="19">
        <f t="shared" si="4"/>
        <v>25906</v>
      </c>
      <c r="M15" s="19">
        <f t="shared" si="4"/>
        <v>34106</v>
      </c>
      <c r="N15" s="19">
        <f t="shared" si="4"/>
        <v>22932</v>
      </c>
      <c r="O15" s="19">
        <f t="shared" si="4"/>
        <v>17537</v>
      </c>
      <c r="P15" s="19">
        <f>P11*P25</f>
        <v>20230.398367920199</v>
      </c>
      <c r="Q15" s="19">
        <f t="shared" ref="Q15:U15" si="5">Q11*Q25</f>
        <v>20629.245981809552</v>
      </c>
      <c r="R15" s="19">
        <f t="shared" si="5"/>
        <v>21036.012944442002</v>
      </c>
      <c r="S15" s="19">
        <f t="shared" si="5"/>
        <v>21450.85706675706</v>
      </c>
      <c r="T15" s="19">
        <f t="shared" si="5"/>
        <v>21873.939310152688</v>
      </c>
      <c r="U15" s="19">
        <f t="shared" si="5"/>
        <v>22092.678703254212</v>
      </c>
      <c r="W15" s="41">
        <f t="shared" si="1"/>
        <v>8.1416300690199561E-2</v>
      </c>
      <c r="X15" s="41">
        <f t="shared" si="2"/>
        <v>-0.12195188761232589</v>
      </c>
      <c r="Y15" s="41">
        <f t="shared" si="3"/>
        <v>4.5187820225881303E-2</v>
      </c>
    </row>
    <row r="16" spans="1:27" x14ac:dyDescent="0.2">
      <c r="E16" s="16" t="s">
        <v>31</v>
      </c>
      <c r="F16" s="18">
        <v>-702</v>
      </c>
      <c r="G16" s="18">
        <v>-1150</v>
      </c>
      <c r="H16" s="18">
        <v>-1560</v>
      </c>
      <c r="I16" s="18">
        <v>-1567</v>
      </c>
      <c r="J16" s="18">
        <v>-1510</v>
      </c>
      <c r="K16" s="18">
        <v>-1262</v>
      </c>
      <c r="L16" s="18">
        <v>-1378</v>
      </c>
      <c r="M16" s="18">
        <v>-1050</v>
      </c>
      <c r="N16" s="18">
        <v>-2060</v>
      </c>
      <c r="O16" s="18">
        <v>-2198</v>
      </c>
      <c r="P16" s="51"/>
      <c r="Q16" s="51"/>
      <c r="R16" s="51"/>
      <c r="S16" s="51"/>
      <c r="T16" s="51"/>
      <c r="U16" s="51"/>
      <c r="W16" s="29">
        <f t="shared" si="1"/>
        <v>0.13521136582617932</v>
      </c>
      <c r="X16" s="29">
        <f t="shared" si="2"/>
        <v>0.16840343073730279</v>
      </c>
      <c r="Y16" s="29">
        <f t="shared" si="3"/>
        <v>-1</v>
      </c>
    </row>
    <row r="17" spans="5:25" x14ac:dyDescent="0.2">
      <c r="E17" s="16" t="s">
        <v>32</v>
      </c>
      <c r="F17" s="20">
        <v>88</v>
      </c>
      <c r="G17" s="20">
        <v>137</v>
      </c>
      <c r="H17" s="20">
        <v>143</v>
      </c>
      <c r="I17" s="20">
        <v>322</v>
      </c>
      <c r="J17" s="20">
        <v>446</v>
      </c>
      <c r="K17" s="20">
        <v>351</v>
      </c>
      <c r="L17" s="20">
        <v>73</v>
      </c>
      <c r="M17" s="20">
        <v>81</v>
      </c>
      <c r="N17" s="20">
        <v>529</v>
      </c>
      <c r="O17" s="20">
        <v>709</v>
      </c>
      <c r="P17" s="51"/>
      <c r="Q17" s="51"/>
      <c r="R17" s="51"/>
      <c r="S17" s="51"/>
      <c r="T17" s="51"/>
      <c r="U17" s="51"/>
      <c r="W17" s="29">
        <f t="shared" si="1"/>
        <v>0.26091218130279215</v>
      </c>
      <c r="X17" s="29">
        <f t="shared" si="2"/>
        <v>1.1335743996040399</v>
      </c>
      <c r="Y17" s="29">
        <f t="shared" si="3"/>
        <v>-1</v>
      </c>
    </row>
    <row r="18" spans="5:25" x14ac:dyDescent="0.2">
      <c r="E18" s="14" t="s">
        <v>33</v>
      </c>
      <c r="F18" s="22">
        <f t="shared" ref="F18:N18" si="6">SUM(F16:F17)</f>
        <v>-614</v>
      </c>
      <c r="G18" s="22">
        <f t="shared" si="6"/>
        <v>-1013</v>
      </c>
      <c r="H18" s="22">
        <f t="shared" si="6"/>
        <v>-1417</v>
      </c>
      <c r="I18" s="22">
        <f t="shared" si="6"/>
        <v>-1245</v>
      </c>
      <c r="J18" s="22">
        <f t="shared" si="6"/>
        <v>-1064</v>
      </c>
      <c r="K18" s="22">
        <f t="shared" si="6"/>
        <v>-911</v>
      </c>
      <c r="L18" s="22">
        <f t="shared" si="6"/>
        <v>-1305</v>
      </c>
      <c r="M18" s="22">
        <f t="shared" si="6"/>
        <v>-969</v>
      </c>
      <c r="N18" s="22">
        <f t="shared" si="6"/>
        <v>-1531</v>
      </c>
      <c r="O18" s="22">
        <f>SUM(O16:O17)</f>
        <v>-1489</v>
      </c>
      <c r="P18" s="22">
        <f>O18</f>
        <v>-1489</v>
      </c>
      <c r="Q18" s="80">
        <f t="shared" ref="Q18:U18" si="7">P18</f>
        <v>-1489</v>
      </c>
      <c r="R18" s="22">
        <f t="shared" si="7"/>
        <v>-1489</v>
      </c>
      <c r="S18" s="22">
        <f t="shared" si="7"/>
        <v>-1489</v>
      </c>
      <c r="T18" s="22">
        <f t="shared" si="7"/>
        <v>-1489</v>
      </c>
      <c r="U18" s="22">
        <f t="shared" si="7"/>
        <v>-1489</v>
      </c>
      <c r="W18" s="41">
        <f t="shared" si="1"/>
        <v>0.10343656088580055</v>
      </c>
      <c r="X18" s="41">
        <f t="shared" si="2"/>
        <v>4.4948119363673822E-2</v>
      </c>
      <c r="Y18" s="41">
        <f t="shared" si="3"/>
        <v>0</v>
      </c>
    </row>
    <row r="19" spans="5:25" x14ac:dyDescent="0.2">
      <c r="E19" s="15" t="s">
        <v>35</v>
      </c>
      <c r="F19" s="19">
        <f t="shared" ref="F19:N19" si="8">+F15+F18</f>
        <v>8056</v>
      </c>
      <c r="G19" s="19">
        <f t="shared" si="8"/>
        <v>1791</v>
      </c>
      <c r="H19" s="19">
        <f t="shared" si="8"/>
        <v>11137</v>
      </c>
      <c r="I19" s="19">
        <f t="shared" si="8"/>
        <v>14751</v>
      </c>
      <c r="J19" s="19">
        <f t="shared" si="8"/>
        <v>15049</v>
      </c>
      <c r="K19" s="19">
        <f t="shared" si="8"/>
        <v>13510</v>
      </c>
      <c r="L19" s="19">
        <f t="shared" si="8"/>
        <v>24601</v>
      </c>
      <c r="M19" s="19">
        <f t="shared" si="8"/>
        <v>33137</v>
      </c>
      <c r="N19" s="19">
        <f t="shared" si="8"/>
        <v>21401</v>
      </c>
      <c r="O19" s="19">
        <f>+O15+O18</f>
        <v>16048</v>
      </c>
      <c r="P19" s="19">
        <f t="shared" ref="P19:U19" si="9">+P15+P18</f>
        <v>18741.398367920199</v>
      </c>
      <c r="Q19" s="19">
        <f t="shared" si="9"/>
        <v>19140.245981809552</v>
      </c>
      <c r="R19" s="19">
        <f t="shared" si="9"/>
        <v>19547.012944442002</v>
      </c>
      <c r="S19" s="19">
        <f t="shared" si="9"/>
        <v>19961.85706675706</v>
      </c>
      <c r="T19" s="19">
        <f t="shared" si="9"/>
        <v>20384.939310152688</v>
      </c>
      <c r="U19" s="19">
        <f t="shared" si="9"/>
        <v>20603.678703254212</v>
      </c>
      <c r="W19" s="41">
        <f t="shared" si="1"/>
        <v>7.9582205501450343E-2</v>
      </c>
      <c r="X19" s="41">
        <f t="shared" si="2"/>
        <v>-0.13272654979285703</v>
      </c>
      <c r="Y19" s="41">
        <f t="shared" si="3"/>
        <v>4.9005345884367557E-2</v>
      </c>
    </row>
    <row r="20" spans="5:25" x14ac:dyDescent="0.2">
      <c r="E20" t="s">
        <v>36</v>
      </c>
      <c r="F20" s="18">
        <v>-3666</v>
      </c>
      <c r="G20" s="18">
        <v>-2103</v>
      </c>
      <c r="H20" s="18">
        <v>-4443</v>
      </c>
      <c r="I20" s="18">
        <v>-7007</v>
      </c>
      <c r="J20" s="18">
        <v>-5529</v>
      </c>
      <c r="K20" s="18">
        <v>-4774</v>
      </c>
      <c r="L20" s="18">
        <v>-11150</v>
      </c>
      <c r="M20" s="18">
        <v>-10737</v>
      </c>
      <c r="N20" s="18">
        <v>-7077</v>
      </c>
      <c r="O20" s="18">
        <v>-6447</v>
      </c>
      <c r="P20" s="18">
        <f>P19*P26*-1</f>
        <v>-7502.8636893125722</v>
      </c>
      <c r="Q20" s="18">
        <f t="shared" ref="Q20:U20" si="10">Q19*Q26*-1</f>
        <v>-7662.5369015816023</v>
      </c>
      <c r="R20" s="18">
        <f t="shared" si="10"/>
        <v>-7825.3805173051205</v>
      </c>
      <c r="S20" s="18">
        <f t="shared" si="10"/>
        <v>-7991.4577139443063</v>
      </c>
      <c r="T20" s="18">
        <f t="shared" si="10"/>
        <v>-8160.8329302034881</v>
      </c>
      <c r="U20" s="18">
        <f t="shared" si="10"/>
        <v>-8248.402268291562</v>
      </c>
      <c r="W20" s="29">
        <f t="shared" si="1"/>
        <v>6.4732667019081092E-2</v>
      </c>
      <c r="X20" s="29">
        <f t="shared" si="2"/>
        <v>-0.16690549943429955</v>
      </c>
      <c r="Y20" s="29">
        <f t="shared" si="3"/>
        <v>4.8275325370643607E-2</v>
      </c>
    </row>
    <row r="21" spans="5:25" x14ac:dyDescent="0.2">
      <c r="E21" t="s">
        <v>105</v>
      </c>
      <c r="F21" s="18">
        <v>-1512</v>
      </c>
      <c r="G21" s="18">
        <v>-5895</v>
      </c>
      <c r="H21" s="18">
        <v>-472</v>
      </c>
      <c r="I21" s="18">
        <v>-2921</v>
      </c>
      <c r="J21" s="18">
        <v>-335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W21" s="29">
        <f t="shared" si="1"/>
        <v>-1</v>
      </c>
      <c r="X21" s="29" t="str">
        <f t="shared" si="2"/>
        <v>n/a</v>
      </c>
      <c r="Y21" s="29" t="str">
        <f t="shared" si="3"/>
        <v>n/a</v>
      </c>
    </row>
    <row r="22" spans="5:25" ht="13.5" thickBot="1" x14ac:dyDescent="0.25">
      <c r="E22" s="5" t="s">
        <v>37</v>
      </c>
      <c r="F22" s="23">
        <f t="shared" ref="F22:U22" si="11">SUM(F19:F21)</f>
        <v>2878</v>
      </c>
      <c r="G22" s="23">
        <f t="shared" si="11"/>
        <v>-6207</v>
      </c>
      <c r="H22" s="23">
        <f t="shared" si="11"/>
        <v>6222</v>
      </c>
      <c r="I22" s="23">
        <f t="shared" si="11"/>
        <v>4823</v>
      </c>
      <c r="J22" s="23">
        <f t="shared" si="11"/>
        <v>9185</v>
      </c>
      <c r="K22" s="23">
        <f t="shared" si="11"/>
        <v>8736</v>
      </c>
      <c r="L22" s="23">
        <f t="shared" si="11"/>
        <v>13451</v>
      </c>
      <c r="M22" s="23">
        <f t="shared" si="11"/>
        <v>22400</v>
      </c>
      <c r="N22" s="23">
        <f t="shared" si="11"/>
        <v>14324</v>
      </c>
      <c r="O22" s="23">
        <f t="shared" si="11"/>
        <v>9601</v>
      </c>
      <c r="P22" s="23">
        <f t="shared" si="11"/>
        <v>11238.534678607626</v>
      </c>
      <c r="Q22" s="23">
        <f t="shared" si="11"/>
        <v>11477.709080227949</v>
      </c>
      <c r="R22" s="23">
        <f t="shared" si="11"/>
        <v>11721.632427136881</v>
      </c>
      <c r="S22" s="23">
        <f t="shared" si="11"/>
        <v>11970.399352812754</v>
      </c>
      <c r="T22" s="23">
        <f t="shared" si="11"/>
        <v>12224.1063799492</v>
      </c>
      <c r="U22" s="23">
        <f t="shared" si="11"/>
        <v>12355.27643496265</v>
      </c>
      <c r="W22" s="41">
        <f t="shared" si="1"/>
        <v>0.14323677638903964</v>
      </c>
      <c r="X22" s="41">
        <f t="shared" si="2"/>
        <v>-0.10630917563829623</v>
      </c>
      <c r="Y22" s="41">
        <f t="shared" si="3"/>
        <v>4.9494411181012499E-2</v>
      </c>
    </row>
    <row r="23" spans="5:25" ht="3" customHeight="1" x14ac:dyDescent="0.2"/>
    <row r="24" spans="5:25" x14ac:dyDescent="0.2">
      <c r="E24" s="48" t="s">
        <v>72</v>
      </c>
      <c r="F24" s="26" t="str">
        <f t="shared" ref="F24:N24" si="12">IFERROR(+F11/E11-1,"n/a")</f>
        <v>n/a</v>
      </c>
      <c r="G24" s="26">
        <f t="shared" si="12"/>
        <v>-0.36000089613764674</v>
      </c>
      <c r="H24" s="26">
        <f t="shared" si="12"/>
        <v>0.26492106276472849</v>
      </c>
      <c r="I24" s="26">
        <f t="shared" si="12"/>
        <v>0.20763802407638021</v>
      </c>
      <c r="J24" s="26">
        <f t="shared" si="12"/>
        <v>1.4895274760529764E-2</v>
      </c>
      <c r="K24" s="26">
        <f t="shared" si="12"/>
        <v>-3.0640354046242768E-2</v>
      </c>
      <c r="L24" s="26">
        <f t="shared" si="12"/>
        <v>0.41662202138314974</v>
      </c>
      <c r="M24" s="26">
        <f t="shared" si="12"/>
        <v>7.0391502375980464E-2</v>
      </c>
      <c r="N24" s="26">
        <f t="shared" si="12"/>
        <v>-0.17329257427263511</v>
      </c>
      <c r="O24" s="26">
        <f t="shared" ref="O24:U24" si="13">IFERROR(+O11/N11-1,"n/a")</f>
        <v>3.4208521470910691E-2</v>
      </c>
      <c r="P24" s="26">
        <f t="shared" si="13"/>
        <v>2.2089906212943156E-2</v>
      </c>
      <c r="Q24" s="26">
        <f t="shared" si="13"/>
        <v>1.9715262479547357E-2</v>
      </c>
      <c r="R24" s="26">
        <f t="shared" si="13"/>
        <v>1.9717975295419299E-2</v>
      </c>
      <c r="S24" s="26">
        <f t="shared" si="13"/>
        <v>1.9720663008275352E-2</v>
      </c>
      <c r="T24" s="26">
        <f t="shared" si="13"/>
        <v>1.9723325836303651E-2</v>
      </c>
      <c r="U24" s="27">
        <f t="shared" si="13"/>
        <v>1.0000000000000009E-2</v>
      </c>
    </row>
    <row r="25" spans="5:25" x14ac:dyDescent="0.2">
      <c r="E25" s="49" t="s">
        <v>73</v>
      </c>
      <c r="F25" s="29">
        <f t="shared" ref="F25:N25" si="14">IFERROR(+F15/F11,"n/a")</f>
        <v>0.19423783493144547</v>
      </c>
      <c r="G25" s="29">
        <f t="shared" si="14"/>
        <v>9.8155214058179022E-2</v>
      </c>
      <c r="H25" s="29">
        <f t="shared" si="14"/>
        <v>0.34741939947419398</v>
      </c>
      <c r="I25" s="29">
        <f t="shared" si="14"/>
        <v>0.36656125395297678</v>
      </c>
      <c r="J25" s="29">
        <f t="shared" si="14"/>
        <v>0.36382315751445088</v>
      </c>
      <c r="K25" s="29">
        <f t="shared" si="14"/>
        <v>0.33591111318161704</v>
      </c>
      <c r="L25" s="29">
        <f t="shared" si="14"/>
        <v>0.42596642386174915</v>
      </c>
      <c r="M25" s="29">
        <f t="shared" si="14"/>
        <v>0.5239177854926419</v>
      </c>
      <c r="N25" s="29">
        <f t="shared" si="14"/>
        <v>0.42611070851218019</v>
      </c>
      <c r="O25" s="29">
        <f t="shared" ref="O25" si="15">IFERROR(+O15/O11,"n/a")</f>
        <v>0.31508498329081175</v>
      </c>
      <c r="P25" s="53">
        <f>Input!F30</f>
        <v>0.35562127849432246</v>
      </c>
      <c r="Q25" s="53">
        <f>Input!G30</f>
        <v>0.35562127849432246</v>
      </c>
      <c r="R25" s="53">
        <f>Input!H30</f>
        <v>0.35562127849432246</v>
      </c>
      <c r="S25" s="53">
        <f>Input!I30</f>
        <v>0.35562127849432246</v>
      </c>
      <c r="T25" s="53">
        <f>Input!J30</f>
        <v>0.35562127849432246</v>
      </c>
      <c r="U25" s="30">
        <f>T25</f>
        <v>0.35562127849432246</v>
      </c>
      <c r="W25" s="42"/>
    </row>
    <row r="26" spans="5:25" x14ac:dyDescent="0.2">
      <c r="E26" s="49" t="s">
        <v>139</v>
      </c>
      <c r="F26" s="29">
        <f>-F20/F19</f>
        <v>0.45506454816285996</v>
      </c>
      <c r="G26" s="29">
        <f t="shared" ref="G26:O26" si="16">-G20/G19</f>
        <v>1.1742043551088777</v>
      </c>
      <c r="H26" s="29">
        <f t="shared" si="16"/>
        <v>0.39894046870791056</v>
      </c>
      <c r="I26" s="29">
        <f t="shared" si="16"/>
        <v>0.47501864280387768</v>
      </c>
      <c r="J26" s="29">
        <f t="shared" si="16"/>
        <v>0.36739982723104525</v>
      </c>
      <c r="K26" s="29">
        <f t="shared" si="16"/>
        <v>0.35336787564766842</v>
      </c>
      <c r="L26" s="29">
        <f t="shared" si="16"/>
        <v>0.45323360838990284</v>
      </c>
      <c r="M26" s="29">
        <f t="shared" si="16"/>
        <v>0.32401846878112078</v>
      </c>
      <c r="N26" s="29">
        <f t="shared" si="16"/>
        <v>0.33068548198682307</v>
      </c>
      <c r="O26" s="29">
        <f t="shared" si="16"/>
        <v>0.40173230309072783</v>
      </c>
      <c r="P26" s="53">
        <f>Input!F32</f>
        <v>0.40033638589931919</v>
      </c>
      <c r="Q26" s="53">
        <f>Input!G32</f>
        <v>0.40033638589931919</v>
      </c>
      <c r="R26" s="53">
        <f>Input!H32</f>
        <v>0.40033638589931919</v>
      </c>
      <c r="S26" s="53">
        <f>Input!I32</f>
        <v>0.40033638589931919</v>
      </c>
      <c r="T26" s="53">
        <f>Input!J32</f>
        <v>0.40033638589931919</v>
      </c>
      <c r="U26" s="30">
        <f>T26</f>
        <v>0.40033638589931919</v>
      </c>
      <c r="W26" s="42"/>
    </row>
    <row r="27" spans="5:25" x14ac:dyDescent="0.2">
      <c r="E27" s="50" t="s">
        <v>74</v>
      </c>
      <c r="F27" s="32" t="str">
        <f t="shared" ref="F27:O27" si="17">IFERROR(+F22/E22-1,"n/a")</f>
        <v>n/a</v>
      </c>
      <c r="G27" s="32">
        <f t="shared" si="17"/>
        <v>-3.1567060458651843</v>
      </c>
      <c r="H27" s="32">
        <f t="shared" si="17"/>
        <v>-2.00241662638956</v>
      </c>
      <c r="I27" s="32">
        <f t="shared" si="17"/>
        <v>-0.22484731597557051</v>
      </c>
      <c r="J27" s="32">
        <f t="shared" si="17"/>
        <v>0.90441633837860258</v>
      </c>
      <c r="K27" s="32">
        <f t="shared" si="17"/>
        <v>-4.8884050081654862E-2</v>
      </c>
      <c r="L27" s="32">
        <f t="shared" si="17"/>
        <v>0.53972069597069594</v>
      </c>
      <c r="M27" s="32">
        <f t="shared" si="17"/>
        <v>0.66530369489257302</v>
      </c>
      <c r="N27" s="32">
        <f t="shared" si="17"/>
        <v>-0.36053571428571429</v>
      </c>
      <c r="O27" s="32">
        <f t="shared" si="17"/>
        <v>-0.32972633342641722</v>
      </c>
      <c r="P27" s="32">
        <f t="shared" ref="P27" si="18">IFERROR(+P22/O22-1,"n/a")</f>
        <v>0.17055876248386892</v>
      </c>
      <c r="Q27" s="32">
        <f t="shared" ref="Q27" si="19">IFERROR(+Q22/P22-1,"n/a")</f>
        <v>2.1281635770149521E-2</v>
      </c>
      <c r="R27" s="32">
        <f t="shared" ref="R27" si="20">IFERROR(+R22/Q22-1,"n/a")</f>
        <v>2.1251919281446652E-2</v>
      </c>
      <c r="S27" s="32">
        <f t="shared" ref="S27" si="21">IFERROR(+S22/R22-1,"n/a")</f>
        <v>2.1222890857757193E-2</v>
      </c>
      <c r="T27" s="32">
        <f t="shared" ref="T27" si="22">IFERROR(+T22/S22-1,"n/a")</f>
        <v>2.1194533253130921E-2</v>
      </c>
      <c r="U27" s="33">
        <f t="shared" ref="U27" si="23">IFERROR(+U22/T22-1,"n/a")</f>
        <v>1.0730441222975839E-2</v>
      </c>
    </row>
    <row r="28" spans="5:25" ht="3" customHeight="1" x14ac:dyDescent="0.2"/>
    <row r="29" spans="5:25" ht="10.5" customHeight="1" x14ac:dyDescent="0.2">
      <c r="E29" s="34" t="s">
        <v>75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</row>
    <row r="31" spans="5:25" x14ac:dyDescent="0.2">
      <c r="E31" s="5" t="str">
        <f>Input!$E$8&amp;" - Revenues"</f>
        <v>BHP - Revenues</v>
      </c>
      <c r="O31" s="9"/>
      <c r="P31" s="9"/>
      <c r="Q31" s="9"/>
      <c r="R31" s="9"/>
      <c r="S31" s="9"/>
      <c r="T31" s="9"/>
      <c r="U31" s="9"/>
      <c r="W31" s="40" t="s">
        <v>111</v>
      </c>
      <c r="X31" s="39"/>
      <c r="Y31" s="39"/>
    </row>
    <row r="32" spans="5:25" x14ac:dyDescent="0.2">
      <c r="E32" s="10" t="str">
        <f>+Input!$E$14</f>
        <v>USDmn</v>
      </c>
      <c r="F32" s="37" t="s">
        <v>109</v>
      </c>
      <c r="G32" s="37" t="s">
        <v>104</v>
      </c>
      <c r="H32" s="37" t="s">
        <v>103</v>
      </c>
      <c r="I32" s="37" t="s">
        <v>102</v>
      </c>
      <c r="J32" s="37" t="s">
        <v>101</v>
      </c>
      <c r="K32" s="37" t="s">
        <v>100</v>
      </c>
      <c r="L32" s="37" t="s">
        <v>99</v>
      </c>
      <c r="M32" s="37" t="s">
        <v>98</v>
      </c>
      <c r="N32" s="37" t="s">
        <v>97</v>
      </c>
      <c r="O32" s="37" t="s">
        <v>96</v>
      </c>
      <c r="P32" s="46" t="s">
        <v>121</v>
      </c>
      <c r="Q32" s="46" t="s">
        <v>122</v>
      </c>
      <c r="R32" s="46" t="s">
        <v>123</v>
      </c>
      <c r="S32" s="46" t="s">
        <v>124</v>
      </c>
      <c r="T32" s="46" t="s">
        <v>125</v>
      </c>
      <c r="U32" s="47" t="s">
        <v>126</v>
      </c>
      <c r="W32" s="39" t="s">
        <v>112</v>
      </c>
      <c r="X32" s="39" t="s">
        <v>113</v>
      </c>
      <c r="Y32" s="39" t="s">
        <v>145</v>
      </c>
    </row>
    <row r="33" spans="5:27" ht="3" customHeight="1" x14ac:dyDescent="0.2"/>
    <row r="34" spans="5:27" x14ac:dyDescent="0.2">
      <c r="E34" s="13" t="s">
        <v>106</v>
      </c>
      <c r="F34" s="18">
        <v>11447</v>
      </c>
      <c r="G34" s="18">
        <v>4549</v>
      </c>
      <c r="H34" s="18">
        <v>4722</v>
      </c>
      <c r="I34" s="18">
        <v>5408</v>
      </c>
      <c r="J34" s="18">
        <v>5930</v>
      </c>
      <c r="K34" s="18">
        <v>4070</v>
      </c>
      <c r="L34" s="18">
        <v>3946</v>
      </c>
      <c r="M34" s="38" t="s">
        <v>107</v>
      </c>
      <c r="N34" s="38" t="s">
        <v>107</v>
      </c>
      <c r="O34" s="38" t="s">
        <v>107</v>
      </c>
      <c r="P34" s="51"/>
      <c r="Q34" s="51"/>
      <c r="R34" s="51"/>
      <c r="S34" s="51"/>
      <c r="T34" s="51"/>
      <c r="U34" s="51"/>
      <c r="W34" s="29" t="str">
        <f>IFERROR((O34/F34)^(1/9)-1,"n/a")</f>
        <v>n/a</v>
      </c>
      <c r="X34" s="29" t="str">
        <f>IFERROR((O34/L34)^(1/3)-1,"n/a")</f>
        <v>n/a</v>
      </c>
      <c r="Y34" s="29" t="str">
        <f t="shared" ref="Y34:Y39" si="24">IFERROR((T34/O34)^(1/5)-1,"n/a")</f>
        <v>n/a</v>
      </c>
      <c r="AA34" s="35" t="s">
        <v>108</v>
      </c>
    </row>
    <row r="35" spans="5:27" x14ac:dyDescent="0.2">
      <c r="E35" s="13" t="s">
        <v>88</v>
      </c>
      <c r="F35" s="18">
        <v>11453</v>
      </c>
      <c r="G35" s="18">
        <v>8249</v>
      </c>
      <c r="H35" s="18">
        <v>8335</v>
      </c>
      <c r="I35" s="18">
        <v>13287</v>
      </c>
      <c r="J35" s="18">
        <v>10838</v>
      </c>
      <c r="K35" s="18">
        <v>10666</v>
      </c>
      <c r="L35" s="18">
        <v>15726</v>
      </c>
      <c r="M35" s="18">
        <v>16849</v>
      </c>
      <c r="N35" s="18">
        <v>16027</v>
      </c>
      <c r="O35" s="18">
        <v>18566</v>
      </c>
      <c r="P35" s="18">
        <f>P42*P47/10^3</f>
        <v>18937.319999999996</v>
      </c>
      <c r="Q35" s="18">
        <f t="shared" ref="Q35:U35" si="25">Q42*Q47/10^3</f>
        <v>19316.0664</v>
      </c>
      <c r="R35" s="18">
        <f t="shared" si="25"/>
        <v>19702.387728000002</v>
      </c>
      <c r="S35" s="18">
        <f t="shared" si="25"/>
        <v>20096.435482560002</v>
      </c>
      <c r="T35" s="18">
        <f t="shared" si="25"/>
        <v>20498.364192211204</v>
      </c>
      <c r="U35" s="18">
        <f t="shared" si="25"/>
        <v>20703.347834133314</v>
      </c>
      <c r="W35" s="29">
        <f t="shared" ref="W35:W39" si="26">IFERROR((O35/F35)^(1/9)-1,"n/a")</f>
        <v>5.5142240492537464E-2</v>
      </c>
      <c r="X35" s="29">
        <f t="shared" ref="X35:X39" si="27">IFERROR((O35/L35)^(1/3)-1,"n/a")</f>
        <v>5.6898686735249449E-2</v>
      </c>
      <c r="Y35" s="29">
        <f t="shared" si="24"/>
        <v>2.0000000000000018E-2</v>
      </c>
      <c r="AA35" s="35" t="s">
        <v>89</v>
      </c>
    </row>
    <row r="36" spans="5:27" x14ac:dyDescent="0.2">
      <c r="E36" s="13" t="s">
        <v>93</v>
      </c>
      <c r="F36" s="18">
        <v>14753</v>
      </c>
      <c r="G36" s="18">
        <v>10538</v>
      </c>
      <c r="H36" s="18">
        <v>14624</v>
      </c>
      <c r="I36" s="18">
        <v>14810</v>
      </c>
      <c r="J36" s="18">
        <v>17255</v>
      </c>
      <c r="K36" s="18">
        <v>20797</v>
      </c>
      <c r="L36" s="18">
        <v>34475</v>
      </c>
      <c r="M36" s="18">
        <v>30767</v>
      </c>
      <c r="N36" s="18">
        <v>24812</v>
      </c>
      <c r="O36" s="18">
        <v>27952</v>
      </c>
      <c r="P36" s="18">
        <f>P43*P48/10^3</f>
        <v>28511.039999999997</v>
      </c>
      <c r="Q36" s="18">
        <f t="shared" ref="Q36:U36" si="28">Q43*Q48/10^3</f>
        <v>29081.260799999996</v>
      </c>
      <c r="R36" s="18">
        <f t="shared" si="28"/>
        <v>29662.886016</v>
      </c>
      <c r="S36" s="18">
        <f t="shared" si="28"/>
        <v>30256.143736319995</v>
      </c>
      <c r="T36" s="18">
        <f t="shared" si="28"/>
        <v>30861.266611046398</v>
      </c>
      <c r="U36" s="18">
        <f t="shared" si="28"/>
        <v>31169.879277156859</v>
      </c>
      <c r="W36" s="29">
        <f t="shared" si="26"/>
        <v>7.3586271885691446E-2</v>
      </c>
      <c r="X36" s="29">
        <f t="shared" si="27"/>
        <v>-6.7527131592702072E-2</v>
      </c>
      <c r="Y36" s="29">
        <f t="shared" si="24"/>
        <v>2.0000000000000018E-2</v>
      </c>
      <c r="AA36" s="35" t="s">
        <v>90</v>
      </c>
    </row>
    <row r="37" spans="5:27" x14ac:dyDescent="0.2">
      <c r="E37" s="13" t="s">
        <v>94</v>
      </c>
      <c r="F37" s="18">
        <v>5885</v>
      </c>
      <c r="G37" s="18">
        <v>4518</v>
      </c>
      <c r="H37" s="18">
        <v>7578</v>
      </c>
      <c r="I37" s="18">
        <v>8889</v>
      </c>
      <c r="J37" s="18">
        <v>9121</v>
      </c>
      <c r="K37" s="18">
        <v>6242</v>
      </c>
      <c r="L37" s="18">
        <v>5154</v>
      </c>
      <c r="M37" s="18">
        <v>15549</v>
      </c>
      <c r="N37" s="18">
        <v>10958</v>
      </c>
      <c r="O37" s="18">
        <v>7666</v>
      </c>
      <c r="P37" s="18">
        <f>P44*P49/10^3</f>
        <v>7819.32</v>
      </c>
      <c r="Q37" s="18">
        <f t="shared" ref="Q37:U37" si="29">Q44*Q49/10^3</f>
        <v>7975.7064</v>
      </c>
      <c r="R37" s="18">
        <f t="shared" si="29"/>
        <v>8135.2205279999998</v>
      </c>
      <c r="S37" s="18">
        <f t="shared" si="29"/>
        <v>8297.9249385600015</v>
      </c>
      <c r="T37" s="18">
        <f t="shared" si="29"/>
        <v>8463.883437331202</v>
      </c>
      <c r="U37" s="18">
        <f t="shared" si="29"/>
        <v>8548.5222717045144</v>
      </c>
      <c r="W37" s="29">
        <f t="shared" si="26"/>
        <v>2.9812214481835575E-2</v>
      </c>
      <c r="X37" s="29">
        <f t="shared" si="27"/>
        <v>0.14149706778136784</v>
      </c>
      <c r="Y37" s="29">
        <f t="shared" si="24"/>
        <v>2.0000000000000018E-2</v>
      </c>
      <c r="AA37" s="35" t="s">
        <v>91</v>
      </c>
    </row>
    <row r="38" spans="5:27" x14ac:dyDescent="0.2">
      <c r="E38" s="13" t="s">
        <v>95</v>
      </c>
      <c r="F38" s="18">
        <v>1098</v>
      </c>
      <c r="G38" s="18">
        <v>713</v>
      </c>
      <c r="H38" s="18">
        <v>876</v>
      </c>
      <c r="I38" s="18">
        <v>1244</v>
      </c>
      <c r="J38" s="18">
        <v>1144</v>
      </c>
      <c r="K38" s="18">
        <v>1156</v>
      </c>
      <c r="L38" s="18">
        <v>1516</v>
      </c>
      <c r="M38" s="18">
        <v>1933</v>
      </c>
      <c r="N38" s="18">
        <v>2020</v>
      </c>
      <c r="O38" s="18">
        <v>1474</v>
      </c>
      <c r="P38" s="18">
        <f>AVERAGE(K38:O38)</f>
        <v>1619.8</v>
      </c>
      <c r="Q38" s="18">
        <f>P38*(1+$B$3)</f>
        <v>1635.998</v>
      </c>
      <c r="R38" s="18">
        <f>Q38*(1+$B$3)</f>
        <v>1652.35798</v>
      </c>
      <c r="S38" s="18">
        <f>R38*(1+$B$3)</f>
        <v>1668.8815598000001</v>
      </c>
      <c r="T38" s="18">
        <f>S38*(1+$B$3)</f>
        <v>1685.5703753980001</v>
      </c>
      <c r="U38" s="18">
        <f>T38*(1+$B$3)</f>
        <v>1702.42607915198</v>
      </c>
      <c r="W38" s="29">
        <f t="shared" si="26"/>
        <v>3.326227060457887E-2</v>
      </c>
      <c r="X38" s="29">
        <f t="shared" si="27"/>
        <v>-9.3214479088485902E-3</v>
      </c>
      <c r="Y38" s="29">
        <f t="shared" si="24"/>
        <v>2.7187867752968886E-2</v>
      </c>
    </row>
    <row r="39" spans="5:27" ht="13.5" thickBot="1" x14ac:dyDescent="0.25">
      <c r="E39" s="5" t="s">
        <v>87</v>
      </c>
      <c r="F39" s="23">
        <f t="shared" ref="F39:K39" si="30">SUM(F34:F38)</f>
        <v>44636</v>
      </c>
      <c r="G39" s="23">
        <f t="shared" si="30"/>
        <v>28567</v>
      </c>
      <c r="H39" s="23">
        <f t="shared" si="30"/>
        <v>36135</v>
      </c>
      <c r="I39" s="23">
        <f t="shared" si="30"/>
        <v>43638</v>
      </c>
      <c r="J39" s="23">
        <f t="shared" si="30"/>
        <v>44288</v>
      </c>
      <c r="K39" s="23">
        <f t="shared" si="30"/>
        <v>42931</v>
      </c>
      <c r="L39" s="23">
        <f>SUM(L34:L38)</f>
        <v>60817</v>
      </c>
      <c r="M39" s="23">
        <f t="shared" ref="M39:U39" si="31">SUM(M34:M38)</f>
        <v>65098</v>
      </c>
      <c r="N39" s="23">
        <f t="shared" si="31"/>
        <v>53817</v>
      </c>
      <c r="O39" s="23">
        <f t="shared" si="31"/>
        <v>55658</v>
      </c>
      <c r="P39" s="23">
        <f>SUM(P34:P38)</f>
        <v>56887.479999999996</v>
      </c>
      <c r="Q39" s="23">
        <f t="shared" si="31"/>
        <v>58009.031600000002</v>
      </c>
      <c r="R39" s="23">
        <f t="shared" si="31"/>
        <v>59152.852252000004</v>
      </c>
      <c r="S39" s="23">
        <f t="shared" si="31"/>
        <v>60319.385717239995</v>
      </c>
      <c r="T39" s="23">
        <f t="shared" si="31"/>
        <v>61509.084615986802</v>
      </c>
      <c r="U39" s="23">
        <f t="shared" si="31"/>
        <v>62124.175462146668</v>
      </c>
      <c r="W39" s="41">
        <f t="shared" si="26"/>
        <v>2.4823669769025392E-2</v>
      </c>
      <c r="X39" s="41">
        <f t="shared" si="27"/>
        <v>-2.9115574512328934E-2</v>
      </c>
      <c r="Y39" s="41">
        <f t="shared" si="24"/>
        <v>2.0192986291499571E-2</v>
      </c>
    </row>
    <row r="41" spans="5:27" x14ac:dyDescent="0.2">
      <c r="E41" s="5" t="s">
        <v>127</v>
      </c>
    </row>
    <row r="42" spans="5:27" x14ac:dyDescent="0.2">
      <c r="E42" t="s">
        <v>128</v>
      </c>
      <c r="F42" s="54">
        <f>[1]Prices!AC11</f>
        <v>5510.4571127155004</v>
      </c>
      <c r="G42" s="54">
        <f>[1]Prices!AD11</f>
        <v>4867.897429653679</v>
      </c>
      <c r="H42" s="54">
        <f>[1]Prices!AE11</f>
        <v>6169.9399418513613</v>
      </c>
      <c r="I42" s="54">
        <f>[1]Prices!AF11</f>
        <v>6529.7983709685941</v>
      </c>
      <c r="J42" s="54">
        <f>[1]Prices!AG11</f>
        <v>6010.145429645836</v>
      </c>
      <c r="K42" s="54">
        <f>[1]Prices!AH11</f>
        <v>6174.5579173221258</v>
      </c>
      <c r="L42" s="54">
        <f>[1]Prices!AI11</f>
        <v>9317.4091658824254</v>
      </c>
      <c r="M42" s="54">
        <f>[1]Prices!AJ11</f>
        <v>8828.9168140645579</v>
      </c>
      <c r="N42" s="54">
        <f>[1]Prices!AK11</f>
        <v>8490.7617314997788</v>
      </c>
      <c r="O42" s="54">
        <f>[1]Prices!AL11</f>
        <v>9142.1015600257251</v>
      </c>
      <c r="P42" s="54">
        <f>Input!F21</f>
        <v>9324.9435912262397</v>
      </c>
      <c r="Q42" s="54">
        <f>Input!G21</f>
        <v>9511.4424630507656</v>
      </c>
      <c r="R42" s="54">
        <f>Input!H21</f>
        <v>9701.6713123117806</v>
      </c>
      <c r="S42" s="54">
        <f>Input!I21</f>
        <v>9895.7047385580172</v>
      </c>
      <c r="T42" s="54">
        <f>Input!J21</f>
        <v>10093.618833329178</v>
      </c>
      <c r="U42" s="18">
        <f>T42</f>
        <v>10093.618833329178</v>
      </c>
      <c r="W42" s="29">
        <f>IFERROR((O42/F42)^(1/9)-1,"n/a")</f>
        <v>5.786125919274121E-2</v>
      </c>
      <c r="X42" s="29">
        <f>IFERROR((O42/L42)^(1/3)-1,"n/a")</f>
        <v>-6.3114368604682003E-3</v>
      </c>
      <c r="Y42" s="29">
        <f t="shared" ref="Y42:Y44" si="32">IFERROR((T42/O42)^(1/5)-1,"n/a")</f>
        <v>2.0000000000000018E-2</v>
      </c>
      <c r="AA42" s="35" t="s">
        <v>134</v>
      </c>
    </row>
    <row r="43" spans="5:27" x14ac:dyDescent="0.2">
      <c r="E43" t="s">
        <v>129</v>
      </c>
      <c r="F43" s="54">
        <f>[1]Prices!AC12</f>
        <v>56.137484315201696</v>
      </c>
      <c r="G43" s="54">
        <f>[1]Prices!AD12</f>
        <v>58.56519072714724</v>
      </c>
      <c r="H43" s="54">
        <f>[1]Prices!AE12</f>
        <v>71.134474402409182</v>
      </c>
      <c r="I43" s="54">
        <f>[1]Prices!AF12</f>
        <v>70.13840422862161</v>
      </c>
      <c r="J43" s="54">
        <f>[1]Prices!AG12</f>
        <v>93.624179214505304</v>
      </c>
      <c r="K43" s="54">
        <f>[1]Prices!AH12</f>
        <v>108.07149327122153</v>
      </c>
      <c r="L43" s="54">
        <f>[1]Prices!AI12</f>
        <v>158.16166811235101</v>
      </c>
      <c r="M43" s="54">
        <f>[1]Prices!AJ12</f>
        <v>120.7038647342995</v>
      </c>
      <c r="N43" s="54">
        <f>[1]Prices!AK12</f>
        <v>120.31531698977351</v>
      </c>
      <c r="O43" s="54">
        <f>[1]Prices!AL12</f>
        <v>111.06139108476066</v>
      </c>
      <c r="P43" s="54">
        <f>Input!F22</f>
        <v>113.28261890645587</v>
      </c>
      <c r="Q43" s="54">
        <f>Input!G22</f>
        <v>115.54827128458498</v>
      </c>
      <c r="R43" s="54">
        <f>Input!H22</f>
        <v>117.85923671027669</v>
      </c>
      <c r="S43" s="54">
        <f>Input!I22</f>
        <v>120.21642144448222</v>
      </c>
      <c r="T43" s="54">
        <f>Input!J22</f>
        <v>122.62074987337186</v>
      </c>
      <c r="U43" s="18">
        <f>T43</f>
        <v>122.62074987337186</v>
      </c>
      <c r="W43" s="29">
        <f>IFERROR((O43/F43)^(1/9)-1,"n/a")</f>
        <v>7.8756315680935884E-2</v>
      </c>
      <c r="X43" s="29">
        <f>IFERROR((O43/L43)^(1/3)-1,"n/a")</f>
        <v>-0.11116607165505865</v>
      </c>
      <c r="Y43" s="29">
        <f t="shared" si="32"/>
        <v>2.0000000000000018E-2</v>
      </c>
    </row>
    <row r="44" spans="5:27" x14ac:dyDescent="0.2">
      <c r="E44" t="s">
        <v>130</v>
      </c>
      <c r="F44" s="54">
        <f>[1]Prices!AC10</f>
        <v>62.692552690750638</v>
      </c>
      <c r="G44" s="54">
        <f>[1]Prices!AD10</f>
        <v>70.08180639301159</v>
      </c>
      <c r="H44" s="54">
        <f>[1]Prices!AE10</f>
        <v>94.138079349276438</v>
      </c>
      <c r="I44" s="54">
        <f>[1]Prices!AF10</f>
        <v>113.23078537013389</v>
      </c>
      <c r="J44" s="54">
        <f>[1]Prices!AG10</f>
        <v>82.193236275241134</v>
      </c>
      <c r="K44" s="54">
        <f>[1]Prices!AH10</f>
        <v>61.983198111650417</v>
      </c>
      <c r="L44" s="54">
        <f>[1]Prices!AI10</f>
        <v>143.98474438540202</v>
      </c>
      <c r="M44" s="54">
        <f>[1]Prices!AJ10</f>
        <v>384.16973325553721</v>
      </c>
      <c r="N44" s="54">
        <f>[1]Prices!AK10</f>
        <v>188.15258386900859</v>
      </c>
      <c r="O44" s="54">
        <f>[1]Prices!AL10</f>
        <v>143.55138180272291</v>
      </c>
      <c r="P44" s="54">
        <f>Input!F23</f>
        <v>146.42240943877738</v>
      </c>
      <c r="Q44" s="54">
        <f>Input!G23</f>
        <v>149.35085762755293</v>
      </c>
      <c r="R44" s="54">
        <f>Input!H23</f>
        <v>152.33787478010399</v>
      </c>
      <c r="S44" s="54">
        <f>Input!I23</f>
        <v>155.38463227570608</v>
      </c>
      <c r="T44" s="54">
        <f>Input!J23</f>
        <v>158.49232492122022</v>
      </c>
      <c r="U44" s="18">
        <f>T44</f>
        <v>158.49232492122022</v>
      </c>
      <c r="W44" s="29">
        <f>IFERROR((O44/F44)^(1/9)-1,"n/a")</f>
        <v>9.6419686612922328E-2</v>
      </c>
      <c r="X44" s="29">
        <f>IFERROR((O44/L44)^(1/3)-1,"n/a")</f>
        <v>-1.0042686316182881E-3</v>
      </c>
      <c r="Y44" s="29">
        <f t="shared" si="32"/>
        <v>2.0000000000000018E-2</v>
      </c>
    </row>
    <row r="45" spans="5:27" x14ac:dyDescent="0.2"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</row>
    <row r="46" spans="5:27" x14ac:dyDescent="0.2">
      <c r="E46" s="5" t="str">
        <f>Input!$E$8&amp;" Indicative volumes (thousand tons)"</f>
        <v>BHP Indicative volumes (thousand tons)</v>
      </c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spans="5:27" x14ac:dyDescent="0.2">
      <c r="E47" t="s">
        <v>88</v>
      </c>
      <c r="F47" s="18">
        <f>F35/F42*10^3</f>
        <v>2078.4119657826486</v>
      </c>
      <c r="G47" s="18">
        <f t="shared" ref="G47:O47" si="33">G35/G42*10^3</f>
        <v>1694.5714488045132</v>
      </c>
      <c r="H47" s="18">
        <f t="shared" si="33"/>
        <v>1350.9045596153708</v>
      </c>
      <c r="I47" s="18">
        <f t="shared" si="33"/>
        <v>2034.8254639950055</v>
      </c>
      <c r="J47" s="18">
        <f t="shared" si="33"/>
        <v>1803.2841512520038</v>
      </c>
      <c r="K47" s="18">
        <f t="shared" si="33"/>
        <v>1727.4111187907993</v>
      </c>
      <c r="L47" s="18">
        <f t="shared" si="33"/>
        <v>1687.8082436890206</v>
      </c>
      <c r="M47" s="18">
        <f t="shared" si="33"/>
        <v>1908.3881244819709</v>
      </c>
      <c r="N47" s="18">
        <f t="shared" si="33"/>
        <v>1887.5809387680281</v>
      </c>
      <c r="O47" s="18">
        <f t="shared" si="33"/>
        <v>2030.8240811041433</v>
      </c>
      <c r="P47" s="18">
        <f>O47*(1+P51)</f>
        <v>2030.8240811041433</v>
      </c>
      <c r="Q47" s="18">
        <f t="shared" ref="Q47:U47" si="34">P47*(1+Q51)</f>
        <v>2030.8240811041433</v>
      </c>
      <c r="R47" s="18">
        <f t="shared" si="34"/>
        <v>2030.8240811041433</v>
      </c>
      <c r="S47" s="18">
        <f t="shared" si="34"/>
        <v>2030.8240811041433</v>
      </c>
      <c r="T47" s="18">
        <f t="shared" si="34"/>
        <v>2030.8240811041433</v>
      </c>
      <c r="U47" s="18">
        <f t="shared" si="34"/>
        <v>2051.1323219151845</v>
      </c>
      <c r="W47" s="29">
        <f>IFERROR((O47/F47)^(1/9)-1,"n/a")</f>
        <v>-2.5702980202514381E-3</v>
      </c>
      <c r="X47" s="29">
        <f>IFERROR((O47/L47)^(1/3)-1,"n/a")</f>
        <v>6.3611604219340867E-2</v>
      </c>
      <c r="Y47" s="29">
        <f t="shared" ref="Y47:Y49" si="35">IFERROR((T47/O47)^(1/5)-1,"n/a")</f>
        <v>0</v>
      </c>
    </row>
    <row r="48" spans="5:27" x14ac:dyDescent="0.2">
      <c r="E48" t="s">
        <v>93</v>
      </c>
      <c r="F48" s="18">
        <f>F36/F43*10^3</f>
        <v>262801.23129787232</v>
      </c>
      <c r="G48" s="18">
        <f t="shared" ref="G48:O48" si="36">G36/G43*10^3</f>
        <v>179936.23634039031</v>
      </c>
      <c r="H48" s="18">
        <f t="shared" si="36"/>
        <v>205582.45664783759</v>
      </c>
      <c r="I48" s="18">
        <f t="shared" si="36"/>
        <v>211153.93432285183</v>
      </c>
      <c r="J48" s="18">
        <f t="shared" si="36"/>
        <v>184300.68113565541</v>
      </c>
      <c r="K48" s="18">
        <f t="shared" si="36"/>
        <v>192437.42610094993</v>
      </c>
      <c r="L48" s="18">
        <f t="shared" si="36"/>
        <v>217973.16891922572</v>
      </c>
      <c r="M48" s="18">
        <f t="shared" si="36"/>
        <v>254896.56083279639</v>
      </c>
      <c r="N48" s="18">
        <f t="shared" si="36"/>
        <v>206224.78185474055</v>
      </c>
      <c r="O48" s="18">
        <f t="shared" si="36"/>
        <v>251680.62210446637</v>
      </c>
      <c r="P48" s="18">
        <f t="shared" ref="P48:U48" si="37">O48*(1+P52)</f>
        <v>251680.62210446637</v>
      </c>
      <c r="Q48" s="18">
        <f t="shared" si="37"/>
        <v>251680.62210446637</v>
      </c>
      <c r="R48" s="18">
        <f t="shared" si="37"/>
        <v>251680.62210446637</v>
      </c>
      <c r="S48" s="18">
        <f t="shared" si="37"/>
        <v>251680.62210446637</v>
      </c>
      <c r="T48" s="18">
        <f t="shared" si="37"/>
        <v>251680.62210446637</v>
      </c>
      <c r="U48" s="18">
        <f t="shared" si="37"/>
        <v>254197.42832551102</v>
      </c>
      <c r="W48" s="29">
        <f>IFERROR((O48/F48)^(1/9)-1,"n/a")</f>
        <v>-4.7925965485365873E-3</v>
      </c>
      <c r="X48" s="29">
        <f>IFERROR((O48/L48)^(1/3)-1,"n/a")</f>
        <v>4.9096843258014111E-2</v>
      </c>
      <c r="Y48" s="29">
        <f t="shared" si="35"/>
        <v>0</v>
      </c>
    </row>
    <row r="49" spans="3:27" x14ac:dyDescent="0.2">
      <c r="E49" t="s">
        <v>94</v>
      </c>
      <c r="F49" s="18">
        <f>F37/F44*10^3</f>
        <v>93870.798801725061</v>
      </c>
      <c r="G49" s="18">
        <f t="shared" ref="G49:O49" si="38">G37/G44*10^3</f>
        <v>64467.516357434033</v>
      </c>
      <c r="H49" s="18">
        <f t="shared" si="38"/>
        <v>80498.774272668932</v>
      </c>
      <c r="I49" s="18">
        <f t="shared" si="38"/>
        <v>78503.38554963861</v>
      </c>
      <c r="J49" s="18">
        <f t="shared" si="38"/>
        <v>110970.20160462397</v>
      </c>
      <c r="K49" s="18">
        <f t="shared" si="38"/>
        <v>100704.71014993897</v>
      </c>
      <c r="L49" s="18">
        <f t="shared" si="38"/>
        <v>35795.458900870479</v>
      </c>
      <c r="M49" s="18">
        <f t="shared" si="38"/>
        <v>40474.297306647291</v>
      </c>
      <c r="N49" s="18">
        <f t="shared" si="38"/>
        <v>58239.965535785224</v>
      </c>
      <c r="O49" s="18">
        <f t="shared" si="38"/>
        <v>53402.481423237608</v>
      </c>
      <c r="P49" s="18">
        <f t="shared" ref="P49:U49" si="39">O49*(1+P53)</f>
        <v>53402.481423237608</v>
      </c>
      <c r="Q49" s="18">
        <f t="shared" si="39"/>
        <v>53402.481423237608</v>
      </c>
      <c r="R49" s="18">
        <f t="shared" si="39"/>
        <v>53402.481423237608</v>
      </c>
      <c r="S49" s="18">
        <f t="shared" si="39"/>
        <v>53402.481423237608</v>
      </c>
      <c r="T49" s="18">
        <f t="shared" si="39"/>
        <v>53402.481423237608</v>
      </c>
      <c r="U49" s="18">
        <f t="shared" si="39"/>
        <v>53936.506237469985</v>
      </c>
      <c r="W49" s="29">
        <f>IFERROR((O49/F49)^(1/9)-1,"n/a")</f>
        <v>-6.0749978265030702E-2</v>
      </c>
      <c r="X49" s="29">
        <f>IFERROR((O49/L49)^(1/3)-1,"n/a")</f>
        <v>0.14264458990009277</v>
      </c>
      <c r="Y49" s="29">
        <f t="shared" si="35"/>
        <v>0</v>
      </c>
    </row>
    <row r="50" spans="3:27" x14ac:dyDescent="0.2"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 spans="3:27" x14ac:dyDescent="0.2">
      <c r="E51" s="48" t="s">
        <v>131</v>
      </c>
      <c r="F51" s="26" t="s">
        <v>107</v>
      </c>
      <c r="G51" s="26">
        <f>(G47-F47)/F47</f>
        <v>-0.18467970897848254</v>
      </c>
      <c r="H51" s="26">
        <f t="shared" ref="H51:O51" si="40">(H47-G47)/G47</f>
        <v>-0.20280460256284424</v>
      </c>
      <c r="I51" s="26">
        <f t="shared" si="40"/>
        <v>0.50626885482891593</v>
      </c>
      <c r="J51" s="26">
        <f t="shared" si="40"/>
        <v>-0.11378927423505551</v>
      </c>
      <c r="K51" s="26">
        <f t="shared" si="40"/>
        <v>-4.2074917815102267E-2</v>
      </c>
      <c r="L51" s="26">
        <f t="shared" si="40"/>
        <v>-2.2926143447253567E-2</v>
      </c>
      <c r="M51" s="26">
        <f t="shared" si="40"/>
        <v>0.13069013119098863</v>
      </c>
      <c r="N51" s="26">
        <f t="shared" si="40"/>
        <v>-1.0903015716255755E-2</v>
      </c>
      <c r="O51" s="26">
        <f t="shared" si="40"/>
        <v>7.588715238330708E-2</v>
      </c>
      <c r="P51" s="59">
        <v>0</v>
      </c>
      <c r="Q51" s="59">
        <v>0</v>
      </c>
      <c r="R51" s="59">
        <v>0</v>
      </c>
      <c r="S51" s="59">
        <v>0</v>
      </c>
      <c r="T51" s="59">
        <v>0</v>
      </c>
      <c r="U51" s="27">
        <f>$B$3</f>
        <v>0.01</v>
      </c>
      <c r="W51" s="29"/>
      <c r="X51" s="29"/>
      <c r="Y51" s="29"/>
    </row>
    <row r="52" spans="3:27" x14ac:dyDescent="0.2">
      <c r="E52" s="49" t="s">
        <v>132</v>
      </c>
      <c r="F52" s="29" t="s">
        <v>107</v>
      </c>
      <c r="G52" s="29">
        <f t="shared" ref="G52:O53" si="41">(G48-F48)/F48</f>
        <v>-0.31531433299701173</v>
      </c>
      <c r="H52" s="29">
        <f t="shared" si="41"/>
        <v>0.14252949171911999</v>
      </c>
      <c r="I52" s="29">
        <f t="shared" si="41"/>
        <v>2.7100939281789815E-2</v>
      </c>
      <c r="J52" s="29">
        <f t="shared" si="41"/>
        <v>-0.12717382355821094</v>
      </c>
      <c r="K52" s="29">
        <f t="shared" si="41"/>
        <v>4.4149294051200119E-2</v>
      </c>
      <c r="L52" s="29">
        <f t="shared" si="41"/>
        <v>0.13269634361498941</v>
      </c>
      <c r="M52" s="29">
        <f t="shared" si="41"/>
        <v>0.16939420616146275</v>
      </c>
      <c r="N52" s="29">
        <f t="shared" si="41"/>
        <v>-0.19094717802011812</v>
      </c>
      <c r="O52" s="29">
        <f t="shared" si="41"/>
        <v>0.22041890330010749</v>
      </c>
      <c r="P52" s="53">
        <v>0</v>
      </c>
      <c r="Q52" s="53">
        <v>0</v>
      </c>
      <c r="R52" s="53">
        <v>0</v>
      </c>
      <c r="S52" s="53">
        <v>0</v>
      </c>
      <c r="T52" s="53">
        <v>0</v>
      </c>
      <c r="U52" s="30">
        <f t="shared" ref="U52:U53" si="42">$B$3</f>
        <v>0.01</v>
      </c>
      <c r="W52" s="29"/>
      <c r="X52" s="29"/>
      <c r="Y52" s="29"/>
    </row>
    <row r="53" spans="3:27" x14ac:dyDescent="0.2">
      <c r="E53" s="50" t="s">
        <v>133</v>
      </c>
      <c r="F53" s="32" t="s">
        <v>107</v>
      </c>
      <c r="G53" s="32">
        <f t="shared" si="41"/>
        <v>-0.31323140763292073</v>
      </c>
      <c r="H53" s="32">
        <f t="shared" si="41"/>
        <v>0.24867187106063013</v>
      </c>
      <c r="I53" s="32">
        <f t="shared" si="41"/>
        <v>-2.4787814983013971E-2</v>
      </c>
      <c r="J53" s="32">
        <f t="shared" si="41"/>
        <v>0.41357217688982617</v>
      </c>
      <c r="K53" s="32">
        <f t="shared" si="41"/>
        <v>-9.2506738802367428E-2</v>
      </c>
      <c r="L53" s="32">
        <f t="shared" si="41"/>
        <v>-0.64455030109738942</v>
      </c>
      <c r="M53" s="32">
        <f t="shared" si="41"/>
        <v>0.13071039035242071</v>
      </c>
      <c r="N53" s="32">
        <f t="shared" si="41"/>
        <v>0.43893703933978345</v>
      </c>
      <c r="O53" s="32">
        <f t="shared" si="41"/>
        <v>-8.3061246139908007E-2</v>
      </c>
      <c r="P53" s="60">
        <v>0</v>
      </c>
      <c r="Q53" s="60">
        <v>0</v>
      </c>
      <c r="R53" s="60">
        <v>0</v>
      </c>
      <c r="S53" s="60">
        <v>0</v>
      </c>
      <c r="T53" s="60">
        <v>0</v>
      </c>
      <c r="U53" s="33">
        <f t="shared" si="42"/>
        <v>0.01</v>
      </c>
      <c r="W53" s="29"/>
      <c r="X53" s="29"/>
      <c r="Y53" s="29"/>
    </row>
    <row r="54" spans="3:27" x14ac:dyDescent="0.2"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</row>
    <row r="55" spans="3:27" x14ac:dyDescent="0.2">
      <c r="E55" s="5" t="str">
        <f>Input!$E$8&amp;" - BS"</f>
        <v>BHP - BS</v>
      </c>
      <c r="O55" s="9"/>
      <c r="W55" s="40" t="s">
        <v>111</v>
      </c>
      <c r="X55" s="39"/>
      <c r="Y55" s="39"/>
    </row>
    <row r="56" spans="3:27" x14ac:dyDescent="0.2">
      <c r="E56" s="10" t="str">
        <f>+Input!$E$14</f>
        <v>USDmn</v>
      </c>
      <c r="F56" s="24" t="s">
        <v>110</v>
      </c>
      <c r="G56" s="24" t="s">
        <v>41</v>
      </c>
      <c r="H56" s="24" t="s">
        <v>42</v>
      </c>
      <c r="I56" s="24" t="s">
        <v>43</v>
      </c>
      <c r="J56" s="24" t="s">
        <v>44</v>
      </c>
      <c r="K56" s="24" t="s">
        <v>45</v>
      </c>
      <c r="L56" s="24" t="s">
        <v>46</v>
      </c>
      <c r="M56" s="24" t="s">
        <v>47</v>
      </c>
      <c r="N56" s="24" t="s">
        <v>48</v>
      </c>
      <c r="O56" s="24" t="s">
        <v>49</v>
      </c>
      <c r="P56" s="68">
        <v>45809</v>
      </c>
      <c r="Q56" s="68">
        <v>46174</v>
      </c>
      <c r="R56" s="68">
        <v>46539</v>
      </c>
      <c r="S56" s="68">
        <v>46905</v>
      </c>
      <c r="T56" s="68">
        <v>47270</v>
      </c>
      <c r="U56" s="47" t="s">
        <v>126</v>
      </c>
      <c r="W56" s="39" t="s">
        <v>112</v>
      </c>
      <c r="X56" s="39" t="s">
        <v>113</v>
      </c>
      <c r="Y56" s="39" t="s">
        <v>145</v>
      </c>
    </row>
    <row r="57" spans="3:27" ht="3" customHeight="1" x14ac:dyDescent="0.2"/>
    <row r="58" spans="3:27" x14ac:dyDescent="0.2">
      <c r="C58" s="8" t="s">
        <v>163</v>
      </c>
      <c r="E58" s="13" t="s">
        <v>54</v>
      </c>
      <c r="F58" s="18">
        <f>Historical!F37</f>
        <v>94072</v>
      </c>
      <c r="G58" s="18">
        <f>Historical!G37</f>
        <v>83975</v>
      </c>
      <c r="H58" s="18">
        <f>Historical!H37</f>
        <v>80497</v>
      </c>
      <c r="I58" s="18">
        <f>Historical!I37</f>
        <v>67182</v>
      </c>
      <c r="J58" s="18">
        <f>Historical!J37</f>
        <v>68041</v>
      </c>
      <c r="K58" s="18">
        <f>Historical!K37</f>
        <v>72362</v>
      </c>
      <c r="L58" s="18">
        <f>Historical!L37</f>
        <v>73813</v>
      </c>
      <c r="M58" s="18">
        <f>Historical!M37</f>
        <v>61295</v>
      </c>
      <c r="N58" s="18">
        <f>Historical!N37</f>
        <v>71818</v>
      </c>
      <c r="O58" s="18">
        <f>Historical!O37</f>
        <v>71629</v>
      </c>
      <c r="P58" s="51"/>
      <c r="Q58" s="51"/>
      <c r="R58" s="51"/>
      <c r="S58" s="51"/>
      <c r="T58" s="51"/>
      <c r="U58" s="51"/>
      <c r="W58" s="29">
        <f>IFERROR((O58/F58)^(1/9)-1,"n/a")</f>
        <v>-2.983051102569112E-2</v>
      </c>
      <c r="X58" s="29">
        <f>IFERROR((O58/L58)^(1/3)-1,"n/a")</f>
        <v>-9.9616665887675149E-3</v>
      </c>
      <c r="Y58" s="29">
        <f t="shared" ref="Y58" si="43">IFERROR((T58/O58)^(1/5)-1,"n/a")</f>
        <v>-1</v>
      </c>
    </row>
    <row r="59" spans="3:27" x14ac:dyDescent="0.2">
      <c r="C59" s="8" t="s">
        <v>163</v>
      </c>
      <c r="E59" s="13" t="s">
        <v>55</v>
      </c>
      <c r="F59" s="20">
        <f>Historical!F38</f>
        <v>14139</v>
      </c>
      <c r="G59" s="20">
        <f>Historical!G38</f>
        <v>17264</v>
      </c>
      <c r="H59" s="20">
        <f>Historical!H38</f>
        <v>15453</v>
      </c>
      <c r="I59" s="20">
        <f>Historical!I38</f>
        <v>9681</v>
      </c>
      <c r="J59" s="20">
        <f>Historical!J38</f>
        <v>9447</v>
      </c>
      <c r="K59" s="20">
        <f>Historical!K38</f>
        <v>10950</v>
      </c>
      <c r="L59" s="20">
        <f>Historical!L38</f>
        <v>8421</v>
      </c>
      <c r="M59" s="20">
        <f>Historical!M38</f>
        <v>5207</v>
      </c>
      <c r="N59" s="20">
        <f>Historical!N38</f>
        <v>6127</v>
      </c>
      <c r="O59" s="20">
        <f>Historical!O38</f>
        <v>6395</v>
      </c>
      <c r="P59" s="57"/>
      <c r="Q59" s="57"/>
      <c r="R59" s="57"/>
      <c r="S59" s="57"/>
      <c r="T59" s="57"/>
      <c r="U59" s="57"/>
      <c r="W59" s="29">
        <f t="shared" ref="W59:W77" si="44">IFERROR((O59/F59)^(1/9)-1,"n/a")</f>
        <v>-8.4383649623188339E-2</v>
      </c>
      <c r="X59" s="29">
        <f t="shared" ref="X59:X77" si="45">IFERROR((O59/L59)^(1/3)-1,"n/a")</f>
        <v>-8.7655285294620633E-2</v>
      </c>
      <c r="Y59" s="29">
        <f t="shared" ref="Y59:Y77" si="46">IFERROR((T59/O59)^(1/5)-1,"n/a")</f>
        <v>-1</v>
      </c>
    </row>
    <row r="60" spans="3:27" x14ac:dyDescent="0.2">
      <c r="E60" s="5" t="s">
        <v>56</v>
      </c>
      <c r="F60" s="19">
        <f t="shared" ref="F60" si="47">SUM(F58:F59)</f>
        <v>108211</v>
      </c>
      <c r="G60" s="19">
        <f t="shared" ref="G60:M60" si="48">SUM(G58:G59)</f>
        <v>101239</v>
      </c>
      <c r="H60" s="19">
        <f t="shared" si="48"/>
        <v>95950</v>
      </c>
      <c r="I60" s="19">
        <f t="shared" si="48"/>
        <v>76863</v>
      </c>
      <c r="J60" s="19">
        <f t="shared" si="48"/>
        <v>77488</v>
      </c>
      <c r="K60" s="19">
        <f t="shared" si="48"/>
        <v>83312</v>
      </c>
      <c r="L60" s="19">
        <f t="shared" si="48"/>
        <v>82234</v>
      </c>
      <c r="M60" s="19">
        <f t="shared" si="48"/>
        <v>66502</v>
      </c>
      <c r="N60" s="19">
        <f>SUM(N58:N59)</f>
        <v>77945</v>
      </c>
      <c r="O60" s="19">
        <f>SUM(O58:O59)</f>
        <v>78024</v>
      </c>
      <c r="P60" s="19">
        <f>P93</f>
        <v>75340.162879776122</v>
      </c>
      <c r="Q60" s="19">
        <f t="shared" ref="Q60:U60" si="49">Q93</f>
        <v>78956.466928034453</v>
      </c>
      <c r="R60" s="19">
        <f t="shared" si="49"/>
        <v>82488.561693178257</v>
      </c>
      <c r="S60" s="19">
        <f t="shared" si="49"/>
        <v>85946.378685692922</v>
      </c>
      <c r="T60" s="19">
        <f t="shared" si="49"/>
        <v>89339.186104323264</v>
      </c>
      <c r="U60" s="19">
        <f t="shared" si="49"/>
        <v>92577.935003584775</v>
      </c>
      <c r="W60" s="41">
        <f t="shared" si="44"/>
        <v>-3.5688330610342267E-2</v>
      </c>
      <c r="X60" s="41">
        <f t="shared" si="45"/>
        <v>-1.7364918075768898E-2</v>
      </c>
      <c r="Y60" s="41">
        <f t="shared" si="46"/>
        <v>2.7454872611272219E-2</v>
      </c>
    </row>
    <row r="61" spans="3:27" x14ac:dyDescent="0.2">
      <c r="E61" s="13" t="s">
        <v>50</v>
      </c>
      <c r="F61" s="18">
        <f>Historical!F40</f>
        <v>6753</v>
      </c>
      <c r="G61" s="18">
        <f>Historical!G40</f>
        <v>10319</v>
      </c>
      <c r="H61" s="18">
        <f>Historical!H40</f>
        <v>14153</v>
      </c>
      <c r="I61" s="18">
        <f>Historical!I40</f>
        <v>15871</v>
      </c>
      <c r="J61" s="18">
        <f>Historical!J40</f>
        <v>15613</v>
      </c>
      <c r="K61" s="18">
        <f>Historical!K40</f>
        <v>13426</v>
      </c>
      <c r="L61" s="18">
        <f>Historical!L40</f>
        <v>15246</v>
      </c>
      <c r="M61" s="18">
        <f>Historical!M40</f>
        <v>17236</v>
      </c>
      <c r="N61" s="18">
        <f>Historical!N40</f>
        <v>12428</v>
      </c>
      <c r="O61" s="18">
        <f>Historical!O40</f>
        <v>12501</v>
      </c>
      <c r="P61" s="18">
        <f>SUM(P60,P62,P63,P64)</f>
        <v>87438.641099618733</v>
      </c>
      <c r="Q61" s="18">
        <f t="shared" ref="Q61:U61" si="50">SUM(Q60,Q62,Q63,Q64)</f>
        <v>91293.469821584353</v>
      </c>
      <c r="R61" s="18">
        <f t="shared" si="50"/>
        <v>95068.825305002683</v>
      </c>
      <c r="S61" s="18">
        <f t="shared" si="50"/>
        <v>98774.733436761424</v>
      </c>
      <c r="T61" s="18">
        <f t="shared" si="50"/>
        <v>102420.55867609076</v>
      </c>
      <c r="U61" s="18">
        <f t="shared" si="50"/>
        <v>105790.12130106994</v>
      </c>
      <c r="W61" s="29">
        <f t="shared" si="44"/>
        <v>7.0819928551458577E-2</v>
      </c>
      <c r="X61" s="29">
        <f t="shared" si="45"/>
        <v>-6.4027806569489365E-2</v>
      </c>
      <c r="Y61" s="29">
        <f t="shared" si="46"/>
        <v>0.52295993042812361</v>
      </c>
      <c r="AA61" s="35" t="s">
        <v>180</v>
      </c>
    </row>
    <row r="62" spans="3:27" x14ac:dyDescent="0.2">
      <c r="C62" s="8" t="s">
        <v>168</v>
      </c>
      <c r="E62" s="13" t="s">
        <v>51</v>
      </c>
      <c r="F62" s="18">
        <f>Historical!F41</f>
        <v>4321</v>
      </c>
      <c r="G62" s="18">
        <f>Historical!G41</f>
        <v>3155</v>
      </c>
      <c r="H62" s="18">
        <f>Historical!H41</f>
        <v>2836</v>
      </c>
      <c r="I62" s="18">
        <f>Historical!I41</f>
        <v>3096</v>
      </c>
      <c r="J62" s="18">
        <f>Historical!J41</f>
        <v>3462</v>
      </c>
      <c r="K62" s="18">
        <f>Historical!K41</f>
        <v>3364</v>
      </c>
      <c r="L62" s="18">
        <f>Historical!L41</f>
        <v>6059</v>
      </c>
      <c r="M62" s="18">
        <f>Historical!M41</f>
        <v>5426</v>
      </c>
      <c r="N62" s="18">
        <f>Historical!N41</f>
        <v>4594</v>
      </c>
      <c r="O62" s="18">
        <f>Historical!O41</f>
        <v>5169</v>
      </c>
      <c r="P62" s="18">
        <f>O62*(1+P$24)</f>
        <v>5283.1827252147032</v>
      </c>
      <c r="Q62" s="18">
        <f t="shared" ref="Q62:U62" si="51">P62*(1+Q$24)</f>
        <v>5387.342059369721</v>
      </c>
      <c r="R62" s="18">
        <f t="shared" si="51"/>
        <v>5493.5695370043468</v>
      </c>
      <c r="S62" s="18">
        <f t="shared" si="51"/>
        <v>5601.9063705561366</v>
      </c>
      <c r="T62" s="18">
        <f t="shared" si="51"/>
        <v>5712.3945952070808</v>
      </c>
      <c r="U62" s="18">
        <f t="shared" si="51"/>
        <v>5769.5185411591519</v>
      </c>
      <c r="W62" s="29">
        <f t="shared" si="44"/>
        <v>2.0109796850222406E-2</v>
      </c>
      <c r="X62" s="29">
        <f t="shared" si="45"/>
        <v>-5.157747503533916E-2</v>
      </c>
      <c r="Y62" s="29">
        <f t="shared" si="46"/>
        <v>2.0192986291499571E-2</v>
      </c>
    </row>
    <row r="63" spans="3:27" x14ac:dyDescent="0.2">
      <c r="C63" s="8" t="s">
        <v>168</v>
      </c>
      <c r="E63" s="13" t="s">
        <v>52</v>
      </c>
      <c r="F63" s="18">
        <f>Historical!F42</f>
        <v>4292</v>
      </c>
      <c r="G63" s="18">
        <f>Historical!G42</f>
        <v>3411</v>
      </c>
      <c r="H63" s="18">
        <f>Historical!H42</f>
        <v>3673</v>
      </c>
      <c r="I63" s="18">
        <f>Historical!I42</f>
        <v>3764</v>
      </c>
      <c r="J63" s="18">
        <f>Historical!J42</f>
        <v>3840</v>
      </c>
      <c r="K63" s="18">
        <f>Historical!K42</f>
        <v>4101</v>
      </c>
      <c r="L63" s="18">
        <f>Historical!L42</f>
        <v>4426</v>
      </c>
      <c r="M63" s="18">
        <f>Historical!M42</f>
        <v>4935</v>
      </c>
      <c r="N63" s="18">
        <f>Historical!N42</f>
        <v>5220</v>
      </c>
      <c r="O63" s="18">
        <f>Historical!O42</f>
        <v>5828</v>
      </c>
      <c r="P63" s="18">
        <f>O63*(1+P$24)</f>
        <v>5956.7399734090332</v>
      </c>
      <c r="Q63" s="18">
        <f t="shared" ref="Q63:U63" si="52">P63*(1+Q$24)</f>
        <v>6074.1786655072046</v>
      </c>
      <c r="R63" s="18">
        <f t="shared" si="52"/>
        <v>6193.9491703736385</v>
      </c>
      <c r="S63" s="18">
        <f t="shared" si="52"/>
        <v>6316.0979546529634</v>
      </c>
      <c r="T63" s="18">
        <f t="shared" si="52"/>
        <v>6440.6724126265945</v>
      </c>
      <c r="U63" s="18">
        <f t="shared" si="52"/>
        <v>6505.0791367528609</v>
      </c>
      <c r="W63" s="29">
        <f t="shared" si="44"/>
        <v>3.4575532721125013E-2</v>
      </c>
      <c r="X63" s="29">
        <f t="shared" si="45"/>
        <v>9.6064330192798808E-2</v>
      </c>
      <c r="Y63" s="29">
        <f t="shared" si="46"/>
        <v>2.0192986291499571E-2</v>
      </c>
    </row>
    <row r="64" spans="3:27" x14ac:dyDescent="0.2">
      <c r="C64" s="8" t="s">
        <v>168</v>
      </c>
      <c r="E64" s="13" t="s">
        <v>57</v>
      </c>
      <c r="F64" s="20">
        <f>Historical!F43</f>
        <v>1003</v>
      </c>
      <c r="G64" s="20">
        <f>Historical!G43</f>
        <v>829</v>
      </c>
      <c r="H64" s="20">
        <f>Historical!H43</f>
        <v>394</v>
      </c>
      <c r="I64" s="20">
        <f>Historical!I43</f>
        <v>12399</v>
      </c>
      <c r="J64" s="20">
        <f>Historical!J43</f>
        <v>458</v>
      </c>
      <c r="K64" s="20">
        <f>Historical!K43</f>
        <v>580</v>
      </c>
      <c r="L64" s="20">
        <f>Historical!L43</f>
        <v>962</v>
      </c>
      <c r="M64" s="20">
        <f>Historical!M43</f>
        <v>1067</v>
      </c>
      <c r="N64" s="20">
        <f>Historical!N43</f>
        <v>1109</v>
      </c>
      <c r="O64" s="20">
        <f>Historical!O43</f>
        <v>840</v>
      </c>
      <c r="P64" s="20">
        <f t="shared" ref="P64:U64" si="53">O64*(1+P$24)</f>
        <v>858.55552121887229</v>
      </c>
      <c r="Q64" s="20">
        <f t="shared" si="53"/>
        <v>875.48216867296696</v>
      </c>
      <c r="R64" s="20">
        <f t="shared" si="53"/>
        <v>892.74490444644061</v>
      </c>
      <c r="S64" s="20">
        <f t="shared" si="53"/>
        <v>910.3504258593839</v>
      </c>
      <c r="T64" s="20">
        <f t="shared" si="53"/>
        <v>928.30556393382631</v>
      </c>
      <c r="U64" s="20">
        <f t="shared" si="53"/>
        <v>937.58861957316458</v>
      </c>
      <c r="W64" s="29">
        <f t="shared" si="44"/>
        <v>-1.9512549885316588E-2</v>
      </c>
      <c r="X64" s="29">
        <f t="shared" si="45"/>
        <v>-4.4197699805307522E-2</v>
      </c>
      <c r="Y64" s="29">
        <f t="shared" si="46"/>
        <v>2.0192986291499571E-2</v>
      </c>
    </row>
    <row r="65" spans="3:27" x14ac:dyDescent="0.2">
      <c r="E65" s="5" t="s">
        <v>58</v>
      </c>
      <c r="F65" s="19">
        <f t="shared" ref="F65:N65" si="54">SUM(F61:F64)</f>
        <v>16369</v>
      </c>
      <c r="G65" s="19">
        <f t="shared" si="54"/>
        <v>17714</v>
      </c>
      <c r="H65" s="19">
        <f t="shared" si="54"/>
        <v>21056</v>
      </c>
      <c r="I65" s="19">
        <f t="shared" si="54"/>
        <v>35130</v>
      </c>
      <c r="J65" s="19">
        <f t="shared" si="54"/>
        <v>23373</v>
      </c>
      <c r="K65" s="19">
        <f t="shared" si="54"/>
        <v>21471</v>
      </c>
      <c r="L65" s="19">
        <f t="shared" si="54"/>
        <v>26693</v>
      </c>
      <c r="M65" s="19">
        <f t="shared" si="54"/>
        <v>28664</v>
      </c>
      <c r="N65" s="19">
        <f t="shared" si="54"/>
        <v>23351</v>
      </c>
      <c r="O65" s="19">
        <f>SUM(O61:O64)</f>
        <v>24338</v>
      </c>
      <c r="P65" s="19">
        <f>SUM(P61:P64)</f>
        <v>99537.119319461344</v>
      </c>
      <c r="Q65" s="19">
        <f t="shared" ref="Q65:U65" si="55">SUM(Q61:Q64)</f>
        <v>103630.47271513425</v>
      </c>
      <c r="R65" s="19">
        <f t="shared" si="55"/>
        <v>107649.08891682711</v>
      </c>
      <c r="S65" s="19">
        <f t="shared" si="55"/>
        <v>111603.08818782991</v>
      </c>
      <c r="T65" s="19">
        <f t="shared" si="55"/>
        <v>115501.93124785826</v>
      </c>
      <c r="U65" s="19">
        <f t="shared" si="55"/>
        <v>119002.30759855511</v>
      </c>
      <c r="W65" s="41">
        <f t="shared" si="44"/>
        <v>4.5057783595464862E-2</v>
      </c>
      <c r="X65" s="41">
        <f t="shared" si="45"/>
        <v>-3.0318373319757064E-2</v>
      </c>
      <c r="Y65" s="41">
        <f t="shared" si="46"/>
        <v>0.36540306004449197</v>
      </c>
    </row>
    <row r="66" spans="3:27" ht="13.5" thickBot="1" x14ac:dyDescent="0.25">
      <c r="E66" s="5" t="s">
        <v>59</v>
      </c>
      <c r="F66" s="23">
        <f t="shared" ref="F66:N66" si="56">+F65+F60</f>
        <v>124580</v>
      </c>
      <c r="G66" s="23">
        <f t="shared" si="56"/>
        <v>118953</v>
      </c>
      <c r="H66" s="23">
        <f t="shared" si="56"/>
        <v>117006</v>
      </c>
      <c r="I66" s="23">
        <f t="shared" si="56"/>
        <v>111993</v>
      </c>
      <c r="J66" s="23">
        <f t="shared" si="56"/>
        <v>100861</v>
      </c>
      <c r="K66" s="23">
        <f t="shared" si="56"/>
        <v>104783</v>
      </c>
      <c r="L66" s="23">
        <f t="shared" si="56"/>
        <v>108927</v>
      </c>
      <c r="M66" s="23">
        <f t="shared" si="56"/>
        <v>95166</v>
      </c>
      <c r="N66" s="23">
        <f t="shared" si="56"/>
        <v>101296</v>
      </c>
      <c r="O66" s="23">
        <f>+O65+O60</f>
        <v>102362</v>
      </c>
      <c r="P66" s="23">
        <f>+P65+P60</f>
        <v>174877.28219923747</v>
      </c>
      <c r="Q66" s="23">
        <f t="shared" ref="Q66:U66" si="57">+Q65+Q60</f>
        <v>182586.93964316871</v>
      </c>
      <c r="R66" s="23">
        <f t="shared" si="57"/>
        <v>190137.65061000537</v>
      </c>
      <c r="S66" s="23">
        <f t="shared" si="57"/>
        <v>197549.46687352285</v>
      </c>
      <c r="T66" s="23">
        <f t="shared" si="57"/>
        <v>204841.11735218152</v>
      </c>
      <c r="U66" s="23">
        <f t="shared" si="57"/>
        <v>211580.24260213989</v>
      </c>
      <c r="W66" s="41">
        <f t="shared" si="44"/>
        <v>-2.1589376514299152E-2</v>
      </c>
      <c r="X66" s="41">
        <f t="shared" si="45"/>
        <v>-2.0507593811057045E-2</v>
      </c>
      <c r="Y66" s="41">
        <f t="shared" si="46"/>
        <v>0.14882975310894664</v>
      </c>
    </row>
    <row r="67" spans="3:27" ht="3" customHeight="1" x14ac:dyDescent="0.2"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W67" s="29"/>
      <c r="X67" s="29"/>
      <c r="Y67" s="29"/>
    </row>
    <row r="68" spans="3:27" x14ac:dyDescent="0.2">
      <c r="C68" s="8" t="s">
        <v>164</v>
      </c>
      <c r="E68" s="13" t="s">
        <v>61</v>
      </c>
      <c r="F68" s="18">
        <f>Historical!F47*-1</f>
        <v>-64768</v>
      </c>
      <c r="G68" s="18">
        <f>Historical!G47*-1</f>
        <v>-54290</v>
      </c>
      <c r="H68" s="18">
        <f>Historical!H47*-1</f>
        <v>-57258</v>
      </c>
      <c r="I68" s="18">
        <f>Historical!I47*-1</f>
        <v>-55592</v>
      </c>
      <c r="J68" s="18">
        <f>Historical!J47*-1</f>
        <v>-47240</v>
      </c>
      <c r="K68" s="18">
        <f>Historical!K47*-1</f>
        <v>-47936</v>
      </c>
      <c r="L68" s="18">
        <f>Historical!L47*-1</f>
        <v>-51264</v>
      </c>
      <c r="M68" s="18">
        <f>Historical!M47*-1</f>
        <v>-44957</v>
      </c>
      <c r="N68" s="18">
        <f>Historical!N47*-1</f>
        <v>-44496</v>
      </c>
      <c r="O68" s="18">
        <f>Historical!O47*-1</f>
        <v>-44811</v>
      </c>
      <c r="P68" s="51"/>
      <c r="Q68" s="51"/>
      <c r="R68" s="51"/>
      <c r="S68" s="51"/>
      <c r="T68" s="51"/>
      <c r="U68" s="51"/>
      <c r="W68" s="29">
        <f t="shared" si="44"/>
        <v>-4.0102400783142422E-2</v>
      </c>
      <c r="X68" s="29">
        <f t="shared" si="45"/>
        <v>-4.3854360999819653E-2</v>
      </c>
      <c r="Y68" s="29">
        <f t="shared" si="46"/>
        <v>-1</v>
      </c>
    </row>
    <row r="69" spans="3:27" x14ac:dyDescent="0.2">
      <c r="C69" s="8" t="s">
        <v>164</v>
      </c>
      <c r="E69" s="13" t="s">
        <v>62</v>
      </c>
      <c r="F69" s="20">
        <f>Historical!F48*-1</f>
        <v>-5777</v>
      </c>
      <c r="G69" s="20">
        <f>Historical!G48*-1</f>
        <v>-5781</v>
      </c>
      <c r="H69" s="20">
        <f>Historical!H48*-1</f>
        <v>-5468</v>
      </c>
      <c r="I69" s="20">
        <f>Historical!I48*-1</f>
        <v>-5078</v>
      </c>
      <c r="J69" s="20">
        <f>Historical!J48*-1</f>
        <v>-4584</v>
      </c>
      <c r="K69" s="20">
        <f>Historical!K48*-1</f>
        <v>-4310</v>
      </c>
      <c r="L69" s="20">
        <f>Historical!L48*-1</f>
        <v>-4341</v>
      </c>
      <c r="M69" s="20">
        <f>Historical!M48*-1</f>
        <v>-3809</v>
      </c>
      <c r="N69" s="20">
        <f>Historical!N48*-1</f>
        <v>-4034</v>
      </c>
      <c r="O69" s="20">
        <f>Historical!O48*-1</f>
        <v>-4309</v>
      </c>
      <c r="P69" s="57"/>
      <c r="Q69" s="57"/>
      <c r="R69" s="57"/>
      <c r="S69" s="57"/>
      <c r="T69" s="57"/>
      <c r="U69" s="57"/>
      <c r="W69" s="29">
        <f t="shared" si="44"/>
        <v>-3.2050542565487339E-2</v>
      </c>
      <c r="X69" s="29">
        <f t="shared" si="45"/>
        <v>-2.4632537604569738E-3</v>
      </c>
      <c r="Y69" s="29">
        <f t="shared" si="46"/>
        <v>-1</v>
      </c>
    </row>
    <row r="70" spans="3:27" x14ac:dyDescent="0.2">
      <c r="C70" s="69"/>
      <c r="E70" s="5" t="s">
        <v>63</v>
      </c>
      <c r="F70" s="19">
        <f t="shared" ref="F70:N70" si="58">SUM(F68:F69)</f>
        <v>-70545</v>
      </c>
      <c r="G70" s="19">
        <f t="shared" si="58"/>
        <v>-60071</v>
      </c>
      <c r="H70" s="19">
        <f t="shared" si="58"/>
        <v>-62726</v>
      </c>
      <c r="I70" s="19">
        <f t="shared" si="58"/>
        <v>-60670</v>
      </c>
      <c r="J70" s="19">
        <f t="shared" si="58"/>
        <v>-51824</v>
      </c>
      <c r="K70" s="19">
        <f t="shared" si="58"/>
        <v>-52246</v>
      </c>
      <c r="L70" s="19">
        <f t="shared" si="58"/>
        <v>-55605</v>
      </c>
      <c r="M70" s="19">
        <f t="shared" si="58"/>
        <v>-48766</v>
      </c>
      <c r="N70" s="19">
        <f t="shared" si="58"/>
        <v>-48530</v>
      </c>
      <c r="O70" s="19">
        <f>SUM(O68:O69)</f>
        <v>-49120</v>
      </c>
      <c r="P70" s="19">
        <f>O70</f>
        <v>-49120</v>
      </c>
      <c r="Q70" s="19">
        <f t="shared" ref="Q70:U70" si="59">P70</f>
        <v>-49120</v>
      </c>
      <c r="R70" s="19">
        <f t="shared" si="59"/>
        <v>-49120</v>
      </c>
      <c r="S70" s="19">
        <f t="shared" si="59"/>
        <v>-49120</v>
      </c>
      <c r="T70" s="19">
        <f t="shared" si="59"/>
        <v>-49120</v>
      </c>
      <c r="U70" s="19">
        <f t="shared" si="59"/>
        <v>-49120</v>
      </c>
      <c r="W70" s="41">
        <f t="shared" si="44"/>
        <v>-3.9422393722578164E-2</v>
      </c>
      <c r="X70" s="41">
        <f t="shared" si="45"/>
        <v>-4.0492947914153143E-2</v>
      </c>
      <c r="Y70" s="41">
        <f t="shared" si="46"/>
        <v>0</v>
      </c>
      <c r="AA70" s="35" t="s">
        <v>179</v>
      </c>
    </row>
    <row r="71" spans="3:27" x14ac:dyDescent="0.2">
      <c r="C71" s="8" t="s">
        <v>168</v>
      </c>
      <c r="E71" t="s">
        <v>64</v>
      </c>
      <c r="F71" s="18">
        <f>Historical!F50*-1</f>
        <v>-7418</v>
      </c>
      <c r="G71" s="18">
        <f>Historical!G50*-1</f>
        <v>-5402</v>
      </c>
      <c r="H71" s="18">
        <f>Historical!H50*-1</f>
        <v>-5556</v>
      </c>
      <c r="I71" s="18">
        <f>Historical!I50*-1</f>
        <v>-5980</v>
      </c>
      <c r="J71" s="18">
        <f>Historical!J50*-1</f>
        <v>-6722</v>
      </c>
      <c r="K71" s="18">
        <f>Historical!K50*-1</f>
        <v>-5768</v>
      </c>
      <c r="L71" s="18">
        <f>Historical!L50*-1</f>
        <v>-7027</v>
      </c>
      <c r="M71" s="18">
        <f>Historical!M50*-1</f>
        <v>-6687</v>
      </c>
      <c r="N71" s="18">
        <f>Historical!N50*-1</f>
        <v>-6300</v>
      </c>
      <c r="O71" s="18">
        <f>Historical!O50*-1</f>
        <v>-6764</v>
      </c>
      <c r="P71" s="18">
        <f>O71*(1+P$24)</f>
        <v>-6913.4161256243478</v>
      </c>
      <c r="Q71" s="18">
        <f t="shared" ref="Q71:U71" si="60">P71*(1+Q$24)</f>
        <v>-7049.7159391713676</v>
      </c>
      <c r="R71" s="18">
        <f t="shared" si="60"/>
        <v>-7188.7220638996723</v>
      </c>
      <c r="S71" s="18">
        <f t="shared" si="60"/>
        <v>-7330.4884291819917</v>
      </c>
      <c r="T71" s="18">
        <f t="shared" si="60"/>
        <v>-7475.0700410100017</v>
      </c>
      <c r="U71" s="18">
        <f t="shared" si="60"/>
        <v>-7549.8207414201015</v>
      </c>
      <c r="W71" s="29">
        <f t="shared" si="44"/>
        <v>-1.020260205451462E-2</v>
      </c>
      <c r="X71" s="29">
        <f t="shared" si="45"/>
        <v>-1.2634651109362793E-2</v>
      </c>
      <c r="Y71" s="29">
        <f t="shared" si="46"/>
        <v>2.0192986291499571E-2</v>
      </c>
    </row>
    <row r="72" spans="3:27" x14ac:dyDescent="0.2">
      <c r="C72" s="8" t="s">
        <v>165</v>
      </c>
      <c r="E72" t="s">
        <v>65</v>
      </c>
      <c r="F72" s="18">
        <f>Historical!F51*-1</f>
        <v>-31170</v>
      </c>
      <c r="G72" s="18">
        <f>Historical!G51*-1</f>
        <v>-36421</v>
      </c>
      <c r="H72" s="18">
        <f>Historical!H51*-1</f>
        <v>-30474</v>
      </c>
      <c r="I72" s="18">
        <f>Historical!I51*-1</f>
        <v>-26805</v>
      </c>
      <c r="J72" s="18">
        <f>Historical!J51*-1</f>
        <v>-24828</v>
      </c>
      <c r="K72" s="18">
        <f>Historical!K51*-1</f>
        <v>-27048</v>
      </c>
      <c r="L72" s="18">
        <f>Historical!L51*-1</f>
        <v>-20983</v>
      </c>
      <c r="M72" s="18">
        <f>Historical!M51*-1</f>
        <v>-16428</v>
      </c>
      <c r="N72" s="18">
        <f>Historical!N51*-1</f>
        <v>-22345</v>
      </c>
      <c r="O72" s="18">
        <f>Historical!O51*-1</f>
        <v>-20718</v>
      </c>
      <c r="P72" s="18">
        <f t="shared" ref="P72:U75" si="61">O72*(1+P$24)</f>
        <v>-21175.658676919757</v>
      </c>
      <c r="Q72" s="18">
        <f t="shared" si="61"/>
        <v>-21593.142345912533</v>
      </c>
      <c r="R72" s="18">
        <f t="shared" si="61"/>
        <v>-22018.915393239709</v>
      </c>
      <c r="S72" s="18">
        <f t="shared" si="61"/>
        <v>-22453.143003517518</v>
      </c>
      <c r="T72" s="18">
        <f t="shared" si="61"/>
        <v>-22895.993659025014</v>
      </c>
      <c r="U72" s="18">
        <f t="shared" si="61"/>
        <v>-23124.953595615265</v>
      </c>
      <c r="W72" s="29">
        <f t="shared" si="44"/>
        <v>-4.4369254070172226E-2</v>
      </c>
      <c r="X72" s="29">
        <f t="shared" si="45"/>
        <v>-4.2276045591143063E-3</v>
      </c>
      <c r="Y72" s="29">
        <f t="shared" si="46"/>
        <v>2.0192986291499571E-2</v>
      </c>
    </row>
    <row r="73" spans="3:27" x14ac:dyDescent="0.2">
      <c r="C73" s="8" t="s">
        <v>165</v>
      </c>
      <c r="E73" t="s">
        <v>67</v>
      </c>
      <c r="F73" s="18">
        <f>Historical!F52*-1</f>
        <v>-1282</v>
      </c>
      <c r="G73" s="18">
        <f>Historical!G52*-1</f>
        <v>-1783</v>
      </c>
      <c r="H73" s="18">
        <f>Historical!H52*-1</f>
        <v>-1500</v>
      </c>
      <c r="I73" s="18">
        <f>Historical!I52*-1</f>
        <v>-1231</v>
      </c>
      <c r="J73" s="18">
        <f>Historical!J52*-1</f>
        <v>-1023</v>
      </c>
      <c r="K73" s="18">
        <f>Historical!K52*-1</f>
        <v>-1639</v>
      </c>
      <c r="L73" s="18">
        <f>Historical!L52*-1</f>
        <v>-1276</v>
      </c>
      <c r="M73" s="18">
        <f>Historical!M52*-1</f>
        <v>-2576</v>
      </c>
      <c r="N73" s="18">
        <f>Historical!N52*-1</f>
        <v>-2559</v>
      </c>
      <c r="O73" s="18">
        <f>Historical!O52*-1</f>
        <v>-2271</v>
      </c>
      <c r="P73" s="18">
        <f t="shared" si="61"/>
        <v>-2321.1661770095939</v>
      </c>
      <c r="Q73" s="18">
        <f t="shared" si="61"/>
        <v>-2366.9285774479854</v>
      </c>
      <c r="R73" s="18">
        <f t="shared" si="61"/>
        <v>-2413.5996166641266</v>
      </c>
      <c r="S73" s="18">
        <f t="shared" si="61"/>
        <v>-2461.1974013412623</v>
      </c>
      <c r="T73" s="18">
        <f t="shared" si="61"/>
        <v>-2509.7403996353801</v>
      </c>
      <c r="U73" s="18">
        <f t="shared" si="61"/>
        <v>-2534.837803631734</v>
      </c>
      <c r="W73" s="29">
        <f t="shared" si="44"/>
        <v>6.5594875351186799E-2</v>
      </c>
      <c r="X73" s="29">
        <f t="shared" si="45"/>
        <v>0.21186847090226024</v>
      </c>
      <c r="Y73" s="29">
        <f t="shared" si="46"/>
        <v>2.0192986291499349E-2</v>
      </c>
    </row>
    <row r="74" spans="3:27" x14ac:dyDescent="0.2">
      <c r="C74" s="8" t="s">
        <v>165</v>
      </c>
      <c r="E74" t="s">
        <v>66</v>
      </c>
      <c r="F74" s="18">
        <f>Historical!F53*-1</f>
        <v>-8982</v>
      </c>
      <c r="G74" s="18">
        <f>Historical!G53*-1</f>
        <v>-10146</v>
      </c>
      <c r="H74" s="18">
        <f>Historical!H53*-1</f>
        <v>-10404</v>
      </c>
      <c r="I74" s="18">
        <f>Historical!I53*-1</f>
        <v>-10248</v>
      </c>
      <c r="J74" s="18">
        <f>Historical!J53*-1</f>
        <v>-11103</v>
      </c>
      <c r="K74" s="18">
        <f>Historical!K53*-1</f>
        <v>-13995</v>
      </c>
      <c r="L74" s="18">
        <f>Historical!L53*-1</f>
        <v>-17495</v>
      </c>
      <c r="M74" s="18">
        <f>Historical!M53*-1</f>
        <v>-14443</v>
      </c>
      <c r="N74" s="18">
        <f>Historical!N53*-1</f>
        <v>-16487</v>
      </c>
      <c r="O74" s="18">
        <f>Historical!O53*-1</f>
        <v>-19095</v>
      </c>
      <c r="P74" s="18">
        <f t="shared" si="61"/>
        <v>-19516.806759136151</v>
      </c>
      <c r="Q74" s="18">
        <f t="shared" si="61"/>
        <v>-19901.585727155125</v>
      </c>
      <c r="R74" s="18">
        <f t="shared" si="61"/>
        <v>-20294.00470286284</v>
      </c>
      <c r="S74" s="18">
        <f t="shared" si="61"/>
        <v>-20694.215930696351</v>
      </c>
      <c r="T74" s="18">
        <f t="shared" si="61"/>
        <v>-21102.374694424303</v>
      </c>
      <c r="U74" s="18">
        <f t="shared" si="61"/>
        <v>-21313.398441368547</v>
      </c>
      <c r="W74" s="29">
        <f t="shared" si="44"/>
        <v>8.7411866552221218E-2</v>
      </c>
      <c r="X74" s="29">
        <f t="shared" si="45"/>
        <v>2.9600090247357214E-2</v>
      </c>
      <c r="Y74" s="29">
        <f t="shared" si="46"/>
        <v>2.0192986291499571E-2</v>
      </c>
    </row>
    <row r="75" spans="3:27" x14ac:dyDescent="0.2">
      <c r="C75" s="8" t="s">
        <v>168</v>
      </c>
      <c r="E75" t="s">
        <v>53</v>
      </c>
      <c r="F75" s="20">
        <f>Historical!F54*-1</f>
        <v>-5183</v>
      </c>
      <c r="G75" s="20">
        <f>Historical!G54*-1</f>
        <v>-5130</v>
      </c>
      <c r="H75" s="20">
        <f>Historical!H54*-1</f>
        <v>-6346</v>
      </c>
      <c r="I75" s="20">
        <f>Historical!I54*-1</f>
        <v>-7059</v>
      </c>
      <c r="J75" s="20">
        <f>Historical!J54*-1</f>
        <v>-5361</v>
      </c>
      <c r="K75" s="20">
        <f>Historical!K54*-1</f>
        <v>-4087</v>
      </c>
      <c r="L75" s="20">
        <f>Historical!L54*-1</f>
        <v>-6541</v>
      </c>
      <c r="M75" s="20">
        <f>Historical!M54*-1</f>
        <v>-6266</v>
      </c>
      <c r="N75" s="20">
        <f>Historical!N54*-1</f>
        <v>-5075</v>
      </c>
      <c r="O75" s="20">
        <f>Historical!O54*-1</f>
        <v>-4394</v>
      </c>
      <c r="P75" s="20">
        <f t="shared" si="61"/>
        <v>-4491.0630478996718</v>
      </c>
      <c r="Q75" s="20">
        <f t="shared" si="61"/>
        <v>-4579.6055347012098</v>
      </c>
      <c r="R75" s="20">
        <f t="shared" si="61"/>
        <v>-4669.9060834972133</v>
      </c>
      <c r="S75" s="20">
        <f t="shared" si="61"/>
        <v>-4761.9997276501572</v>
      </c>
      <c r="T75" s="20">
        <f t="shared" si="61"/>
        <v>-4855.9221999109905</v>
      </c>
      <c r="U75" s="20">
        <f t="shared" si="61"/>
        <v>-4904.4814219101008</v>
      </c>
      <c r="W75" s="29">
        <f t="shared" si="44"/>
        <v>-1.8182016425221659E-2</v>
      </c>
      <c r="X75" s="29">
        <f t="shared" si="45"/>
        <v>-0.12419927342788539</v>
      </c>
      <c r="Y75" s="29">
        <f t="shared" si="46"/>
        <v>2.0192986291499349E-2</v>
      </c>
    </row>
    <row r="76" spans="3:27" x14ac:dyDescent="0.2">
      <c r="E76" s="5" t="s">
        <v>60</v>
      </c>
      <c r="F76" s="19">
        <f t="shared" ref="F76" si="62">SUM(F71:F75)</f>
        <v>-54035</v>
      </c>
      <c r="G76" s="19">
        <f t="shared" ref="G76:N76" si="63">SUM(G71:G75)</f>
        <v>-58882</v>
      </c>
      <c r="H76" s="19">
        <f t="shared" si="63"/>
        <v>-54280</v>
      </c>
      <c r="I76" s="19">
        <f t="shared" si="63"/>
        <v>-51323</v>
      </c>
      <c r="J76" s="19">
        <f t="shared" si="63"/>
        <v>-49037</v>
      </c>
      <c r="K76" s="19">
        <f t="shared" si="63"/>
        <v>-52537</v>
      </c>
      <c r="L76" s="19">
        <f t="shared" si="63"/>
        <v>-53322</v>
      </c>
      <c r="M76" s="19">
        <f t="shared" si="63"/>
        <v>-46400</v>
      </c>
      <c r="N76" s="19">
        <f t="shared" si="63"/>
        <v>-52766</v>
      </c>
      <c r="O76" s="19">
        <f>SUM(O71:O75)</f>
        <v>-53242</v>
      </c>
      <c r="P76" s="19">
        <f t="shared" ref="P76:U76" si="64">SUM(P71:P75)</f>
        <v>-54418.110786589517</v>
      </c>
      <c r="Q76" s="19">
        <f t="shared" si="64"/>
        <v>-55490.978124388224</v>
      </c>
      <c r="R76" s="19">
        <f t="shared" si="64"/>
        <v>-56585.147860163561</v>
      </c>
      <c r="S76" s="19">
        <f t="shared" si="64"/>
        <v>-57701.044492387278</v>
      </c>
      <c r="T76" s="19">
        <f t="shared" si="64"/>
        <v>-58839.100994005697</v>
      </c>
      <c r="U76" s="19">
        <f t="shared" si="64"/>
        <v>-59427.49200394575</v>
      </c>
      <c r="W76" s="41">
        <f t="shared" si="44"/>
        <v>-1.6413655053590936E-3</v>
      </c>
      <c r="X76" s="41">
        <f t="shared" si="45"/>
        <v>-5.0035658754177259E-4</v>
      </c>
      <c r="Y76" s="41">
        <f t="shared" si="46"/>
        <v>2.0192986291499571E-2</v>
      </c>
    </row>
    <row r="77" spans="3:27" ht="13.5" thickBot="1" x14ac:dyDescent="0.25">
      <c r="E77" s="5" t="s">
        <v>68</v>
      </c>
      <c r="F77" s="23">
        <f t="shared" ref="F77:N77" si="65">+F76+F70</f>
        <v>-124580</v>
      </c>
      <c r="G77" s="23">
        <f t="shared" si="65"/>
        <v>-118953</v>
      </c>
      <c r="H77" s="23">
        <f t="shared" si="65"/>
        <v>-117006</v>
      </c>
      <c r="I77" s="23">
        <f t="shared" si="65"/>
        <v>-111993</v>
      </c>
      <c r="J77" s="23">
        <f t="shared" si="65"/>
        <v>-100861</v>
      </c>
      <c r="K77" s="23">
        <f t="shared" si="65"/>
        <v>-104783</v>
      </c>
      <c r="L77" s="23">
        <f t="shared" si="65"/>
        <v>-108927</v>
      </c>
      <c r="M77" s="23">
        <f t="shared" si="65"/>
        <v>-95166</v>
      </c>
      <c r="N77" s="23">
        <f t="shared" si="65"/>
        <v>-101296</v>
      </c>
      <c r="O77" s="23">
        <f>+O76+O70</f>
        <v>-102362</v>
      </c>
      <c r="P77" s="23">
        <f t="shared" ref="P77:U77" si="66">+P76+P70</f>
        <v>-103538.11078658952</v>
      </c>
      <c r="Q77" s="23">
        <f t="shared" si="66"/>
        <v>-104610.97812438823</v>
      </c>
      <c r="R77" s="23">
        <f t="shared" si="66"/>
        <v>-105705.14786016356</v>
      </c>
      <c r="S77" s="23">
        <f t="shared" si="66"/>
        <v>-106821.04449238727</v>
      </c>
      <c r="T77" s="23">
        <f t="shared" si="66"/>
        <v>-107959.1009940057</v>
      </c>
      <c r="U77" s="23">
        <f t="shared" si="66"/>
        <v>-108547.49200394575</v>
      </c>
      <c r="W77" s="41">
        <f t="shared" si="44"/>
        <v>-2.1589376514299152E-2</v>
      </c>
      <c r="X77" s="41">
        <f t="shared" si="45"/>
        <v>-2.0507593811057045E-2</v>
      </c>
      <c r="Y77" s="41">
        <f t="shared" si="46"/>
        <v>1.0704267270503998E-2</v>
      </c>
    </row>
    <row r="78" spans="3:27" x14ac:dyDescent="0.2"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U78" s="18"/>
    </row>
    <row r="79" spans="3:27" x14ac:dyDescent="0.2">
      <c r="E79" s="48" t="s">
        <v>114</v>
      </c>
      <c r="F79" s="26">
        <f>F70/F77</f>
        <v>0.56626264247872848</v>
      </c>
      <c r="G79" s="26">
        <f t="shared" ref="G79:U79" si="67">G70/G77</f>
        <v>0.50499777222936792</v>
      </c>
      <c r="H79" s="26">
        <f t="shared" si="67"/>
        <v>0.53609216621369848</v>
      </c>
      <c r="I79" s="26">
        <f t="shared" si="67"/>
        <v>0.5417302867143482</v>
      </c>
      <c r="J79" s="26">
        <f t="shared" si="67"/>
        <v>0.51381604386234525</v>
      </c>
      <c r="K79" s="26">
        <f t="shared" si="67"/>
        <v>0.49861141597396524</v>
      </c>
      <c r="L79" s="26">
        <f t="shared" si="67"/>
        <v>0.51047949544190141</v>
      </c>
      <c r="M79" s="26">
        <f t="shared" si="67"/>
        <v>0.51243091019902065</v>
      </c>
      <c r="N79" s="26">
        <f t="shared" si="67"/>
        <v>0.47909098088769547</v>
      </c>
      <c r="O79" s="26">
        <f t="shared" si="67"/>
        <v>0.47986557511576561</v>
      </c>
      <c r="P79" s="26">
        <f t="shared" si="67"/>
        <v>0.47441468293008615</v>
      </c>
      <c r="Q79" s="26">
        <f t="shared" si="67"/>
        <v>0.4695491895849937</v>
      </c>
      <c r="R79" s="26">
        <f t="shared" si="67"/>
        <v>0.4646888159598474</v>
      </c>
      <c r="S79" s="26">
        <f t="shared" si="67"/>
        <v>0.4598344851748814</v>
      </c>
      <c r="T79" s="26">
        <f t="shared" si="67"/>
        <v>0.45498711593316554</v>
      </c>
      <c r="U79" s="26">
        <f t="shared" si="67"/>
        <v>0.45252081916562814</v>
      </c>
    </row>
    <row r="80" spans="3:27" x14ac:dyDescent="0.2">
      <c r="E80" s="28" t="s">
        <v>169</v>
      </c>
      <c r="F80" s="29" t="s">
        <v>107</v>
      </c>
      <c r="G80" s="29">
        <f>G16/AVERAGE(F72:G72)</f>
        <v>3.4028199020579665E-2</v>
      </c>
      <c r="H80" s="29">
        <f t="shared" ref="H80:U80" si="68">H16/AVERAGE(G72:H72)</f>
        <v>4.6640257119366174E-2</v>
      </c>
      <c r="I80" s="29">
        <f t="shared" si="68"/>
        <v>5.471464236456642E-2</v>
      </c>
      <c r="J80" s="29">
        <f t="shared" si="68"/>
        <v>5.8489725563108864E-2</v>
      </c>
      <c r="K80" s="29">
        <f t="shared" si="68"/>
        <v>4.8654483768987587E-2</v>
      </c>
      <c r="L80" s="29">
        <f t="shared" si="68"/>
        <v>5.7379609002519205E-2</v>
      </c>
      <c r="M80" s="29">
        <f t="shared" si="68"/>
        <v>5.6133222848894708E-2</v>
      </c>
      <c r="N80" s="29">
        <f t="shared" si="68"/>
        <v>0.10625951048409976</v>
      </c>
      <c r="O80" s="29">
        <f t="shared" si="68"/>
        <v>0.10208299468220979</v>
      </c>
      <c r="P80" s="29">
        <f t="shared" si="68"/>
        <v>0</v>
      </c>
      <c r="Q80" s="29">
        <f t="shared" si="68"/>
        <v>0</v>
      </c>
      <c r="R80" s="29">
        <f t="shared" si="68"/>
        <v>0</v>
      </c>
      <c r="S80" s="29">
        <f t="shared" si="68"/>
        <v>0</v>
      </c>
      <c r="T80" s="29">
        <f t="shared" si="68"/>
        <v>0</v>
      </c>
      <c r="U80" s="29">
        <f t="shared" si="68"/>
        <v>0</v>
      </c>
    </row>
    <row r="81" spans="3:27" x14ac:dyDescent="0.2">
      <c r="E81" s="31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</row>
    <row r="82" spans="3:27" x14ac:dyDescent="0.2"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U82" s="18"/>
    </row>
    <row r="83" spans="3:27" x14ac:dyDescent="0.2">
      <c r="C83" s="8" t="s">
        <v>168</v>
      </c>
      <c r="E83" s="70" t="s">
        <v>166</v>
      </c>
      <c r="F83" s="71">
        <f>SUMIFS(F$58:F$77,$C$58:$C$77,$C83)</f>
        <v>-2985</v>
      </c>
      <c r="G83" s="71">
        <f t="shared" ref="G83:U84" si="69">SUMIFS(G$58:G$77,$C$58:$C$77,$C83)</f>
        <v>-3137</v>
      </c>
      <c r="H83" s="71">
        <f t="shared" si="69"/>
        <v>-4999</v>
      </c>
      <c r="I83" s="71">
        <f t="shared" si="69"/>
        <v>6220</v>
      </c>
      <c r="J83" s="71">
        <f t="shared" si="69"/>
        <v>-4323</v>
      </c>
      <c r="K83" s="71">
        <f t="shared" si="69"/>
        <v>-1810</v>
      </c>
      <c r="L83" s="71">
        <f t="shared" si="69"/>
        <v>-2121</v>
      </c>
      <c r="M83" s="71">
        <f t="shared" si="69"/>
        <v>-1525</v>
      </c>
      <c r="N83" s="71">
        <f t="shared" si="69"/>
        <v>-452</v>
      </c>
      <c r="O83" s="71">
        <f t="shared" si="69"/>
        <v>679</v>
      </c>
      <c r="P83" s="71">
        <f t="shared" si="69"/>
        <v>693.99904631858954</v>
      </c>
      <c r="Q83" s="71">
        <f t="shared" si="69"/>
        <v>707.68141967731481</v>
      </c>
      <c r="R83" s="71">
        <f t="shared" si="69"/>
        <v>721.63546442754068</v>
      </c>
      <c r="S83" s="71">
        <f t="shared" si="69"/>
        <v>735.866594236335</v>
      </c>
      <c r="T83" s="71">
        <f t="shared" si="69"/>
        <v>750.38033084650851</v>
      </c>
      <c r="U83" s="72">
        <f t="shared" si="69"/>
        <v>757.88413415497689</v>
      </c>
    </row>
    <row r="84" spans="3:27" x14ac:dyDescent="0.2">
      <c r="C84" s="8" t="s">
        <v>165</v>
      </c>
      <c r="E84" s="31" t="s">
        <v>167</v>
      </c>
      <c r="F84" s="20">
        <f>SUMIFS(F$58:F$77,$C$58:$C$77,$C84)</f>
        <v>-41434</v>
      </c>
      <c r="G84" s="20">
        <f t="shared" si="69"/>
        <v>-48350</v>
      </c>
      <c r="H84" s="20">
        <f t="shared" si="69"/>
        <v>-42378</v>
      </c>
      <c r="I84" s="20">
        <f t="shared" si="69"/>
        <v>-38284</v>
      </c>
      <c r="J84" s="20">
        <f t="shared" si="69"/>
        <v>-36954</v>
      </c>
      <c r="K84" s="20">
        <f t="shared" si="69"/>
        <v>-42682</v>
      </c>
      <c r="L84" s="20">
        <f t="shared" si="69"/>
        <v>-39754</v>
      </c>
      <c r="M84" s="20">
        <f t="shared" si="69"/>
        <v>-33447</v>
      </c>
      <c r="N84" s="20">
        <f t="shared" si="69"/>
        <v>-41391</v>
      </c>
      <c r="O84" s="20">
        <f t="shared" si="69"/>
        <v>-42084</v>
      </c>
      <c r="P84" s="20">
        <f t="shared" si="69"/>
        <v>-43013.631613065503</v>
      </c>
      <c r="Q84" s="20">
        <f t="shared" si="69"/>
        <v>-43861.656650515644</v>
      </c>
      <c r="R84" s="20">
        <f t="shared" si="69"/>
        <v>-44726.519712766676</v>
      </c>
      <c r="S84" s="20">
        <f t="shared" si="69"/>
        <v>-45608.556335555128</v>
      </c>
      <c r="T84" s="20">
        <f t="shared" si="69"/>
        <v>-46508.1087530847</v>
      </c>
      <c r="U84" s="73">
        <f t="shared" si="69"/>
        <v>-46973.189840615545</v>
      </c>
    </row>
    <row r="85" spans="3:27" x14ac:dyDescent="0.2"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</row>
    <row r="86" spans="3:27" x14ac:dyDescent="0.2">
      <c r="E86" s="5" t="str">
        <f>Input!$E$8&amp;" - CAPEX, D&amp;A"</f>
        <v>BHP - CAPEX, D&amp;A</v>
      </c>
      <c r="O86" s="9"/>
    </row>
    <row r="87" spans="3:27" x14ac:dyDescent="0.2">
      <c r="E87" s="10" t="str">
        <f>+Input!$E$14</f>
        <v>USDmn</v>
      </c>
      <c r="F87" s="24" t="s">
        <v>110</v>
      </c>
      <c r="G87" s="24" t="s">
        <v>41</v>
      </c>
      <c r="H87" s="24" t="s">
        <v>42</v>
      </c>
      <c r="I87" s="24" t="s">
        <v>43</v>
      </c>
      <c r="J87" s="24" t="s">
        <v>44</v>
      </c>
      <c r="K87" s="24" t="s">
        <v>45</v>
      </c>
      <c r="L87" s="24" t="s">
        <v>46</v>
      </c>
      <c r="M87" s="24" t="s">
        <v>47</v>
      </c>
      <c r="N87" s="24" t="s">
        <v>48</v>
      </c>
      <c r="O87" s="24" t="s">
        <v>49</v>
      </c>
      <c r="P87" s="68">
        <v>45809</v>
      </c>
      <c r="Q87" s="68">
        <v>46174</v>
      </c>
      <c r="R87" s="68">
        <v>46539</v>
      </c>
      <c r="S87" s="68">
        <v>46905</v>
      </c>
      <c r="T87" s="68">
        <v>47270</v>
      </c>
      <c r="U87" s="47" t="s">
        <v>126</v>
      </c>
    </row>
    <row r="88" spans="3:27" ht="3" customHeight="1" x14ac:dyDescent="0.2"/>
    <row r="89" spans="3:27" x14ac:dyDescent="0.2">
      <c r="E89" s="5" t="s">
        <v>170</v>
      </c>
      <c r="F89" s="74" t="s">
        <v>107</v>
      </c>
      <c r="G89" s="19">
        <f t="shared" ref="G89:U89" si="70">F93</f>
        <v>94072</v>
      </c>
      <c r="H89" s="19">
        <f t="shared" si="70"/>
        <v>83975</v>
      </c>
      <c r="I89" s="19">
        <f t="shared" si="70"/>
        <v>80497</v>
      </c>
      <c r="J89" s="19">
        <f t="shared" si="70"/>
        <v>67182</v>
      </c>
      <c r="K89" s="19">
        <f t="shared" si="70"/>
        <v>68041</v>
      </c>
      <c r="L89" s="19">
        <f t="shared" si="70"/>
        <v>72362</v>
      </c>
      <c r="M89" s="19">
        <f t="shared" si="70"/>
        <v>73813</v>
      </c>
      <c r="N89" s="19">
        <f t="shared" si="70"/>
        <v>61295</v>
      </c>
      <c r="O89" s="19">
        <f t="shared" si="70"/>
        <v>71818</v>
      </c>
      <c r="P89" s="19">
        <f t="shared" si="70"/>
        <v>71629</v>
      </c>
      <c r="Q89" s="19">
        <f t="shared" si="70"/>
        <v>75340.162879776122</v>
      </c>
      <c r="R89" s="19">
        <f t="shared" si="70"/>
        <v>78956.466928034453</v>
      </c>
      <c r="S89" s="19">
        <f t="shared" si="70"/>
        <v>82488.561693178257</v>
      </c>
      <c r="T89" s="19">
        <f t="shared" si="70"/>
        <v>85946.378685692922</v>
      </c>
      <c r="U89" s="19">
        <f t="shared" si="70"/>
        <v>89339.186104323264</v>
      </c>
    </row>
    <row r="90" spans="3:27" x14ac:dyDescent="0.2">
      <c r="E90" s="13" t="s">
        <v>172</v>
      </c>
      <c r="F90" s="38">
        <f>-Historical!F71</f>
        <v>13154</v>
      </c>
      <c r="G90" s="38">
        <f>-Historical!G71</f>
        <v>7245</v>
      </c>
      <c r="H90" s="38">
        <f>-Historical!H71</f>
        <v>4161</v>
      </c>
      <c r="I90" s="38">
        <f>-Historical!I71</f>
        <v>5921</v>
      </c>
      <c r="J90" s="38">
        <f>-Historical!J71</f>
        <v>-2607</v>
      </c>
      <c r="K90" s="38">
        <f>-Historical!K71</f>
        <v>7616</v>
      </c>
      <c r="L90" s="38">
        <f>-Historical!L71</f>
        <v>7845</v>
      </c>
      <c r="M90" s="38">
        <f>-Historical!M71</f>
        <v>6959</v>
      </c>
      <c r="N90" s="38">
        <f>-Historical!N71</f>
        <v>13065</v>
      </c>
      <c r="O90" s="38">
        <f>-Historical!O71</f>
        <v>8762</v>
      </c>
      <c r="P90" s="75">
        <f>AVERAGE(K90:O90)*(1+P95)</f>
        <v>9026.387999999999</v>
      </c>
      <c r="Q90" s="38">
        <f>P90*(1+Q95)</f>
        <v>9206.9157599999999</v>
      </c>
      <c r="R90" s="38">
        <f t="shared" ref="R90:T90" si="71">Q90*(1+R95)</f>
        <v>9391.0540751999997</v>
      </c>
      <c r="S90" s="38">
        <f t="shared" si="71"/>
        <v>9578.8751567039999</v>
      </c>
      <c r="T90" s="38">
        <f t="shared" si="71"/>
        <v>9770.4526598380799</v>
      </c>
      <c r="U90" s="38">
        <f>T90*(1+B3)</f>
        <v>9868.1571864364614</v>
      </c>
      <c r="AA90" s="35" t="s">
        <v>175</v>
      </c>
    </row>
    <row r="91" spans="3:27" x14ac:dyDescent="0.2">
      <c r="E91" s="13" t="s">
        <v>173</v>
      </c>
      <c r="F91" s="38">
        <f>Historical!F100</f>
        <v>-9158</v>
      </c>
      <c r="G91" s="38">
        <f>Historical!G100</f>
        <v>-6210</v>
      </c>
      <c r="H91" s="38">
        <f>Historical!H100</f>
        <v>-6184</v>
      </c>
      <c r="I91" s="38">
        <f>Historical!I100</f>
        <v>-6288</v>
      </c>
      <c r="J91" s="38">
        <f>Historical!J100</f>
        <v>-5829</v>
      </c>
      <c r="K91" s="38">
        <f>Historical!K100</f>
        <v>-6112</v>
      </c>
      <c r="L91" s="38">
        <f>Historical!L100</f>
        <v>-6824</v>
      </c>
      <c r="M91" s="38">
        <f>Historical!M100</f>
        <v>-5683</v>
      </c>
      <c r="N91" s="38">
        <f>Historical!N100</f>
        <v>-5061</v>
      </c>
      <c r="O91" s="38">
        <f>Historical!O100</f>
        <v>-5295</v>
      </c>
      <c r="P91" s="38">
        <f>O93*P96*-1</f>
        <v>-5315.2251202238767</v>
      </c>
      <c r="Q91" s="38">
        <f t="shared" ref="Q91:U91" si="72">P93*Q96*-1</f>
        <v>-5590.6117117416752</v>
      </c>
      <c r="R91" s="38">
        <f t="shared" si="72"/>
        <v>-5858.9593100561851</v>
      </c>
      <c r="S91" s="38">
        <f t="shared" si="72"/>
        <v>-6121.0581641893377</v>
      </c>
      <c r="T91" s="38">
        <f t="shared" si="72"/>
        <v>-6377.6452412077369</v>
      </c>
      <c r="U91" s="38">
        <f t="shared" si="72"/>
        <v>-6629.4082871749561</v>
      </c>
    </row>
    <row r="92" spans="3:27" x14ac:dyDescent="0.2">
      <c r="E92" s="13" t="s">
        <v>174</v>
      </c>
      <c r="F92" s="81" t="s">
        <v>107</v>
      </c>
      <c r="G92" s="20">
        <f>G93-G89-G90-G91</f>
        <v>-11132</v>
      </c>
      <c r="H92" s="20">
        <f t="shared" ref="H92:O92" si="73">H93-H89-H90-H91</f>
        <v>-1455</v>
      </c>
      <c r="I92" s="20">
        <f t="shared" si="73"/>
        <v>-12948</v>
      </c>
      <c r="J92" s="20">
        <f t="shared" si="73"/>
        <v>9295</v>
      </c>
      <c r="K92" s="20">
        <f t="shared" si="73"/>
        <v>2817</v>
      </c>
      <c r="L92" s="20">
        <f t="shared" si="73"/>
        <v>430</v>
      </c>
      <c r="M92" s="20">
        <f t="shared" si="73"/>
        <v>-13794</v>
      </c>
      <c r="N92" s="20">
        <f t="shared" si="73"/>
        <v>2519</v>
      </c>
      <c r="O92" s="20">
        <f t="shared" si="73"/>
        <v>-3656</v>
      </c>
      <c r="P92" s="57"/>
      <c r="Q92" s="57"/>
      <c r="R92" s="57"/>
      <c r="S92" s="57"/>
      <c r="T92" s="57"/>
      <c r="U92" s="57"/>
    </row>
    <row r="93" spans="3:27" x14ac:dyDescent="0.2">
      <c r="E93" s="5" t="s">
        <v>171</v>
      </c>
      <c r="F93" s="19">
        <f>F58</f>
        <v>94072</v>
      </c>
      <c r="G93" s="19">
        <f t="shared" ref="G93:O93" si="74">G58</f>
        <v>83975</v>
      </c>
      <c r="H93" s="19">
        <f t="shared" si="74"/>
        <v>80497</v>
      </c>
      <c r="I93" s="19">
        <f t="shared" si="74"/>
        <v>67182</v>
      </c>
      <c r="J93" s="19">
        <f t="shared" si="74"/>
        <v>68041</v>
      </c>
      <c r="K93" s="19">
        <f t="shared" si="74"/>
        <v>72362</v>
      </c>
      <c r="L93" s="19">
        <f t="shared" si="74"/>
        <v>73813</v>
      </c>
      <c r="M93" s="19">
        <f t="shared" si="74"/>
        <v>61295</v>
      </c>
      <c r="N93" s="19">
        <f t="shared" si="74"/>
        <v>71818</v>
      </c>
      <c r="O93" s="19">
        <f t="shared" si="74"/>
        <v>71629</v>
      </c>
      <c r="P93" s="19">
        <f>SUM(P89:P92)</f>
        <v>75340.162879776122</v>
      </c>
      <c r="Q93" s="19">
        <f t="shared" ref="Q93:U93" si="75">SUM(Q89:Q92)</f>
        <v>78956.466928034453</v>
      </c>
      <c r="R93" s="19">
        <f t="shared" si="75"/>
        <v>82488.561693178257</v>
      </c>
      <c r="S93" s="19">
        <f t="shared" si="75"/>
        <v>85946.378685692922</v>
      </c>
      <c r="T93" s="19">
        <f t="shared" si="75"/>
        <v>89339.186104323264</v>
      </c>
      <c r="U93" s="19">
        <f t="shared" si="75"/>
        <v>92577.935003584775</v>
      </c>
    </row>
    <row r="94" spans="3:27" x14ac:dyDescent="0.2"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</row>
    <row r="95" spans="3:27" x14ac:dyDescent="0.2">
      <c r="E95" s="76" t="s">
        <v>176</v>
      </c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26">
        <f>Input!F19</f>
        <v>0.02</v>
      </c>
      <c r="Q95" s="26">
        <f>Input!G19</f>
        <v>0.02</v>
      </c>
      <c r="R95" s="26">
        <f>Input!H19</f>
        <v>0.02</v>
      </c>
      <c r="S95" s="26">
        <f>Input!I19</f>
        <v>0.02</v>
      </c>
      <c r="T95" s="26">
        <f>Input!J19</f>
        <v>0.02</v>
      </c>
      <c r="U95" s="78"/>
    </row>
    <row r="96" spans="3:27" x14ac:dyDescent="0.2">
      <c r="E96" s="79" t="s">
        <v>177</v>
      </c>
      <c r="F96" s="32">
        <f>F91/F60*-1</f>
        <v>8.4630952490966721E-2</v>
      </c>
      <c r="G96" s="32">
        <f t="shared" ref="G96:O96" si="76">G91/G60*-1</f>
        <v>6.1339997431819754E-2</v>
      </c>
      <c r="H96" s="32">
        <f t="shared" si="76"/>
        <v>6.4450234497133926E-2</v>
      </c>
      <c r="I96" s="32">
        <f t="shared" si="76"/>
        <v>8.1807891963623591E-2</v>
      </c>
      <c r="J96" s="32">
        <f t="shared" si="76"/>
        <v>7.5224550898203596E-2</v>
      </c>
      <c r="K96" s="32">
        <f t="shared" si="76"/>
        <v>7.3362780871903205E-2</v>
      </c>
      <c r="L96" s="32">
        <f t="shared" si="76"/>
        <v>8.2982707882384418E-2</v>
      </c>
      <c r="M96" s="32">
        <f t="shared" si="76"/>
        <v>8.5456076508977172E-2</v>
      </c>
      <c r="N96" s="32">
        <f t="shared" si="76"/>
        <v>6.4930399640772338E-2</v>
      </c>
      <c r="O96" s="32">
        <f t="shared" si="76"/>
        <v>6.786373423561981E-2</v>
      </c>
      <c r="P96" s="32">
        <f>AVERAGE(F96:O96)</f>
        <v>7.4204932642140425E-2</v>
      </c>
      <c r="Q96" s="32">
        <f>P96</f>
        <v>7.4204932642140425E-2</v>
      </c>
      <c r="R96" s="32">
        <f t="shared" ref="R96:U96" si="77">Q96</f>
        <v>7.4204932642140425E-2</v>
      </c>
      <c r="S96" s="32">
        <f t="shared" si="77"/>
        <v>7.4204932642140425E-2</v>
      </c>
      <c r="T96" s="32">
        <f t="shared" si="77"/>
        <v>7.4204932642140425E-2</v>
      </c>
      <c r="U96" s="33">
        <f t="shared" si="77"/>
        <v>7.4204932642140425E-2</v>
      </c>
      <c r="AA96" s="35" t="s">
        <v>178</v>
      </c>
    </row>
    <row r="97" spans="6:21" x14ac:dyDescent="0.2"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</row>
    <row r="98" spans="6:21" x14ac:dyDescent="0.2"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</row>
    <row r="99" spans="6:21" x14ac:dyDescent="0.2"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</row>
    <row r="100" spans="6:21" x14ac:dyDescent="0.2"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</row>
    <row r="101" spans="6:21" x14ac:dyDescent="0.2"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 spans="6:21" x14ac:dyDescent="0.2"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</row>
    <row r="103" spans="6:21" x14ac:dyDescent="0.2"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 spans="6:21" x14ac:dyDescent="0.2"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</row>
    <row r="105" spans="6:21" x14ac:dyDescent="0.2"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</row>
    <row r="106" spans="6:21" x14ac:dyDescent="0.2"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</row>
    <row r="107" spans="6:21" x14ac:dyDescent="0.2"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</row>
    <row r="108" spans="6:21" x14ac:dyDescent="0.2"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</row>
    <row r="109" spans="6:21" x14ac:dyDescent="0.2"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</row>
    <row r="110" spans="6:21" x14ac:dyDescent="0.2"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</row>
    <row r="111" spans="6:21" x14ac:dyDescent="0.2"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</row>
    <row r="112" spans="6:21" x14ac:dyDescent="0.2"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</row>
    <row r="113" spans="6:21" x14ac:dyDescent="0.2"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</row>
    <row r="114" spans="6:21" x14ac:dyDescent="0.2"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</row>
    <row r="115" spans="6:21" x14ac:dyDescent="0.2"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</row>
    <row r="116" spans="6:21" x14ac:dyDescent="0.2"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</row>
    <row r="117" spans="6:21" x14ac:dyDescent="0.2"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</row>
    <row r="118" spans="6:21" x14ac:dyDescent="0.2"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</row>
    <row r="119" spans="6:21" x14ac:dyDescent="0.2"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</row>
    <row r="120" spans="6:21" x14ac:dyDescent="0.2"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</row>
    <row r="121" spans="6:21" x14ac:dyDescent="0.2"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</row>
    <row r="122" spans="6:21" x14ac:dyDescent="0.2"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</row>
    <row r="123" spans="6:21" x14ac:dyDescent="0.2"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</row>
    <row r="124" spans="6:21" x14ac:dyDescent="0.2"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</row>
    <row r="125" spans="6:21" x14ac:dyDescent="0.2"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</row>
    <row r="126" spans="6:21" x14ac:dyDescent="0.2"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</row>
    <row r="127" spans="6:21" x14ac:dyDescent="0.2"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</row>
    <row r="128" spans="6:21" x14ac:dyDescent="0.2"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</row>
    <row r="129" spans="6:21" x14ac:dyDescent="0.2"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</row>
    <row r="130" spans="6:21" x14ac:dyDescent="0.2"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</row>
    <row r="131" spans="6:21" x14ac:dyDescent="0.2"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</row>
    <row r="132" spans="6:21" x14ac:dyDescent="0.2"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</row>
    <row r="133" spans="6:21" x14ac:dyDescent="0.2"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</row>
    <row r="134" spans="6:21" x14ac:dyDescent="0.2"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</row>
    <row r="135" spans="6:21" x14ac:dyDescent="0.2"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</row>
    <row r="136" spans="6:21" x14ac:dyDescent="0.2"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</row>
    <row r="137" spans="6:21" x14ac:dyDescent="0.2"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</row>
    <row r="138" spans="6:21" x14ac:dyDescent="0.2"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</row>
    <row r="139" spans="6:21" x14ac:dyDescent="0.2"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</row>
    <row r="140" spans="6:21" x14ac:dyDescent="0.2"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</row>
    <row r="141" spans="6:21" x14ac:dyDescent="0.2"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</row>
    <row r="142" spans="6:21" x14ac:dyDescent="0.2"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</row>
    <row r="143" spans="6:21" x14ac:dyDescent="0.2"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</row>
    <row r="144" spans="6:21" x14ac:dyDescent="0.2"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</row>
    <row r="145" spans="6:21" x14ac:dyDescent="0.2"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</row>
    <row r="146" spans="6:21" x14ac:dyDescent="0.2"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</row>
    <row r="147" spans="6:21" x14ac:dyDescent="0.2"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</row>
    <row r="148" spans="6:21" x14ac:dyDescent="0.2"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</row>
    <row r="149" spans="6:21" x14ac:dyDescent="0.2"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</row>
    <row r="150" spans="6:21" x14ac:dyDescent="0.2"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</row>
    <row r="151" spans="6:21" x14ac:dyDescent="0.2"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</row>
    <row r="152" spans="6:21" x14ac:dyDescent="0.2"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</row>
    <row r="153" spans="6:21" x14ac:dyDescent="0.2"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</row>
    <row r="154" spans="6:21" x14ac:dyDescent="0.2"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</row>
    <row r="155" spans="6:21" x14ac:dyDescent="0.2"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</row>
    <row r="156" spans="6:21" x14ac:dyDescent="0.2"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</row>
    <row r="157" spans="6:21" x14ac:dyDescent="0.2"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</row>
    <row r="158" spans="6:21" x14ac:dyDescent="0.2"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</row>
    <row r="159" spans="6:21" x14ac:dyDescent="0.2"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</row>
    <row r="160" spans="6:21" x14ac:dyDescent="0.2"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</row>
    <row r="161" spans="6:21" x14ac:dyDescent="0.2"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</row>
    <row r="162" spans="6:21" x14ac:dyDescent="0.2"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</row>
    <row r="163" spans="6:21" x14ac:dyDescent="0.2"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</row>
    <row r="164" spans="6:21" x14ac:dyDescent="0.2"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</row>
    <row r="165" spans="6:21" x14ac:dyDescent="0.2"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</row>
    <row r="166" spans="6:21" x14ac:dyDescent="0.2"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</row>
    <row r="167" spans="6:21" x14ac:dyDescent="0.2"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</row>
    <row r="168" spans="6:21" x14ac:dyDescent="0.2"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</row>
    <row r="169" spans="6:21" x14ac:dyDescent="0.2"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</row>
    <row r="170" spans="6:21" x14ac:dyDescent="0.2"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</row>
    <row r="171" spans="6:21" x14ac:dyDescent="0.2"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</row>
    <row r="172" spans="6:21" x14ac:dyDescent="0.2"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</row>
    <row r="173" spans="6:21" x14ac:dyDescent="0.2"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</row>
    <row r="174" spans="6:21" x14ac:dyDescent="0.2"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</row>
    <row r="175" spans="6:21" x14ac:dyDescent="0.2"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</row>
    <row r="176" spans="6:21" x14ac:dyDescent="0.2"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</row>
    <row r="177" spans="6:21" x14ac:dyDescent="0.2"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</row>
    <row r="178" spans="6:21" x14ac:dyDescent="0.2"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</row>
    <row r="179" spans="6:21" x14ac:dyDescent="0.2"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</row>
    <row r="180" spans="6:21" x14ac:dyDescent="0.2"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</row>
    <row r="181" spans="6:21" x14ac:dyDescent="0.2"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</row>
    <row r="182" spans="6:21" x14ac:dyDescent="0.2"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</row>
    <row r="183" spans="6:21" x14ac:dyDescent="0.2"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</row>
    <row r="184" spans="6:21" x14ac:dyDescent="0.2"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</row>
    <row r="185" spans="6:21" x14ac:dyDescent="0.2"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</row>
    <row r="186" spans="6:21" x14ac:dyDescent="0.2"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</row>
    <row r="187" spans="6:21" x14ac:dyDescent="0.2"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</row>
    <row r="188" spans="6:21" x14ac:dyDescent="0.2"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</row>
    <row r="189" spans="6:21" x14ac:dyDescent="0.2"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</row>
    <row r="190" spans="6:21" x14ac:dyDescent="0.2"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</row>
    <row r="191" spans="6:21" x14ac:dyDescent="0.2"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</row>
    <row r="192" spans="6:21" x14ac:dyDescent="0.2"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</row>
    <row r="193" spans="6:21" x14ac:dyDescent="0.2"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</row>
    <row r="194" spans="6:21" x14ac:dyDescent="0.2"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</row>
    <row r="195" spans="6:21" x14ac:dyDescent="0.2"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</row>
    <row r="196" spans="6:21" x14ac:dyDescent="0.2"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</row>
    <row r="197" spans="6:21" x14ac:dyDescent="0.2"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</row>
    <row r="198" spans="6:21" x14ac:dyDescent="0.2"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</row>
    <row r="199" spans="6:21" x14ac:dyDescent="0.2"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</row>
    <row r="200" spans="6:21" x14ac:dyDescent="0.2"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</row>
    <row r="201" spans="6:21" x14ac:dyDescent="0.2"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</row>
    <row r="202" spans="6:21" x14ac:dyDescent="0.2"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</row>
    <row r="203" spans="6:21" x14ac:dyDescent="0.2"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</row>
    <row r="204" spans="6:21" x14ac:dyDescent="0.2"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</row>
    <row r="205" spans="6:21" x14ac:dyDescent="0.2"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</row>
    <row r="206" spans="6:21" x14ac:dyDescent="0.2"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</row>
    <row r="207" spans="6:21" x14ac:dyDescent="0.2"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</row>
    <row r="208" spans="6:21" x14ac:dyDescent="0.2"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</row>
    <row r="209" spans="6:21" x14ac:dyDescent="0.2"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</row>
    <row r="210" spans="6:21" x14ac:dyDescent="0.2"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</row>
    <row r="211" spans="6:21" x14ac:dyDescent="0.2"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</row>
    <row r="212" spans="6:21" x14ac:dyDescent="0.2"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</row>
    <row r="213" spans="6:21" x14ac:dyDescent="0.2"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</row>
    <row r="214" spans="6:21" x14ac:dyDescent="0.2"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</row>
    <row r="215" spans="6:21" x14ac:dyDescent="0.2"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</row>
    <row r="216" spans="6:21" x14ac:dyDescent="0.2"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</row>
    <row r="217" spans="6:21" x14ac:dyDescent="0.2"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</row>
    <row r="218" spans="6:21" x14ac:dyDescent="0.2"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</row>
    <row r="219" spans="6:21" x14ac:dyDescent="0.2"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</row>
    <row r="220" spans="6:21" x14ac:dyDescent="0.2"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</row>
    <row r="221" spans="6:21" x14ac:dyDescent="0.2"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</row>
    <row r="222" spans="6:21" x14ac:dyDescent="0.2"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</row>
    <row r="223" spans="6:21" x14ac:dyDescent="0.2"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</row>
    <row r="224" spans="6:21" x14ac:dyDescent="0.2"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</row>
    <row r="225" spans="6:21" x14ac:dyDescent="0.2"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</row>
    <row r="226" spans="6:21" x14ac:dyDescent="0.2"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</row>
    <row r="227" spans="6:21" x14ac:dyDescent="0.2"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</row>
    <row r="228" spans="6:21" x14ac:dyDescent="0.2"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</row>
    <row r="229" spans="6:21" x14ac:dyDescent="0.2"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</row>
    <row r="230" spans="6:21" x14ac:dyDescent="0.2"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</row>
    <row r="231" spans="6:21" x14ac:dyDescent="0.2"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</row>
    <row r="232" spans="6:21" x14ac:dyDescent="0.2"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</row>
    <row r="233" spans="6:21" x14ac:dyDescent="0.2"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</row>
    <row r="234" spans="6:21" x14ac:dyDescent="0.2"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</row>
    <row r="235" spans="6:21" x14ac:dyDescent="0.2"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</row>
    <row r="236" spans="6:21" x14ac:dyDescent="0.2"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</row>
    <row r="237" spans="6:21" x14ac:dyDescent="0.2"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</row>
    <row r="238" spans="6:21" x14ac:dyDescent="0.2"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</row>
    <row r="239" spans="6:21" x14ac:dyDescent="0.2"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</row>
    <row r="240" spans="6:21" x14ac:dyDescent="0.2"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</row>
    <row r="241" spans="6:21" x14ac:dyDescent="0.2"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</row>
    <row r="242" spans="6:21" x14ac:dyDescent="0.2"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</row>
    <row r="243" spans="6:21" x14ac:dyDescent="0.2"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</row>
    <row r="244" spans="6:21" x14ac:dyDescent="0.2"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</row>
    <row r="245" spans="6:21" x14ac:dyDescent="0.2"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</row>
    <row r="246" spans="6:21" x14ac:dyDescent="0.2"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</row>
    <row r="247" spans="6:21" x14ac:dyDescent="0.2"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</row>
    <row r="248" spans="6:21" x14ac:dyDescent="0.2"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</row>
    <row r="249" spans="6:21" x14ac:dyDescent="0.2"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</row>
    <row r="250" spans="6:21" x14ac:dyDescent="0.2"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</row>
    <row r="251" spans="6:21" x14ac:dyDescent="0.2"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</row>
    <row r="252" spans="6:21" x14ac:dyDescent="0.2"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</row>
    <row r="253" spans="6:21" x14ac:dyDescent="0.2"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</row>
    <row r="254" spans="6:21" x14ac:dyDescent="0.2"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</row>
    <row r="255" spans="6:21" x14ac:dyDescent="0.2"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</row>
    <row r="256" spans="6:21" x14ac:dyDescent="0.2"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</row>
    <row r="257" spans="6:21" x14ac:dyDescent="0.2"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</row>
    <row r="258" spans="6:21" x14ac:dyDescent="0.2"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</row>
    <row r="259" spans="6:21" x14ac:dyDescent="0.2"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</row>
    <row r="260" spans="6:21" x14ac:dyDescent="0.2"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</row>
    <row r="261" spans="6:21" x14ac:dyDescent="0.2"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</row>
    <row r="262" spans="6:21" x14ac:dyDescent="0.2"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</row>
    <row r="263" spans="6:21" x14ac:dyDescent="0.2"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</row>
    <row r="264" spans="6:21" x14ac:dyDescent="0.2"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</row>
    <row r="265" spans="6:21" x14ac:dyDescent="0.2"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</row>
    <row r="266" spans="6:21" x14ac:dyDescent="0.2"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</row>
    <row r="267" spans="6:21" x14ac:dyDescent="0.2"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</row>
    <row r="268" spans="6:21" x14ac:dyDescent="0.2"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</row>
    <row r="269" spans="6:21" x14ac:dyDescent="0.2"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</row>
    <row r="270" spans="6:21" x14ac:dyDescent="0.2"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</row>
    <row r="271" spans="6:21" x14ac:dyDescent="0.2"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</row>
    <row r="272" spans="6:21" x14ac:dyDescent="0.2"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</row>
    <row r="273" spans="6:21" x14ac:dyDescent="0.2"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</row>
    <row r="274" spans="6:21" x14ac:dyDescent="0.2"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</row>
    <row r="275" spans="6:21" x14ac:dyDescent="0.2"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</row>
    <row r="276" spans="6:21" x14ac:dyDescent="0.2"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</row>
    <row r="277" spans="6:21" x14ac:dyDescent="0.2"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</row>
    <row r="278" spans="6:21" x14ac:dyDescent="0.2"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</row>
    <row r="279" spans="6:21" x14ac:dyDescent="0.2"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</row>
    <row r="280" spans="6:21" x14ac:dyDescent="0.2"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</row>
    <row r="281" spans="6:21" x14ac:dyDescent="0.2"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</row>
    <row r="282" spans="6:21" x14ac:dyDescent="0.2"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</row>
    <row r="283" spans="6:21" x14ac:dyDescent="0.2"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</row>
    <row r="284" spans="6:21" x14ac:dyDescent="0.2"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</row>
    <row r="285" spans="6:21" x14ac:dyDescent="0.2"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</row>
    <row r="286" spans="6:21" x14ac:dyDescent="0.2"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</row>
    <row r="287" spans="6:21" x14ac:dyDescent="0.2"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</row>
    <row r="288" spans="6:21" x14ac:dyDescent="0.2"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</row>
    <row r="289" spans="6:21" x14ac:dyDescent="0.2"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</row>
    <row r="290" spans="6:21" x14ac:dyDescent="0.2"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</row>
    <row r="291" spans="6:21" x14ac:dyDescent="0.2"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</row>
    <row r="292" spans="6:21" x14ac:dyDescent="0.2"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</row>
    <row r="293" spans="6:21" x14ac:dyDescent="0.2"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</row>
    <row r="294" spans="6:21" x14ac:dyDescent="0.2"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</row>
    <row r="295" spans="6:21" x14ac:dyDescent="0.2"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</row>
    <row r="296" spans="6:21" x14ac:dyDescent="0.2"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</row>
    <row r="297" spans="6:21" x14ac:dyDescent="0.2"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</row>
    <row r="298" spans="6:21" x14ac:dyDescent="0.2"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</row>
    <row r="299" spans="6:21" x14ac:dyDescent="0.2"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</row>
    <row r="300" spans="6:21" x14ac:dyDescent="0.2"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</row>
    <row r="301" spans="6:21" x14ac:dyDescent="0.2"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</row>
    <row r="302" spans="6:21" x14ac:dyDescent="0.2"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</row>
    <row r="303" spans="6:21" x14ac:dyDescent="0.2"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</row>
    <row r="304" spans="6:21" x14ac:dyDescent="0.2"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</row>
    <row r="305" spans="6:21" x14ac:dyDescent="0.2"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</row>
    <row r="306" spans="6:21" x14ac:dyDescent="0.2"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</row>
    <row r="307" spans="6:21" x14ac:dyDescent="0.2"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</row>
    <row r="308" spans="6:21" x14ac:dyDescent="0.2"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</row>
    <row r="309" spans="6:21" x14ac:dyDescent="0.2"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</row>
    <row r="310" spans="6:21" x14ac:dyDescent="0.2"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</row>
    <row r="311" spans="6:21" x14ac:dyDescent="0.2"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</row>
    <row r="312" spans="6:21" x14ac:dyDescent="0.2"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</row>
    <row r="313" spans="6:21" x14ac:dyDescent="0.2"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</row>
    <row r="314" spans="6:21" x14ac:dyDescent="0.2"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</row>
    <row r="315" spans="6:21" x14ac:dyDescent="0.2"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</row>
    <row r="316" spans="6:21" x14ac:dyDescent="0.2"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</row>
    <row r="317" spans="6:21" x14ac:dyDescent="0.2"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</row>
    <row r="318" spans="6:21" x14ac:dyDescent="0.2"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</row>
    <row r="319" spans="6:21" x14ac:dyDescent="0.2"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</row>
    <row r="320" spans="6:21" x14ac:dyDescent="0.2"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</row>
    <row r="321" spans="6:21" x14ac:dyDescent="0.2"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</row>
    <row r="322" spans="6:21" x14ac:dyDescent="0.2"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</row>
    <row r="323" spans="6:21" x14ac:dyDescent="0.2"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</row>
    <row r="324" spans="6:21" x14ac:dyDescent="0.2"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</row>
    <row r="325" spans="6:21" x14ac:dyDescent="0.2"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</row>
    <row r="326" spans="6:21" x14ac:dyDescent="0.2"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</row>
    <row r="327" spans="6:21" x14ac:dyDescent="0.2"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</row>
    <row r="328" spans="6:21" x14ac:dyDescent="0.2"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</row>
    <row r="329" spans="6:21" x14ac:dyDescent="0.2"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</row>
    <row r="330" spans="6:21" x14ac:dyDescent="0.2"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</row>
    <row r="331" spans="6:21" x14ac:dyDescent="0.2"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</row>
    <row r="332" spans="6:21" x14ac:dyDescent="0.2"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</row>
    <row r="333" spans="6:21" x14ac:dyDescent="0.2"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</row>
    <row r="334" spans="6:21" x14ac:dyDescent="0.2"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</row>
    <row r="335" spans="6:21" x14ac:dyDescent="0.2"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</row>
    <row r="336" spans="6:21" x14ac:dyDescent="0.2"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</row>
    <row r="337" spans="6:21" x14ac:dyDescent="0.2"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</row>
    <row r="338" spans="6:21" x14ac:dyDescent="0.2"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</row>
    <row r="339" spans="6:21" x14ac:dyDescent="0.2"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</row>
    <row r="340" spans="6:21" x14ac:dyDescent="0.2"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</row>
    <row r="341" spans="6:21" x14ac:dyDescent="0.2"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</row>
    <row r="342" spans="6:21" x14ac:dyDescent="0.2"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</row>
    <row r="343" spans="6:21" x14ac:dyDescent="0.2"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</row>
    <row r="344" spans="6:21" x14ac:dyDescent="0.2"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</row>
    <row r="345" spans="6:21" x14ac:dyDescent="0.2"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</row>
    <row r="346" spans="6:21" x14ac:dyDescent="0.2"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</row>
    <row r="347" spans="6:21" x14ac:dyDescent="0.2"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</row>
    <row r="348" spans="6:21" x14ac:dyDescent="0.2"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</row>
    <row r="349" spans="6:21" x14ac:dyDescent="0.2"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</row>
    <row r="350" spans="6:21" x14ac:dyDescent="0.2"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</row>
    <row r="351" spans="6:21" x14ac:dyDescent="0.2"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</row>
    <row r="352" spans="6:21" x14ac:dyDescent="0.2"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</row>
    <row r="353" spans="6:21" x14ac:dyDescent="0.2"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</row>
    <row r="354" spans="6:21" x14ac:dyDescent="0.2"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</row>
    <row r="355" spans="6:21" x14ac:dyDescent="0.2"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</row>
    <row r="356" spans="6:21" x14ac:dyDescent="0.2"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</row>
    <row r="357" spans="6:21" x14ac:dyDescent="0.2"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</row>
    <row r="358" spans="6:21" x14ac:dyDescent="0.2"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</row>
    <row r="359" spans="6:21" x14ac:dyDescent="0.2"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</row>
    <row r="360" spans="6:21" x14ac:dyDescent="0.2"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</row>
    <row r="361" spans="6:21" x14ac:dyDescent="0.2"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</row>
    <row r="362" spans="6:21" x14ac:dyDescent="0.2"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</row>
    <row r="363" spans="6:21" x14ac:dyDescent="0.2"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</row>
    <row r="364" spans="6:21" x14ac:dyDescent="0.2"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</row>
    <row r="365" spans="6:21" x14ac:dyDescent="0.2"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</row>
    <row r="366" spans="6:21" x14ac:dyDescent="0.2"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</row>
    <row r="367" spans="6:21" x14ac:dyDescent="0.2"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</row>
    <row r="368" spans="6:21" x14ac:dyDescent="0.2"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</row>
    <row r="369" spans="6:21" x14ac:dyDescent="0.2"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</row>
    <row r="370" spans="6:21" x14ac:dyDescent="0.2"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</row>
    <row r="371" spans="6:21" x14ac:dyDescent="0.2"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</row>
    <row r="372" spans="6:21" x14ac:dyDescent="0.2"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</row>
    <row r="373" spans="6:21" x14ac:dyDescent="0.2"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</row>
    <row r="374" spans="6:21" x14ac:dyDescent="0.2"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</row>
    <row r="375" spans="6:21" x14ac:dyDescent="0.2"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</row>
    <row r="376" spans="6:21" x14ac:dyDescent="0.2"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</row>
    <row r="377" spans="6:21" x14ac:dyDescent="0.2"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</row>
    <row r="378" spans="6:21" x14ac:dyDescent="0.2"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</row>
    <row r="379" spans="6:21" x14ac:dyDescent="0.2"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</row>
    <row r="380" spans="6:21" x14ac:dyDescent="0.2"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</row>
    <row r="381" spans="6:21" x14ac:dyDescent="0.2"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</row>
    <row r="382" spans="6:21" x14ac:dyDescent="0.2"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</row>
    <row r="383" spans="6:21" x14ac:dyDescent="0.2"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</row>
    <row r="384" spans="6:21" x14ac:dyDescent="0.2"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</row>
    <row r="385" spans="6:21" x14ac:dyDescent="0.2"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</row>
    <row r="386" spans="6:21" x14ac:dyDescent="0.2"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</row>
    <row r="387" spans="6:21" x14ac:dyDescent="0.2"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</row>
    <row r="388" spans="6:21" x14ac:dyDescent="0.2"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</row>
    <row r="389" spans="6:21" x14ac:dyDescent="0.2"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</row>
    <row r="390" spans="6:21" x14ac:dyDescent="0.2"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</row>
    <row r="391" spans="6:21" x14ac:dyDescent="0.2"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</row>
    <row r="392" spans="6:21" x14ac:dyDescent="0.2"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</row>
    <row r="393" spans="6:21" x14ac:dyDescent="0.2"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</row>
    <row r="394" spans="6:21" x14ac:dyDescent="0.2"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</row>
    <row r="395" spans="6:21" x14ac:dyDescent="0.2"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</row>
    <row r="396" spans="6:21" x14ac:dyDescent="0.2"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</row>
    <row r="397" spans="6:21" x14ac:dyDescent="0.2"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</row>
    <row r="398" spans="6:21" x14ac:dyDescent="0.2"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</row>
    <row r="399" spans="6:21" x14ac:dyDescent="0.2"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</row>
    <row r="400" spans="6:21" x14ac:dyDescent="0.2"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</row>
    <row r="401" spans="6:21" x14ac:dyDescent="0.2"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</row>
    <row r="402" spans="6:21" x14ac:dyDescent="0.2"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</row>
    <row r="403" spans="6:21" x14ac:dyDescent="0.2"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</row>
    <row r="404" spans="6:21" x14ac:dyDescent="0.2"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</row>
    <row r="405" spans="6:21" x14ac:dyDescent="0.2"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</row>
    <row r="406" spans="6:21" x14ac:dyDescent="0.2"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</row>
    <row r="407" spans="6:21" x14ac:dyDescent="0.2"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</row>
    <row r="408" spans="6:21" x14ac:dyDescent="0.2"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</row>
    <row r="409" spans="6:21" x14ac:dyDescent="0.2"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</row>
    <row r="410" spans="6:21" x14ac:dyDescent="0.2"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</row>
    <row r="411" spans="6:21" x14ac:dyDescent="0.2"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</row>
    <row r="412" spans="6:21" x14ac:dyDescent="0.2"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</row>
    <row r="413" spans="6:21" x14ac:dyDescent="0.2"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</row>
    <row r="414" spans="6:21" x14ac:dyDescent="0.2"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</row>
    <row r="415" spans="6:21" x14ac:dyDescent="0.2"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</row>
    <row r="416" spans="6:21" x14ac:dyDescent="0.2"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</row>
    <row r="417" spans="6:21" x14ac:dyDescent="0.2"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</row>
    <row r="418" spans="6:21" x14ac:dyDescent="0.2"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</row>
    <row r="419" spans="6:21" x14ac:dyDescent="0.2"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</row>
    <row r="420" spans="6:21" x14ac:dyDescent="0.2"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</row>
    <row r="421" spans="6:21" x14ac:dyDescent="0.2"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</row>
    <row r="422" spans="6:21" x14ac:dyDescent="0.2"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</row>
    <row r="423" spans="6:21" x14ac:dyDescent="0.2"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</row>
    <row r="424" spans="6:21" x14ac:dyDescent="0.2"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</row>
    <row r="425" spans="6:21" x14ac:dyDescent="0.2"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</row>
    <row r="426" spans="6:21" x14ac:dyDescent="0.2"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</row>
    <row r="427" spans="6:21" x14ac:dyDescent="0.2"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</row>
    <row r="428" spans="6:21" x14ac:dyDescent="0.2"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</row>
    <row r="429" spans="6:21" x14ac:dyDescent="0.2"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</row>
    <row r="430" spans="6:21" x14ac:dyDescent="0.2"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</row>
    <row r="431" spans="6:21" x14ac:dyDescent="0.2"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</row>
    <row r="432" spans="6:21" x14ac:dyDescent="0.2"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</row>
    <row r="433" spans="6:21" x14ac:dyDescent="0.2"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</row>
    <row r="434" spans="6:21" x14ac:dyDescent="0.2"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</row>
    <row r="435" spans="6:21" x14ac:dyDescent="0.2"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</row>
    <row r="436" spans="6:21" x14ac:dyDescent="0.2"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</row>
    <row r="437" spans="6:21" x14ac:dyDescent="0.2"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</row>
    <row r="438" spans="6:21" x14ac:dyDescent="0.2"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</row>
    <row r="439" spans="6:21" x14ac:dyDescent="0.2"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</row>
    <row r="440" spans="6:21" x14ac:dyDescent="0.2"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</row>
    <row r="441" spans="6:21" x14ac:dyDescent="0.2"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</row>
    <row r="442" spans="6:21" x14ac:dyDescent="0.2"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</row>
    <row r="443" spans="6:21" x14ac:dyDescent="0.2"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</row>
    <row r="444" spans="6:21" x14ac:dyDescent="0.2"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</row>
    <row r="445" spans="6:21" x14ac:dyDescent="0.2"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</row>
    <row r="446" spans="6:21" x14ac:dyDescent="0.2"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</row>
    <row r="447" spans="6:21" x14ac:dyDescent="0.2"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</row>
    <row r="448" spans="6:21" x14ac:dyDescent="0.2"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</row>
    <row r="449" spans="6:21" x14ac:dyDescent="0.2"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</row>
    <row r="450" spans="6:21" x14ac:dyDescent="0.2"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</row>
    <row r="451" spans="6:21" x14ac:dyDescent="0.2"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</row>
    <row r="452" spans="6:21" x14ac:dyDescent="0.2"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</row>
    <row r="453" spans="6:21" x14ac:dyDescent="0.2"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</row>
    <row r="454" spans="6:21" x14ac:dyDescent="0.2"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</row>
    <row r="455" spans="6:21" x14ac:dyDescent="0.2"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</row>
    <row r="456" spans="6:21" x14ac:dyDescent="0.2"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</row>
    <row r="457" spans="6:21" x14ac:dyDescent="0.2"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</row>
    <row r="458" spans="6:21" x14ac:dyDescent="0.2"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</row>
    <row r="459" spans="6:21" x14ac:dyDescent="0.2"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</row>
    <row r="460" spans="6:21" x14ac:dyDescent="0.2"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</row>
    <row r="461" spans="6:21" x14ac:dyDescent="0.2"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</row>
    <row r="462" spans="6:21" x14ac:dyDescent="0.2"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</row>
    <row r="463" spans="6:21" x14ac:dyDescent="0.2"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</row>
    <row r="464" spans="6:21" x14ac:dyDescent="0.2"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</row>
    <row r="465" spans="6:21" x14ac:dyDescent="0.2"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</row>
    <row r="466" spans="6:21" x14ac:dyDescent="0.2"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</row>
    <row r="467" spans="6:21" x14ac:dyDescent="0.2"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</row>
    <row r="468" spans="6:21" x14ac:dyDescent="0.2"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</row>
    <row r="469" spans="6:21" x14ac:dyDescent="0.2"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</row>
    <row r="470" spans="6:21" x14ac:dyDescent="0.2"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</row>
    <row r="471" spans="6:21" x14ac:dyDescent="0.2"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</row>
    <row r="472" spans="6:21" x14ac:dyDescent="0.2"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</row>
    <row r="473" spans="6:21" x14ac:dyDescent="0.2"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</row>
    <row r="474" spans="6:21" x14ac:dyDescent="0.2"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</row>
    <row r="475" spans="6:21" x14ac:dyDescent="0.2"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</row>
    <row r="476" spans="6:21" x14ac:dyDescent="0.2"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</row>
    <row r="477" spans="6:21" x14ac:dyDescent="0.2"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</row>
    <row r="478" spans="6:21" x14ac:dyDescent="0.2"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</row>
    <row r="479" spans="6:21" x14ac:dyDescent="0.2"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</row>
    <row r="480" spans="6:21" x14ac:dyDescent="0.2"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</row>
    <row r="481" spans="6:21" x14ac:dyDescent="0.2"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</row>
    <row r="482" spans="6:21" x14ac:dyDescent="0.2"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</row>
    <row r="483" spans="6:21" x14ac:dyDescent="0.2"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</row>
    <row r="484" spans="6:21" x14ac:dyDescent="0.2"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</row>
    <row r="485" spans="6:21" x14ac:dyDescent="0.2"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</row>
    <row r="486" spans="6:21" x14ac:dyDescent="0.2"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</row>
    <row r="487" spans="6:21" x14ac:dyDescent="0.2"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</row>
    <row r="488" spans="6:21" x14ac:dyDescent="0.2"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</row>
    <row r="489" spans="6:21" x14ac:dyDescent="0.2"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</row>
    <row r="490" spans="6:21" x14ac:dyDescent="0.2"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</row>
    <row r="491" spans="6:21" x14ac:dyDescent="0.2"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</row>
    <row r="492" spans="6:21" x14ac:dyDescent="0.2"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</row>
    <row r="493" spans="6:21" x14ac:dyDescent="0.2"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</row>
    <row r="494" spans="6:21" x14ac:dyDescent="0.2"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</row>
    <row r="495" spans="6:21" x14ac:dyDescent="0.2"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</row>
    <row r="496" spans="6:21" x14ac:dyDescent="0.2"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</row>
    <row r="497" spans="6:21" x14ac:dyDescent="0.2"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</row>
    <row r="498" spans="6:21" x14ac:dyDescent="0.2"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</row>
    <row r="499" spans="6:21" x14ac:dyDescent="0.2"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</row>
    <row r="500" spans="6:21" x14ac:dyDescent="0.2"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</row>
    <row r="501" spans="6:21" x14ac:dyDescent="0.2"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</row>
    <row r="502" spans="6:21" x14ac:dyDescent="0.2"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</row>
    <row r="503" spans="6:21" x14ac:dyDescent="0.2"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</row>
    <row r="504" spans="6:21" x14ac:dyDescent="0.2"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</row>
    <row r="505" spans="6:21" x14ac:dyDescent="0.2"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</row>
    <row r="506" spans="6:21" x14ac:dyDescent="0.2"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</row>
    <row r="507" spans="6:21" x14ac:dyDescent="0.2"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</row>
    <row r="508" spans="6:21" x14ac:dyDescent="0.2"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</row>
    <row r="509" spans="6:21" x14ac:dyDescent="0.2"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</row>
    <row r="510" spans="6:21" x14ac:dyDescent="0.2"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</row>
    <row r="511" spans="6:21" x14ac:dyDescent="0.2"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</row>
    <row r="512" spans="6:21" x14ac:dyDescent="0.2"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</row>
    <row r="513" spans="6:21" x14ac:dyDescent="0.2"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</row>
    <row r="514" spans="6:21" x14ac:dyDescent="0.2"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</row>
    <row r="515" spans="6:21" x14ac:dyDescent="0.2"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</row>
    <row r="516" spans="6:21" x14ac:dyDescent="0.2"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</row>
    <row r="517" spans="6:21" x14ac:dyDescent="0.2"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</row>
    <row r="518" spans="6:21" x14ac:dyDescent="0.2"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</row>
    <row r="519" spans="6:21" x14ac:dyDescent="0.2"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</row>
    <row r="520" spans="6:21" x14ac:dyDescent="0.2"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</row>
    <row r="521" spans="6:21" x14ac:dyDescent="0.2"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</row>
    <row r="522" spans="6:21" x14ac:dyDescent="0.2"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</row>
    <row r="523" spans="6:21" x14ac:dyDescent="0.2"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</row>
    <row r="524" spans="6:21" x14ac:dyDescent="0.2"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</row>
    <row r="525" spans="6:21" x14ac:dyDescent="0.2"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</row>
    <row r="526" spans="6:21" x14ac:dyDescent="0.2"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</row>
    <row r="527" spans="6:21" x14ac:dyDescent="0.2"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</row>
    <row r="528" spans="6:21" x14ac:dyDescent="0.2"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</row>
    <row r="529" spans="6:21" x14ac:dyDescent="0.2"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</row>
    <row r="530" spans="6:21" x14ac:dyDescent="0.2"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</row>
    <row r="531" spans="6:21" x14ac:dyDescent="0.2"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</row>
    <row r="532" spans="6:21" x14ac:dyDescent="0.2"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</row>
    <row r="533" spans="6:21" x14ac:dyDescent="0.2"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</row>
    <row r="534" spans="6:21" x14ac:dyDescent="0.2"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</row>
    <row r="535" spans="6:21" x14ac:dyDescent="0.2"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</row>
    <row r="536" spans="6:21" x14ac:dyDescent="0.2"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</row>
    <row r="537" spans="6:21" x14ac:dyDescent="0.2"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</row>
    <row r="538" spans="6:21" x14ac:dyDescent="0.2"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</row>
    <row r="539" spans="6:21" x14ac:dyDescent="0.2"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</row>
    <row r="540" spans="6:21" x14ac:dyDescent="0.2"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</row>
    <row r="541" spans="6:21" x14ac:dyDescent="0.2"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</row>
    <row r="542" spans="6:21" x14ac:dyDescent="0.2"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</row>
    <row r="543" spans="6:21" x14ac:dyDescent="0.2"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</row>
    <row r="544" spans="6:21" x14ac:dyDescent="0.2"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</row>
    <row r="545" spans="6:21" x14ac:dyDescent="0.2"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</row>
    <row r="546" spans="6:21" x14ac:dyDescent="0.2"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</row>
    <row r="547" spans="6:21" x14ac:dyDescent="0.2"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</row>
    <row r="548" spans="6:21" x14ac:dyDescent="0.2"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</row>
    <row r="549" spans="6:21" x14ac:dyDescent="0.2"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</row>
    <row r="550" spans="6:21" x14ac:dyDescent="0.2"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</row>
    <row r="551" spans="6:21" x14ac:dyDescent="0.2"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</row>
    <row r="552" spans="6:21" x14ac:dyDescent="0.2"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</row>
    <row r="553" spans="6:21" x14ac:dyDescent="0.2"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</row>
    <row r="554" spans="6:21" x14ac:dyDescent="0.2"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</row>
    <row r="555" spans="6:21" x14ac:dyDescent="0.2"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</row>
    <row r="556" spans="6:21" x14ac:dyDescent="0.2"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</row>
    <row r="557" spans="6:21" x14ac:dyDescent="0.2"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</row>
    <row r="558" spans="6:21" x14ac:dyDescent="0.2"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</row>
    <row r="559" spans="6:21" x14ac:dyDescent="0.2"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</row>
    <row r="560" spans="6:21" x14ac:dyDescent="0.2"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</row>
    <row r="561" spans="6:21" x14ac:dyDescent="0.2"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</row>
    <row r="562" spans="6:21" x14ac:dyDescent="0.2"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</row>
    <row r="563" spans="6:21" x14ac:dyDescent="0.2"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</row>
    <row r="564" spans="6:21" x14ac:dyDescent="0.2"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</row>
    <row r="565" spans="6:21" x14ac:dyDescent="0.2"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</row>
    <row r="566" spans="6:21" x14ac:dyDescent="0.2"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</row>
    <row r="567" spans="6:21" x14ac:dyDescent="0.2"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</row>
    <row r="568" spans="6:21" x14ac:dyDescent="0.2"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</row>
    <row r="569" spans="6:21" x14ac:dyDescent="0.2"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</row>
    <row r="570" spans="6:21" x14ac:dyDescent="0.2"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</row>
    <row r="571" spans="6:21" x14ac:dyDescent="0.2"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</row>
    <row r="572" spans="6:21" x14ac:dyDescent="0.2"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</row>
    <row r="573" spans="6:21" x14ac:dyDescent="0.2"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</row>
    <row r="574" spans="6:21" x14ac:dyDescent="0.2"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</row>
    <row r="575" spans="6:21" x14ac:dyDescent="0.2"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</row>
    <row r="576" spans="6:21" x14ac:dyDescent="0.2"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</row>
    <row r="577" spans="6:21" x14ac:dyDescent="0.2"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</row>
    <row r="578" spans="6:21" x14ac:dyDescent="0.2"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</row>
    <row r="579" spans="6:21" x14ac:dyDescent="0.2"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</row>
    <row r="580" spans="6:21" x14ac:dyDescent="0.2"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</row>
    <row r="581" spans="6:21" x14ac:dyDescent="0.2"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</row>
    <row r="582" spans="6:21" x14ac:dyDescent="0.2"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</row>
    <row r="583" spans="6:21" x14ac:dyDescent="0.2"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</row>
    <row r="584" spans="6:21" x14ac:dyDescent="0.2"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</row>
    <row r="585" spans="6:21" x14ac:dyDescent="0.2"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</row>
    <row r="586" spans="6:21" x14ac:dyDescent="0.2"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</row>
    <row r="587" spans="6:21" x14ac:dyDescent="0.2"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</row>
    <row r="588" spans="6:21" x14ac:dyDescent="0.2"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</row>
    <row r="589" spans="6:21" x14ac:dyDescent="0.2"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</row>
    <row r="590" spans="6:21" x14ac:dyDescent="0.2"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</row>
    <row r="591" spans="6:21" x14ac:dyDescent="0.2"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</row>
    <row r="592" spans="6:21" x14ac:dyDescent="0.2"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</row>
    <row r="593" spans="6:21" x14ac:dyDescent="0.2"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</row>
    <row r="594" spans="6:21" x14ac:dyDescent="0.2"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</row>
    <row r="595" spans="6:21" x14ac:dyDescent="0.2"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</row>
    <row r="596" spans="6:21" x14ac:dyDescent="0.2"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</row>
    <row r="597" spans="6:21" x14ac:dyDescent="0.2"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</row>
    <row r="598" spans="6:21" x14ac:dyDescent="0.2"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</row>
    <row r="599" spans="6:21" x14ac:dyDescent="0.2"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</row>
    <row r="600" spans="6:21" x14ac:dyDescent="0.2"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</row>
    <row r="601" spans="6:21" x14ac:dyDescent="0.2"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</row>
    <row r="602" spans="6:21" x14ac:dyDescent="0.2"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</row>
    <row r="603" spans="6:21" x14ac:dyDescent="0.2"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</row>
    <row r="604" spans="6:21" x14ac:dyDescent="0.2"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</row>
    <row r="605" spans="6:21" x14ac:dyDescent="0.2"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</row>
    <row r="606" spans="6:21" x14ac:dyDescent="0.2"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</row>
    <row r="607" spans="6:21" x14ac:dyDescent="0.2"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</row>
    <row r="608" spans="6:21" x14ac:dyDescent="0.2"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</row>
    <row r="609" spans="6:21" x14ac:dyDescent="0.2"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</row>
    <row r="610" spans="6:21" x14ac:dyDescent="0.2"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</row>
    <row r="611" spans="6:21" x14ac:dyDescent="0.2"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</row>
    <row r="612" spans="6:21" x14ac:dyDescent="0.2"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</row>
    <row r="613" spans="6:21" x14ac:dyDescent="0.2"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</row>
    <row r="614" spans="6:21" x14ac:dyDescent="0.2"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</row>
    <row r="615" spans="6:21" x14ac:dyDescent="0.2"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</row>
    <row r="616" spans="6:21" x14ac:dyDescent="0.2"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</row>
    <row r="617" spans="6:21" x14ac:dyDescent="0.2"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</row>
    <row r="618" spans="6:21" x14ac:dyDescent="0.2"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</row>
    <row r="619" spans="6:21" x14ac:dyDescent="0.2"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</row>
    <row r="620" spans="6:21" x14ac:dyDescent="0.2"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</row>
    <row r="621" spans="6:21" x14ac:dyDescent="0.2"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</row>
    <row r="622" spans="6:21" x14ac:dyDescent="0.2"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</row>
    <row r="623" spans="6:21" x14ac:dyDescent="0.2"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</row>
    <row r="624" spans="6:21" x14ac:dyDescent="0.2"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</row>
    <row r="625" spans="6:21" x14ac:dyDescent="0.2"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</row>
    <row r="626" spans="6:21" x14ac:dyDescent="0.2"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</row>
    <row r="627" spans="6:21" x14ac:dyDescent="0.2"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</row>
    <row r="628" spans="6:21" x14ac:dyDescent="0.2"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</row>
    <row r="629" spans="6:21" x14ac:dyDescent="0.2"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</row>
    <row r="630" spans="6:21" x14ac:dyDescent="0.2"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</row>
    <row r="631" spans="6:21" x14ac:dyDescent="0.2"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</row>
    <row r="632" spans="6:21" x14ac:dyDescent="0.2"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</row>
    <row r="633" spans="6:21" x14ac:dyDescent="0.2"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</row>
    <row r="634" spans="6:21" x14ac:dyDescent="0.2"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</row>
    <row r="635" spans="6:21" x14ac:dyDescent="0.2"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</row>
    <row r="636" spans="6:21" x14ac:dyDescent="0.2"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</row>
    <row r="637" spans="6:21" x14ac:dyDescent="0.2"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</row>
    <row r="638" spans="6:21" x14ac:dyDescent="0.2"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</row>
    <row r="639" spans="6:21" x14ac:dyDescent="0.2"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</row>
    <row r="640" spans="6:21" x14ac:dyDescent="0.2"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</row>
    <row r="641" spans="6:21" x14ac:dyDescent="0.2"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</row>
    <row r="642" spans="6:21" x14ac:dyDescent="0.2"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</row>
    <row r="643" spans="6:21" x14ac:dyDescent="0.2"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</row>
    <row r="644" spans="6:21" x14ac:dyDescent="0.2"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</row>
    <row r="645" spans="6:21" x14ac:dyDescent="0.2"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</row>
    <row r="646" spans="6:21" x14ac:dyDescent="0.2"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</row>
    <row r="647" spans="6:21" x14ac:dyDescent="0.2"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</row>
    <row r="648" spans="6:21" x14ac:dyDescent="0.2"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</row>
    <row r="649" spans="6:21" x14ac:dyDescent="0.2"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</row>
    <row r="650" spans="6:21" x14ac:dyDescent="0.2"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</row>
    <row r="651" spans="6:21" x14ac:dyDescent="0.2"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</row>
    <row r="652" spans="6:21" x14ac:dyDescent="0.2"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</row>
    <row r="653" spans="6:21" x14ac:dyDescent="0.2"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</row>
    <row r="654" spans="6:21" x14ac:dyDescent="0.2"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</row>
    <row r="655" spans="6:21" x14ac:dyDescent="0.2"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</row>
    <row r="656" spans="6:21" x14ac:dyDescent="0.2"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</row>
    <row r="657" spans="6:21" x14ac:dyDescent="0.2"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</row>
    <row r="658" spans="6:21" x14ac:dyDescent="0.2"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</row>
    <row r="659" spans="6:21" x14ac:dyDescent="0.2"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</row>
    <row r="660" spans="6:21" x14ac:dyDescent="0.2"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</row>
    <row r="661" spans="6:21" x14ac:dyDescent="0.2"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</row>
    <row r="662" spans="6:21" x14ac:dyDescent="0.2"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</row>
    <row r="663" spans="6:21" x14ac:dyDescent="0.2"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</row>
    <row r="664" spans="6:21" x14ac:dyDescent="0.2"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</row>
    <row r="665" spans="6:21" x14ac:dyDescent="0.2"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</row>
    <row r="666" spans="6:21" x14ac:dyDescent="0.2"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</row>
    <row r="667" spans="6:21" x14ac:dyDescent="0.2"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</row>
    <row r="668" spans="6:21" x14ac:dyDescent="0.2"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</row>
    <row r="669" spans="6:21" x14ac:dyDescent="0.2"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</row>
    <row r="670" spans="6:21" x14ac:dyDescent="0.2"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</row>
    <row r="671" spans="6:21" x14ac:dyDescent="0.2"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</row>
    <row r="672" spans="6:21" x14ac:dyDescent="0.2"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</row>
    <row r="673" spans="6:21" x14ac:dyDescent="0.2"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</row>
    <row r="674" spans="6:21" x14ac:dyDescent="0.2"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</row>
    <row r="675" spans="6:21" x14ac:dyDescent="0.2"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</row>
    <row r="676" spans="6:21" x14ac:dyDescent="0.2"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</row>
    <row r="677" spans="6:21" x14ac:dyDescent="0.2"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</row>
    <row r="678" spans="6:21" x14ac:dyDescent="0.2"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</row>
    <row r="679" spans="6:21" x14ac:dyDescent="0.2"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</row>
    <row r="680" spans="6:21" x14ac:dyDescent="0.2"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</row>
    <row r="681" spans="6:21" x14ac:dyDescent="0.2"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</row>
    <row r="682" spans="6:21" x14ac:dyDescent="0.2"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</row>
    <row r="683" spans="6:21" x14ac:dyDescent="0.2"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</row>
    <row r="684" spans="6:21" x14ac:dyDescent="0.2"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</row>
    <row r="685" spans="6:21" x14ac:dyDescent="0.2"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</row>
    <row r="686" spans="6:21" x14ac:dyDescent="0.2"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</row>
    <row r="687" spans="6:21" x14ac:dyDescent="0.2"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</row>
    <row r="688" spans="6:21" x14ac:dyDescent="0.2"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</row>
    <row r="689" spans="6:21" x14ac:dyDescent="0.2"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</row>
    <row r="690" spans="6:21" x14ac:dyDescent="0.2"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</row>
    <row r="691" spans="6:21" x14ac:dyDescent="0.2"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</row>
    <row r="692" spans="6:21" x14ac:dyDescent="0.2"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</row>
    <row r="693" spans="6:21" x14ac:dyDescent="0.2"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</row>
    <row r="694" spans="6:21" x14ac:dyDescent="0.2"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</row>
    <row r="695" spans="6:21" x14ac:dyDescent="0.2"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</row>
    <row r="696" spans="6:21" x14ac:dyDescent="0.2"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</row>
    <row r="697" spans="6:21" x14ac:dyDescent="0.2"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</row>
    <row r="698" spans="6:21" x14ac:dyDescent="0.2"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</row>
    <row r="699" spans="6:21" x14ac:dyDescent="0.2"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</row>
    <row r="700" spans="6:21" x14ac:dyDescent="0.2"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</row>
    <row r="701" spans="6:21" x14ac:dyDescent="0.2"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</row>
    <row r="702" spans="6:21" x14ac:dyDescent="0.2"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</row>
    <row r="703" spans="6:21" x14ac:dyDescent="0.2"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</row>
    <row r="704" spans="6:21" x14ac:dyDescent="0.2"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</row>
    <row r="705" spans="6:21" x14ac:dyDescent="0.2"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</row>
    <row r="706" spans="6:21" x14ac:dyDescent="0.2"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</row>
    <row r="707" spans="6:21" x14ac:dyDescent="0.2"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</row>
    <row r="708" spans="6:21" x14ac:dyDescent="0.2"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</row>
    <row r="709" spans="6:21" x14ac:dyDescent="0.2"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</row>
    <row r="710" spans="6:21" x14ac:dyDescent="0.2"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</row>
    <row r="711" spans="6:21" x14ac:dyDescent="0.2"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</row>
    <row r="712" spans="6:21" x14ac:dyDescent="0.2"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</row>
    <row r="713" spans="6:21" x14ac:dyDescent="0.2"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</row>
    <row r="714" spans="6:21" x14ac:dyDescent="0.2"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</row>
    <row r="715" spans="6:21" x14ac:dyDescent="0.2"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</row>
    <row r="716" spans="6:21" x14ac:dyDescent="0.2"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</row>
    <row r="717" spans="6:21" x14ac:dyDescent="0.2"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</row>
    <row r="718" spans="6:21" x14ac:dyDescent="0.2"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</row>
    <row r="719" spans="6:21" x14ac:dyDescent="0.2"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</row>
    <row r="720" spans="6:21" x14ac:dyDescent="0.2"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</row>
    <row r="721" spans="6:21" x14ac:dyDescent="0.2"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</row>
    <row r="722" spans="6:21" x14ac:dyDescent="0.2"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</row>
    <row r="723" spans="6:21" x14ac:dyDescent="0.2"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</row>
    <row r="724" spans="6:21" x14ac:dyDescent="0.2"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</row>
    <row r="725" spans="6:21" x14ac:dyDescent="0.2"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</row>
    <row r="726" spans="6:21" x14ac:dyDescent="0.2"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</row>
    <row r="727" spans="6:21" x14ac:dyDescent="0.2"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</row>
    <row r="728" spans="6:21" x14ac:dyDescent="0.2"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</row>
    <row r="729" spans="6:21" x14ac:dyDescent="0.2"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</row>
    <row r="730" spans="6:21" x14ac:dyDescent="0.2"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</row>
    <row r="731" spans="6:21" x14ac:dyDescent="0.2"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</row>
    <row r="732" spans="6:21" x14ac:dyDescent="0.2"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</row>
    <row r="733" spans="6:21" x14ac:dyDescent="0.2"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</row>
    <row r="734" spans="6:21" x14ac:dyDescent="0.2"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</row>
    <row r="735" spans="6:21" x14ac:dyDescent="0.2"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</row>
    <row r="736" spans="6:21" x14ac:dyDescent="0.2"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</row>
    <row r="737" spans="6:21" x14ac:dyDescent="0.2"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</row>
    <row r="738" spans="6:21" x14ac:dyDescent="0.2"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</row>
    <row r="739" spans="6:21" x14ac:dyDescent="0.2"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</row>
    <row r="740" spans="6:21" x14ac:dyDescent="0.2"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</row>
    <row r="741" spans="6:21" x14ac:dyDescent="0.2"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</row>
    <row r="742" spans="6:21" x14ac:dyDescent="0.2"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</row>
    <row r="743" spans="6:21" x14ac:dyDescent="0.2"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</row>
    <row r="744" spans="6:21" x14ac:dyDescent="0.2"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</row>
    <row r="745" spans="6:21" x14ac:dyDescent="0.2"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</row>
    <row r="746" spans="6:21" x14ac:dyDescent="0.2"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</row>
    <row r="747" spans="6:21" x14ac:dyDescent="0.2"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</row>
    <row r="748" spans="6:21" x14ac:dyDescent="0.2"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</row>
    <row r="749" spans="6:21" x14ac:dyDescent="0.2"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</row>
    <row r="750" spans="6:21" x14ac:dyDescent="0.2"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</row>
    <row r="751" spans="6:21" x14ac:dyDescent="0.2"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</row>
    <row r="752" spans="6:21" x14ac:dyDescent="0.2"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</row>
    <row r="753" spans="6:21" x14ac:dyDescent="0.2"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</row>
  </sheetData>
  <conditionalFormatting sqref="B2">
    <cfRule type="cellIs" dxfId="5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T811"/>
  <sheetViews>
    <sheetView showGridLines="0" tabSelected="1" zoomScale="130" zoomScaleNormal="130" workbookViewId="0">
      <selection activeCell="G7" sqref="G7"/>
    </sheetView>
  </sheetViews>
  <sheetFormatPr defaultColWidth="8.85546875" defaultRowHeight="12.75" outlineLevelRow="1" outlineLevelCol="1" x14ac:dyDescent="0.2"/>
  <cols>
    <col min="1" max="3" width="9.140625" style="8" customWidth="1" outlineLevel="1"/>
    <col min="4" max="4" width="2.28515625" customWidth="1"/>
    <col min="5" max="5" width="30.7109375" bestFit="1" customWidth="1"/>
    <col min="20" max="20" width="52.85546875" style="35" bestFit="1" customWidth="1"/>
  </cols>
  <sheetData>
    <row r="1" spans="2:20" s="8" customFormat="1" outlineLevel="1" x14ac:dyDescent="0.2">
      <c r="B1" s="8">
        <v>0.1</v>
      </c>
    </row>
    <row r="2" spans="2:20" s="8" customFormat="1" outlineLevel="1" x14ac:dyDescent="0.2">
      <c r="B2" s="17" t="b">
        <f>AND(C:C)</f>
        <v>1</v>
      </c>
    </row>
    <row r="3" spans="2:20" x14ac:dyDescent="0.2">
      <c r="D3" s="5" t="str">
        <f ca="1">MID(CELL("filename",D3),FIND("]",CELL("filename",D3))+1,256)</f>
        <v>Historical</v>
      </c>
    </row>
    <row r="4" spans="2:20" x14ac:dyDescent="0.2">
      <c r="D4" s="6" t="str">
        <f>Cover!$A$2</f>
        <v>Indicative valuation of BHP Group Limited: Public information</v>
      </c>
    </row>
    <row r="5" spans="2:20" x14ac:dyDescent="0.2">
      <c r="D5" s="6" t="str">
        <f>Cover!$A$3</f>
        <v>Educational purposes only, no financial advice</v>
      </c>
    </row>
    <row r="8" spans="2:20" x14ac:dyDescent="0.2">
      <c r="E8" s="5" t="str">
        <f>Input!$E$8&amp;" - P&amp;L"</f>
        <v>BHP - P&amp;L</v>
      </c>
      <c r="O8" s="9"/>
      <c r="Q8" s="40" t="s">
        <v>111</v>
      </c>
      <c r="R8" s="39"/>
      <c r="T8" s="36" t="s">
        <v>92</v>
      </c>
    </row>
    <row r="9" spans="2:20" x14ac:dyDescent="0.2">
      <c r="E9" s="10" t="str">
        <f>+Input!$E$14</f>
        <v>USDmn</v>
      </c>
      <c r="F9" s="37" t="s">
        <v>109</v>
      </c>
      <c r="G9" s="37" t="s">
        <v>104</v>
      </c>
      <c r="H9" s="37" t="s">
        <v>103</v>
      </c>
      <c r="I9" s="37" t="s">
        <v>102</v>
      </c>
      <c r="J9" s="37" t="s">
        <v>101</v>
      </c>
      <c r="K9" s="37" t="s">
        <v>100</v>
      </c>
      <c r="L9" s="37" t="s">
        <v>99</v>
      </c>
      <c r="M9" s="37" t="s">
        <v>98</v>
      </c>
      <c r="N9" s="37" t="s">
        <v>97</v>
      </c>
      <c r="O9" s="37" t="s">
        <v>96</v>
      </c>
      <c r="Q9" s="39" t="s">
        <v>112</v>
      </c>
      <c r="R9" s="39" t="s">
        <v>113</v>
      </c>
    </row>
    <row r="10" spans="2:20" ht="3" customHeight="1" x14ac:dyDescent="0.2"/>
    <row r="11" spans="2:20" x14ac:dyDescent="0.2">
      <c r="E11" s="13" t="s">
        <v>27</v>
      </c>
      <c r="F11" s="18">
        <v>44636</v>
      </c>
      <c r="G11" s="18">
        <v>28567</v>
      </c>
      <c r="H11" s="18">
        <v>36135</v>
      </c>
      <c r="I11" s="18">
        <v>43638</v>
      </c>
      <c r="J11" s="18">
        <v>44288</v>
      </c>
      <c r="K11" s="18">
        <v>42931</v>
      </c>
      <c r="L11" s="18">
        <v>60817</v>
      </c>
      <c r="M11" s="18">
        <v>65098</v>
      </c>
      <c r="N11" s="18">
        <v>53817</v>
      </c>
      <c r="O11" s="18">
        <v>55658</v>
      </c>
      <c r="Q11" s="29">
        <f>IFERROR((O11/F11)^(1/9)-1,"n/a")</f>
        <v>2.4823669769025392E-2</v>
      </c>
      <c r="R11" s="29">
        <f>IFERROR((O11/L11)^(1/3)-1,"n/a")</f>
        <v>-2.9115574512328934E-2</v>
      </c>
    </row>
    <row r="12" spans="2:20" x14ac:dyDescent="0.2">
      <c r="E12" s="13" t="s">
        <v>28</v>
      </c>
      <c r="F12" s="18">
        <v>496</v>
      </c>
      <c r="G12" s="18">
        <v>432</v>
      </c>
      <c r="H12" s="18">
        <v>662</v>
      </c>
      <c r="I12" s="18">
        <v>247</v>
      </c>
      <c r="J12" s="18">
        <v>393</v>
      </c>
      <c r="K12" s="18">
        <v>777</v>
      </c>
      <c r="L12" s="18">
        <v>510</v>
      </c>
      <c r="M12" s="18">
        <v>1398</v>
      </c>
      <c r="N12" s="18">
        <v>394</v>
      </c>
      <c r="O12" s="18">
        <v>1285</v>
      </c>
      <c r="Q12" s="29">
        <f t="shared" ref="Q12:Q22" si="0">IFERROR((O12/F12)^(1/9)-1,"n/a")</f>
        <v>0.11156718365981</v>
      </c>
      <c r="R12" s="29">
        <f t="shared" ref="R12:R22" si="1">IFERROR((O12/L12)^(1/3)-1,"n/a")</f>
        <v>0.36074783033775892</v>
      </c>
    </row>
    <row r="13" spans="2:20" x14ac:dyDescent="0.2">
      <c r="E13" s="13" t="s">
        <v>29</v>
      </c>
      <c r="F13" s="18">
        <v>-37010</v>
      </c>
      <c r="G13" s="18">
        <v>-24091</v>
      </c>
      <c r="H13" s="18">
        <v>-24515</v>
      </c>
      <c r="I13" s="18">
        <v>-28036</v>
      </c>
      <c r="J13" s="18">
        <v>-28022</v>
      </c>
      <c r="K13" s="18">
        <v>-28775</v>
      </c>
      <c r="L13" s="18">
        <v>-34500</v>
      </c>
      <c r="M13" s="18">
        <v>-32371</v>
      </c>
      <c r="N13" s="18">
        <v>-31873</v>
      </c>
      <c r="O13" s="18">
        <v>-36750</v>
      </c>
      <c r="Q13" s="29">
        <f t="shared" si="0"/>
        <v>-7.8301780801481868E-4</v>
      </c>
      <c r="R13" s="29">
        <f t="shared" si="1"/>
        <v>2.1282952880393058E-2</v>
      </c>
    </row>
    <row r="14" spans="2:20" x14ac:dyDescent="0.2">
      <c r="E14" s="13" t="s">
        <v>30</v>
      </c>
      <c r="F14" s="20">
        <v>548</v>
      </c>
      <c r="G14" s="20">
        <v>-2104</v>
      </c>
      <c r="H14" s="20">
        <v>272</v>
      </c>
      <c r="I14" s="20">
        <v>147</v>
      </c>
      <c r="J14" s="20">
        <v>-546</v>
      </c>
      <c r="K14" s="20">
        <v>-512</v>
      </c>
      <c r="L14" s="20">
        <v>-921</v>
      </c>
      <c r="M14" s="20">
        <v>-19</v>
      </c>
      <c r="N14" s="20">
        <v>594</v>
      </c>
      <c r="O14" s="20">
        <v>-2656</v>
      </c>
      <c r="Q14" s="29">
        <f>IFERROR((O14/F14)^(1/9)-1,"n/a")</f>
        <v>-2.1916832490021325</v>
      </c>
      <c r="R14" s="29">
        <f t="shared" si="1"/>
        <v>0.42338640502534819</v>
      </c>
    </row>
    <row r="15" spans="2:20" x14ac:dyDescent="0.2">
      <c r="E15" s="5" t="s">
        <v>34</v>
      </c>
      <c r="F15" s="19">
        <f t="shared" ref="F15:O15" si="2">SUM(F11:F14)</f>
        <v>8670</v>
      </c>
      <c r="G15" s="19">
        <f t="shared" si="2"/>
        <v>2804</v>
      </c>
      <c r="H15" s="19">
        <f t="shared" si="2"/>
        <v>12554</v>
      </c>
      <c r="I15" s="19">
        <f t="shared" si="2"/>
        <v>15996</v>
      </c>
      <c r="J15" s="19">
        <f t="shared" si="2"/>
        <v>16113</v>
      </c>
      <c r="K15" s="19">
        <f t="shared" si="2"/>
        <v>14421</v>
      </c>
      <c r="L15" s="19">
        <f t="shared" si="2"/>
        <v>25906</v>
      </c>
      <c r="M15" s="19">
        <f t="shared" si="2"/>
        <v>34106</v>
      </c>
      <c r="N15" s="19">
        <f t="shared" si="2"/>
        <v>22932</v>
      </c>
      <c r="O15" s="19">
        <f t="shared" si="2"/>
        <v>17537</v>
      </c>
      <c r="Q15" s="41">
        <f t="shared" si="0"/>
        <v>8.1416300690199561E-2</v>
      </c>
      <c r="R15" s="41">
        <f t="shared" si="1"/>
        <v>-0.12195188761232589</v>
      </c>
    </row>
    <row r="16" spans="2:20" x14ac:dyDescent="0.2">
      <c r="E16" s="16" t="s">
        <v>31</v>
      </c>
      <c r="F16" s="18">
        <v>-702</v>
      </c>
      <c r="G16" s="18">
        <v>-1150</v>
      </c>
      <c r="H16" s="18">
        <v>-1560</v>
      </c>
      <c r="I16" s="18">
        <v>-1567</v>
      </c>
      <c r="J16" s="18">
        <v>-1510</v>
      </c>
      <c r="K16" s="18">
        <v>-1262</v>
      </c>
      <c r="L16" s="18">
        <v>-1378</v>
      </c>
      <c r="M16" s="18">
        <v>-1050</v>
      </c>
      <c r="N16" s="18">
        <v>-2060</v>
      </c>
      <c r="O16" s="18">
        <v>-2198</v>
      </c>
      <c r="Q16" s="29">
        <f t="shared" si="0"/>
        <v>0.13521136582617932</v>
      </c>
      <c r="R16" s="29">
        <f t="shared" si="1"/>
        <v>0.16840343073730279</v>
      </c>
    </row>
    <row r="17" spans="3:18" x14ac:dyDescent="0.2">
      <c r="E17" s="16" t="s">
        <v>32</v>
      </c>
      <c r="F17" s="20">
        <v>88</v>
      </c>
      <c r="G17" s="20">
        <v>137</v>
      </c>
      <c r="H17" s="20">
        <v>143</v>
      </c>
      <c r="I17" s="20">
        <v>322</v>
      </c>
      <c r="J17" s="20">
        <v>446</v>
      </c>
      <c r="K17" s="20">
        <v>351</v>
      </c>
      <c r="L17" s="20">
        <v>73</v>
      </c>
      <c r="M17" s="20">
        <v>81</v>
      </c>
      <c r="N17" s="20">
        <v>529</v>
      </c>
      <c r="O17" s="20">
        <v>709</v>
      </c>
      <c r="Q17" s="29">
        <f t="shared" si="0"/>
        <v>0.26091218130279215</v>
      </c>
      <c r="R17" s="29">
        <f t="shared" si="1"/>
        <v>1.1335743996040399</v>
      </c>
    </row>
    <row r="18" spans="3:18" x14ac:dyDescent="0.2">
      <c r="E18" s="14" t="s">
        <v>33</v>
      </c>
      <c r="F18" s="22">
        <f t="shared" ref="F18" si="3">SUM(F16:F17)</f>
        <v>-614</v>
      </c>
      <c r="G18" s="22">
        <f t="shared" ref="G18:N18" si="4">SUM(G16:G17)</f>
        <v>-1013</v>
      </c>
      <c r="H18" s="22">
        <f t="shared" si="4"/>
        <v>-1417</v>
      </c>
      <c r="I18" s="22">
        <f t="shared" si="4"/>
        <v>-1245</v>
      </c>
      <c r="J18" s="22">
        <f t="shared" si="4"/>
        <v>-1064</v>
      </c>
      <c r="K18" s="22">
        <f t="shared" si="4"/>
        <v>-911</v>
      </c>
      <c r="L18" s="22">
        <f t="shared" si="4"/>
        <v>-1305</v>
      </c>
      <c r="M18" s="22">
        <f t="shared" si="4"/>
        <v>-969</v>
      </c>
      <c r="N18" s="22">
        <f t="shared" si="4"/>
        <v>-1531</v>
      </c>
      <c r="O18" s="22">
        <f>SUM(O16:O17)</f>
        <v>-1489</v>
      </c>
      <c r="Q18" s="41">
        <f t="shared" si="0"/>
        <v>0.10343656088580055</v>
      </c>
      <c r="R18" s="41">
        <f t="shared" si="1"/>
        <v>4.4948119363673822E-2</v>
      </c>
    </row>
    <row r="19" spans="3:18" x14ac:dyDescent="0.2">
      <c r="E19" s="15" t="s">
        <v>35</v>
      </c>
      <c r="F19" s="19">
        <f t="shared" ref="F19" si="5">+F15+F18</f>
        <v>8056</v>
      </c>
      <c r="G19" s="19">
        <f t="shared" ref="G19:N19" si="6">+G15+G18</f>
        <v>1791</v>
      </c>
      <c r="H19" s="19">
        <f t="shared" si="6"/>
        <v>11137</v>
      </c>
      <c r="I19" s="19">
        <f t="shared" si="6"/>
        <v>14751</v>
      </c>
      <c r="J19" s="19">
        <f t="shared" si="6"/>
        <v>15049</v>
      </c>
      <c r="K19" s="19">
        <f t="shared" si="6"/>
        <v>13510</v>
      </c>
      <c r="L19" s="19">
        <f t="shared" si="6"/>
        <v>24601</v>
      </c>
      <c r="M19" s="19">
        <f t="shared" si="6"/>
        <v>33137</v>
      </c>
      <c r="N19" s="19">
        <f t="shared" si="6"/>
        <v>21401</v>
      </c>
      <c r="O19" s="19">
        <f>+O15+O18</f>
        <v>16048</v>
      </c>
      <c r="Q19" s="41">
        <f t="shared" si="0"/>
        <v>7.9582205501450343E-2</v>
      </c>
      <c r="R19" s="41">
        <f t="shared" si="1"/>
        <v>-0.13272654979285703</v>
      </c>
    </row>
    <row r="20" spans="3:18" x14ac:dyDescent="0.2">
      <c r="E20" t="s">
        <v>36</v>
      </c>
      <c r="F20" s="18">
        <v>-3666</v>
      </c>
      <c r="G20" s="18">
        <v>-2103</v>
      </c>
      <c r="H20" s="18">
        <v>-4443</v>
      </c>
      <c r="I20" s="18">
        <v>-7007</v>
      </c>
      <c r="J20" s="18">
        <v>-5529</v>
      </c>
      <c r="K20" s="18">
        <v>-4774</v>
      </c>
      <c r="L20" s="18">
        <v>-11150</v>
      </c>
      <c r="M20" s="18">
        <v>-10737</v>
      </c>
      <c r="N20" s="18">
        <v>-7077</v>
      </c>
      <c r="O20" s="18">
        <v>-6447</v>
      </c>
      <c r="Q20" s="29">
        <f t="shared" si="0"/>
        <v>6.4732667019081092E-2</v>
      </c>
      <c r="R20" s="29">
        <f t="shared" si="1"/>
        <v>-0.16690549943429955</v>
      </c>
    </row>
    <row r="21" spans="3:18" x14ac:dyDescent="0.2">
      <c r="E21" t="s">
        <v>105</v>
      </c>
      <c r="F21" s="18">
        <v>-1512</v>
      </c>
      <c r="G21" s="18">
        <v>-5895</v>
      </c>
      <c r="H21" s="18">
        <v>-472</v>
      </c>
      <c r="I21" s="18">
        <v>-2921</v>
      </c>
      <c r="J21" s="18">
        <v>-335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Q21" s="29">
        <f t="shared" si="0"/>
        <v>-1</v>
      </c>
      <c r="R21" s="29" t="str">
        <f t="shared" si="1"/>
        <v>n/a</v>
      </c>
    </row>
    <row r="22" spans="3:18" ht="13.5" thickBot="1" x14ac:dyDescent="0.25">
      <c r="E22" s="5" t="s">
        <v>37</v>
      </c>
      <c r="F22" s="23">
        <f t="shared" ref="F22:G22" si="7">SUM(F19:F21)</f>
        <v>2878</v>
      </c>
      <c r="G22" s="23">
        <f t="shared" si="7"/>
        <v>-6207</v>
      </c>
      <c r="H22" s="23">
        <f t="shared" ref="H22" si="8">SUM(H19:H21)</f>
        <v>6222</v>
      </c>
      <c r="I22" s="23">
        <f t="shared" ref="I22" si="9">SUM(I19:I21)</f>
        <v>4823</v>
      </c>
      <c r="J22" s="23">
        <f t="shared" ref="J22" si="10">SUM(J19:J21)</f>
        <v>9185</v>
      </c>
      <c r="K22" s="23">
        <f t="shared" ref="K22:O22" si="11">SUM(K19:K21)</f>
        <v>8736</v>
      </c>
      <c r="L22" s="23">
        <f t="shared" si="11"/>
        <v>13451</v>
      </c>
      <c r="M22" s="23">
        <f t="shared" si="11"/>
        <v>22400</v>
      </c>
      <c r="N22" s="23">
        <f t="shared" si="11"/>
        <v>14324</v>
      </c>
      <c r="O22" s="23">
        <f t="shared" si="11"/>
        <v>9601</v>
      </c>
      <c r="Q22" s="41">
        <f t="shared" si="0"/>
        <v>0.14323677638903964</v>
      </c>
      <c r="R22" s="41">
        <f t="shared" si="1"/>
        <v>-0.10630917563829623</v>
      </c>
    </row>
    <row r="23" spans="3:18" ht="3" customHeight="1" x14ac:dyDescent="0.2"/>
    <row r="24" spans="3:18" x14ac:dyDescent="0.2">
      <c r="E24" s="48" t="s">
        <v>72</v>
      </c>
      <c r="F24" s="26" t="str">
        <f t="shared" ref="F24:O24" si="12">IFERROR(+F11/E11-1,"n/a")</f>
        <v>n/a</v>
      </c>
      <c r="G24" s="26">
        <f t="shared" si="12"/>
        <v>-0.36000089613764674</v>
      </c>
      <c r="H24" s="26">
        <f t="shared" si="12"/>
        <v>0.26492106276472849</v>
      </c>
      <c r="I24" s="26">
        <f t="shared" si="12"/>
        <v>0.20763802407638021</v>
      </c>
      <c r="J24" s="26">
        <f t="shared" si="12"/>
        <v>1.4895274760529764E-2</v>
      </c>
      <c r="K24" s="26">
        <f t="shared" si="12"/>
        <v>-3.0640354046242768E-2</v>
      </c>
      <c r="L24" s="26">
        <f t="shared" si="12"/>
        <v>0.41662202138314974</v>
      </c>
      <c r="M24" s="26">
        <f t="shared" si="12"/>
        <v>7.0391502375980464E-2</v>
      </c>
      <c r="N24" s="26">
        <f t="shared" si="12"/>
        <v>-0.17329257427263511</v>
      </c>
      <c r="O24" s="27">
        <f t="shared" si="12"/>
        <v>3.4208521470910691E-2</v>
      </c>
    </row>
    <row r="25" spans="3:18" x14ac:dyDescent="0.2">
      <c r="E25" s="49" t="s">
        <v>73</v>
      </c>
      <c r="F25" s="29">
        <f t="shared" ref="F25:O25" si="13">IFERROR(+F15/F11,"n/a")</f>
        <v>0.19423783493144547</v>
      </c>
      <c r="G25" s="29">
        <f t="shared" si="13"/>
        <v>9.8155214058179022E-2</v>
      </c>
      <c r="H25" s="29">
        <f t="shared" si="13"/>
        <v>0.34741939947419398</v>
      </c>
      <c r="I25" s="29">
        <f t="shared" si="13"/>
        <v>0.36656125395297678</v>
      </c>
      <c r="J25" s="29">
        <f t="shared" si="13"/>
        <v>0.36382315751445088</v>
      </c>
      <c r="K25" s="29">
        <f t="shared" si="13"/>
        <v>0.33591111318161704</v>
      </c>
      <c r="L25" s="29">
        <f t="shared" si="13"/>
        <v>0.42596642386174915</v>
      </c>
      <c r="M25" s="29">
        <f t="shared" si="13"/>
        <v>0.5239177854926419</v>
      </c>
      <c r="N25" s="29">
        <f t="shared" si="13"/>
        <v>0.42611070851218019</v>
      </c>
      <c r="O25" s="30">
        <f t="shared" si="13"/>
        <v>0.31508498329081175</v>
      </c>
      <c r="Q25" s="42"/>
    </row>
    <row r="26" spans="3:18" x14ac:dyDescent="0.2">
      <c r="E26" s="49" t="s">
        <v>139</v>
      </c>
      <c r="F26" s="29">
        <f>-F20/F19</f>
        <v>0.45506454816285996</v>
      </c>
      <c r="G26" s="29">
        <f t="shared" ref="G26:O26" si="14">-G20/G19</f>
        <v>1.1742043551088777</v>
      </c>
      <c r="H26" s="29">
        <f t="shared" si="14"/>
        <v>0.39894046870791056</v>
      </c>
      <c r="I26" s="29">
        <f t="shared" si="14"/>
        <v>0.47501864280387768</v>
      </c>
      <c r="J26" s="29">
        <f t="shared" si="14"/>
        <v>0.36739982723104525</v>
      </c>
      <c r="K26" s="29">
        <f t="shared" si="14"/>
        <v>0.35336787564766842</v>
      </c>
      <c r="L26" s="29">
        <f t="shared" si="14"/>
        <v>0.45323360838990284</v>
      </c>
      <c r="M26" s="29">
        <f t="shared" si="14"/>
        <v>0.32401846878112078</v>
      </c>
      <c r="N26" s="29">
        <f t="shared" si="14"/>
        <v>0.33068548198682307</v>
      </c>
      <c r="O26" s="30">
        <f t="shared" si="14"/>
        <v>0.40173230309072783</v>
      </c>
      <c r="Q26" s="42"/>
    </row>
    <row r="27" spans="3:18" x14ac:dyDescent="0.2">
      <c r="E27" s="50" t="s">
        <v>74</v>
      </c>
      <c r="F27" s="32" t="str">
        <f t="shared" ref="F27" si="15">IFERROR(+F22/E22-1,"n/a")</f>
        <v>n/a</v>
      </c>
      <c r="G27" s="32">
        <f t="shared" ref="G27" si="16">IFERROR(+G22/F22-1,"n/a")</f>
        <v>-3.1567060458651843</v>
      </c>
      <c r="H27" s="32">
        <f t="shared" ref="H27:O27" si="17">IFERROR(+H22/G22-1,"n/a")</f>
        <v>-2.00241662638956</v>
      </c>
      <c r="I27" s="32">
        <f t="shared" si="17"/>
        <v>-0.22484731597557051</v>
      </c>
      <c r="J27" s="32">
        <f t="shared" si="17"/>
        <v>0.90441633837860258</v>
      </c>
      <c r="K27" s="32">
        <f t="shared" si="17"/>
        <v>-4.8884050081654862E-2</v>
      </c>
      <c r="L27" s="32">
        <f t="shared" si="17"/>
        <v>0.53972069597069594</v>
      </c>
      <c r="M27" s="32">
        <f t="shared" si="17"/>
        <v>0.66530369489257302</v>
      </c>
      <c r="N27" s="32">
        <f t="shared" si="17"/>
        <v>-0.36053571428571429</v>
      </c>
      <c r="O27" s="33">
        <f t="shared" si="17"/>
        <v>-0.32972633342641722</v>
      </c>
    </row>
    <row r="28" spans="3:18" ht="3" customHeight="1" x14ac:dyDescent="0.2"/>
    <row r="29" spans="3:18" ht="10.5" customHeight="1" x14ac:dyDescent="0.2">
      <c r="E29" s="34" t="s">
        <v>75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3:18" x14ac:dyDescent="0.2">
      <c r="F30" s="18"/>
      <c r="G30" s="18"/>
      <c r="H30" s="18"/>
      <c r="I30" s="18"/>
      <c r="J30" s="18"/>
      <c r="K30" s="18"/>
      <c r="L30" s="18"/>
      <c r="M30" s="18"/>
      <c r="N30" s="18"/>
      <c r="O30" s="18"/>
    </row>
    <row r="31" spans="3:18" x14ac:dyDescent="0.2">
      <c r="E31" s="8" t="s">
        <v>39</v>
      </c>
      <c r="F31" s="21">
        <v>2878</v>
      </c>
      <c r="G31" s="21">
        <v>-6207</v>
      </c>
      <c r="H31" s="21">
        <v>6222</v>
      </c>
      <c r="I31" s="21">
        <v>4823</v>
      </c>
      <c r="J31" s="21">
        <v>9185</v>
      </c>
      <c r="K31" s="21">
        <v>8736</v>
      </c>
      <c r="L31" s="21">
        <v>13451</v>
      </c>
      <c r="M31" s="21">
        <v>22400</v>
      </c>
      <c r="N31" s="21">
        <v>14324</v>
      </c>
      <c r="O31" s="21">
        <v>9601</v>
      </c>
    </row>
    <row r="32" spans="3:18" x14ac:dyDescent="0.2">
      <c r="C32" s="17" t="b" cm="1">
        <f t="array" ref="C32">AND(G32:O32&lt;$B$1,G32:O32&gt;-$B$1)</f>
        <v>1</v>
      </c>
      <c r="E32" s="8" t="s">
        <v>38</v>
      </c>
      <c r="F32" s="21">
        <f t="shared" ref="F32:O32" si="18">+F31-F22</f>
        <v>0</v>
      </c>
      <c r="G32" s="21">
        <f t="shared" si="18"/>
        <v>0</v>
      </c>
      <c r="H32" s="21">
        <f t="shared" si="18"/>
        <v>0</v>
      </c>
      <c r="I32" s="21">
        <f t="shared" si="18"/>
        <v>0</v>
      </c>
      <c r="J32" s="21">
        <f t="shared" si="18"/>
        <v>0</v>
      </c>
      <c r="K32" s="21">
        <f t="shared" si="18"/>
        <v>0</v>
      </c>
      <c r="L32" s="21">
        <f t="shared" si="18"/>
        <v>0</v>
      </c>
      <c r="M32" s="21">
        <f t="shared" si="18"/>
        <v>0</v>
      </c>
      <c r="N32" s="21">
        <f t="shared" si="18"/>
        <v>0</v>
      </c>
      <c r="O32" s="21">
        <f t="shared" si="18"/>
        <v>0</v>
      </c>
    </row>
    <row r="33" spans="5:18" x14ac:dyDescent="0.2">
      <c r="F33" s="18"/>
      <c r="G33" s="18"/>
      <c r="H33" s="18"/>
      <c r="I33" s="18"/>
      <c r="J33" s="18"/>
      <c r="K33" s="18"/>
      <c r="L33" s="18"/>
      <c r="M33" s="18"/>
      <c r="N33" s="18"/>
      <c r="O33" s="18"/>
    </row>
    <row r="34" spans="5:18" x14ac:dyDescent="0.2">
      <c r="E34" s="5" t="str">
        <f>Input!$E$8&amp;" - BS"</f>
        <v>BHP - BS</v>
      </c>
      <c r="O34" s="9"/>
      <c r="Q34" s="40" t="s">
        <v>111</v>
      </c>
      <c r="R34" s="39"/>
    </row>
    <row r="35" spans="5:18" x14ac:dyDescent="0.2">
      <c r="E35" s="10" t="str">
        <f>+Input!$E$14</f>
        <v>USDmn</v>
      </c>
      <c r="F35" s="24" t="s">
        <v>110</v>
      </c>
      <c r="G35" s="24" t="s">
        <v>41</v>
      </c>
      <c r="H35" s="24" t="s">
        <v>42</v>
      </c>
      <c r="I35" s="24" t="s">
        <v>43</v>
      </c>
      <c r="J35" s="24" t="s">
        <v>44</v>
      </c>
      <c r="K35" s="24" t="s">
        <v>45</v>
      </c>
      <c r="L35" s="24" t="s">
        <v>46</v>
      </c>
      <c r="M35" s="24" t="s">
        <v>47</v>
      </c>
      <c r="N35" s="24" t="s">
        <v>48</v>
      </c>
      <c r="O35" s="24" t="s">
        <v>49</v>
      </c>
      <c r="Q35" s="39" t="s">
        <v>112</v>
      </c>
      <c r="R35" s="39" t="s">
        <v>113</v>
      </c>
    </row>
    <row r="36" spans="5:18" ht="3" customHeight="1" x14ac:dyDescent="0.2"/>
    <row r="37" spans="5:18" x14ac:dyDescent="0.2">
      <c r="E37" s="13" t="s">
        <v>54</v>
      </c>
      <c r="F37" s="18">
        <v>94072</v>
      </c>
      <c r="G37" s="18">
        <v>83975</v>
      </c>
      <c r="H37" s="18">
        <v>80497</v>
      </c>
      <c r="I37" s="18">
        <v>67182</v>
      </c>
      <c r="J37" s="18">
        <v>68041</v>
      </c>
      <c r="K37" s="18">
        <v>72362</v>
      </c>
      <c r="L37" s="18">
        <v>73813</v>
      </c>
      <c r="M37" s="18">
        <v>61295</v>
      </c>
      <c r="N37" s="18">
        <v>71818</v>
      </c>
      <c r="O37" s="18">
        <v>71629</v>
      </c>
      <c r="Q37" s="29">
        <f>IFERROR((O37/F37)^(1/9)-1,"n/a")</f>
        <v>-2.983051102569112E-2</v>
      </c>
      <c r="R37" s="29">
        <f>IFERROR((O37/L37)^(1/3)-1,"n/a")</f>
        <v>-9.9616665887675149E-3</v>
      </c>
    </row>
    <row r="38" spans="5:18" x14ac:dyDescent="0.2">
      <c r="E38" s="13" t="s">
        <v>55</v>
      </c>
      <c r="F38" s="20">
        <f>108211-F37</f>
        <v>14139</v>
      </c>
      <c r="G38" s="20">
        <f>101239-G37</f>
        <v>17264</v>
      </c>
      <c r="H38" s="20">
        <f>95950-H37</f>
        <v>15453</v>
      </c>
      <c r="I38" s="20">
        <f>76863-I37</f>
        <v>9681</v>
      </c>
      <c r="J38" s="20">
        <f>77488-J37</f>
        <v>9447</v>
      </c>
      <c r="K38" s="20">
        <f>83312-K37</f>
        <v>10950</v>
      </c>
      <c r="L38" s="20">
        <f>82234-L37</f>
        <v>8421</v>
      </c>
      <c r="M38" s="20">
        <f>66502-M37</f>
        <v>5207</v>
      </c>
      <c r="N38" s="20">
        <f>77945-N37</f>
        <v>6127</v>
      </c>
      <c r="O38" s="20">
        <f>78024-O37</f>
        <v>6395</v>
      </c>
      <c r="Q38" s="29">
        <f t="shared" ref="Q38:Q56" si="19">IFERROR((O38/F38)^(1/9)-1,"n/a")</f>
        <v>-8.4383649623188339E-2</v>
      </c>
      <c r="R38" s="29">
        <f t="shared" ref="R38:R56" si="20">IFERROR((O38/L38)^(1/3)-1,"n/a")</f>
        <v>-8.7655285294620633E-2</v>
      </c>
    </row>
    <row r="39" spans="5:18" x14ac:dyDescent="0.2">
      <c r="E39" s="5" t="s">
        <v>56</v>
      </c>
      <c r="F39" s="19">
        <f t="shared" ref="F39" si="21">SUM(F37:F38)</f>
        <v>108211</v>
      </c>
      <c r="G39" s="19">
        <f t="shared" ref="G39:M39" si="22">SUM(G37:G38)</f>
        <v>101239</v>
      </c>
      <c r="H39" s="19">
        <f t="shared" si="22"/>
        <v>95950</v>
      </c>
      <c r="I39" s="19">
        <f t="shared" si="22"/>
        <v>76863</v>
      </c>
      <c r="J39" s="19">
        <f t="shared" si="22"/>
        <v>77488</v>
      </c>
      <c r="K39" s="19">
        <f t="shared" si="22"/>
        <v>83312</v>
      </c>
      <c r="L39" s="19">
        <f t="shared" si="22"/>
        <v>82234</v>
      </c>
      <c r="M39" s="19">
        <f t="shared" si="22"/>
        <v>66502</v>
      </c>
      <c r="N39" s="19">
        <f>SUM(N37:N38)</f>
        <v>77945</v>
      </c>
      <c r="O39" s="19">
        <f>SUM(O37:O38)</f>
        <v>78024</v>
      </c>
      <c r="Q39" s="41">
        <f t="shared" si="19"/>
        <v>-3.5688330610342267E-2</v>
      </c>
      <c r="R39" s="41">
        <f t="shared" si="20"/>
        <v>-1.7364918075768898E-2</v>
      </c>
    </row>
    <row r="40" spans="5:18" x14ac:dyDescent="0.2">
      <c r="E40" s="13" t="s">
        <v>50</v>
      </c>
      <c r="F40" s="18">
        <v>6753</v>
      </c>
      <c r="G40" s="18">
        <v>10319</v>
      </c>
      <c r="H40" s="18">
        <v>14153</v>
      </c>
      <c r="I40" s="18">
        <v>15871</v>
      </c>
      <c r="J40" s="18">
        <v>15613</v>
      </c>
      <c r="K40" s="18">
        <v>13426</v>
      </c>
      <c r="L40" s="18">
        <v>15246</v>
      </c>
      <c r="M40" s="18">
        <v>17236</v>
      </c>
      <c r="N40" s="18">
        <v>12428</v>
      </c>
      <c r="O40" s="18">
        <v>12501</v>
      </c>
      <c r="Q40" s="29">
        <f t="shared" si="19"/>
        <v>7.0819928551458577E-2</v>
      </c>
      <c r="R40" s="29">
        <f t="shared" si="20"/>
        <v>-6.4027806569489365E-2</v>
      </c>
    </row>
    <row r="41" spans="5:18" x14ac:dyDescent="0.2">
      <c r="E41" s="13" t="s">
        <v>51</v>
      </c>
      <c r="F41" s="18">
        <v>4321</v>
      </c>
      <c r="G41" s="18">
        <v>3155</v>
      </c>
      <c r="H41" s="18">
        <v>2836</v>
      </c>
      <c r="I41" s="18">
        <v>3096</v>
      </c>
      <c r="J41" s="18">
        <v>3462</v>
      </c>
      <c r="K41" s="18">
        <v>3364</v>
      </c>
      <c r="L41" s="18">
        <v>6059</v>
      </c>
      <c r="M41" s="18">
        <v>5426</v>
      </c>
      <c r="N41" s="18">
        <v>4594</v>
      </c>
      <c r="O41" s="18">
        <v>5169</v>
      </c>
      <c r="Q41" s="29">
        <f t="shared" si="19"/>
        <v>2.0109796850222406E-2</v>
      </c>
      <c r="R41" s="29">
        <f t="shared" si="20"/>
        <v>-5.157747503533916E-2</v>
      </c>
    </row>
    <row r="42" spans="5:18" x14ac:dyDescent="0.2">
      <c r="E42" s="13" t="s">
        <v>52</v>
      </c>
      <c r="F42" s="18">
        <v>4292</v>
      </c>
      <c r="G42" s="18">
        <v>3411</v>
      </c>
      <c r="H42" s="18">
        <v>3673</v>
      </c>
      <c r="I42" s="18">
        <v>3764</v>
      </c>
      <c r="J42" s="18">
        <v>3840</v>
      </c>
      <c r="K42" s="18">
        <v>4101</v>
      </c>
      <c r="L42" s="18">
        <v>4426</v>
      </c>
      <c r="M42" s="18">
        <v>4935</v>
      </c>
      <c r="N42" s="18">
        <v>5220</v>
      </c>
      <c r="O42" s="18">
        <v>5828</v>
      </c>
      <c r="Q42" s="29">
        <f t="shared" si="19"/>
        <v>3.4575532721125013E-2</v>
      </c>
      <c r="R42" s="29">
        <f t="shared" si="20"/>
        <v>9.6064330192798808E-2</v>
      </c>
    </row>
    <row r="43" spans="5:18" x14ac:dyDescent="0.2">
      <c r="E43" s="13" t="s">
        <v>57</v>
      </c>
      <c r="F43" s="20">
        <f>83+658+262</f>
        <v>1003</v>
      </c>
      <c r="G43" s="20">
        <f>121+567+141</f>
        <v>829</v>
      </c>
      <c r="H43" s="20">
        <f>72+195+127</f>
        <v>394</v>
      </c>
      <c r="I43" s="20">
        <f>200+11939+106+154</f>
        <v>12399</v>
      </c>
      <c r="J43" s="20">
        <f>87+124+247</f>
        <v>458</v>
      </c>
      <c r="K43" s="20">
        <f>84+366+130</f>
        <v>580</v>
      </c>
      <c r="L43" s="20">
        <f>230+324+279+129</f>
        <v>962</v>
      </c>
      <c r="M43" s="20">
        <f>629+263+175</f>
        <v>1067</v>
      </c>
      <c r="N43" s="20">
        <f>470+508+131</f>
        <v>1109</v>
      </c>
      <c r="O43" s="20">
        <f>381+314+145</f>
        <v>840</v>
      </c>
      <c r="Q43" s="29">
        <f t="shared" si="19"/>
        <v>-1.9512549885316588E-2</v>
      </c>
      <c r="R43" s="29">
        <f t="shared" si="20"/>
        <v>-4.4197699805307522E-2</v>
      </c>
    </row>
    <row r="44" spans="5:18" x14ac:dyDescent="0.2">
      <c r="E44" s="5" t="s">
        <v>58</v>
      </c>
      <c r="F44" s="19">
        <f t="shared" ref="F44:G44" si="23">SUM(F40:F43)</f>
        <v>16369</v>
      </c>
      <c r="G44" s="19">
        <f t="shared" si="23"/>
        <v>17714</v>
      </c>
      <c r="H44" s="19">
        <f t="shared" ref="H44" si="24">SUM(H40:H43)</f>
        <v>21056</v>
      </c>
      <c r="I44" s="19">
        <f t="shared" ref="I44" si="25">SUM(I40:I43)</f>
        <v>35130</v>
      </c>
      <c r="J44" s="19">
        <f t="shared" ref="J44" si="26">SUM(J40:J43)</f>
        <v>23373</v>
      </c>
      <c r="K44" s="19">
        <f t="shared" ref="K44" si="27">SUM(K40:K43)</f>
        <v>21471</v>
      </c>
      <c r="L44" s="19">
        <f t="shared" ref="L44" si="28">SUM(L40:L43)</f>
        <v>26693</v>
      </c>
      <c r="M44" s="19">
        <f t="shared" ref="M44" si="29">SUM(M40:M43)</f>
        <v>28664</v>
      </c>
      <c r="N44" s="19">
        <f t="shared" ref="N44" si="30">SUM(N40:N43)</f>
        <v>23351</v>
      </c>
      <c r="O44" s="19">
        <f>SUM(O40:O43)</f>
        <v>24338</v>
      </c>
      <c r="Q44" s="41">
        <f t="shared" si="19"/>
        <v>4.5057783595464862E-2</v>
      </c>
      <c r="R44" s="41">
        <f t="shared" si="20"/>
        <v>-3.0318373319757064E-2</v>
      </c>
    </row>
    <row r="45" spans="5:18" ht="13.5" thickBot="1" x14ac:dyDescent="0.25">
      <c r="E45" s="5" t="s">
        <v>59</v>
      </c>
      <c r="F45" s="23">
        <f t="shared" ref="F45" si="31">+F44+F39</f>
        <v>124580</v>
      </c>
      <c r="G45" s="23">
        <f t="shared" ref="G45:N45" si="32">+G44+G39</f>
        <v>118953</v>
      </c>
      <c r="H45" s="23">
        <f t="shared" si="32"/>
        <v>117006</v>
      </c>
      <c r="I45" s="23">
        <f t="shared" si="32"/>
        <v>111993</v>
      </c>
      <c r="J45" s="23">
        <f t="shared" si="32"/>
        <v>100861</v>
      </c>
      <c r="K45" s="23">
        <f t="shared" si="32"/>
        <v>104783</v>
      </c>
      <c r="L45" s="23">
        <f t="shared" si="32"/>
        <v>108927</v>
      </c>
      <c r="M45" s="23">
        <f t="shared" si="32"/>
        <v>95166</v>
      </c>
      <c r="N45" s="23">
        <f t="shared" si="32"/>
        <v>101296</v>
      </c>
      <c r="O45" s="23">
        <f>+O44+O39</f>
        <v>102362</v>
      </c>
      <c r="Q45" s="41">
        <f t="shared" si="19"/>
        <v>-2.1589376514299152E-2</v>
      </c>
      <c r="R45" s="41">
        <f t="shared" si="20"/>
        <v>-2.0507593811057045E-2</v>
      </c>
    </row>
    <row r="46" spans="5:18" ht="3" customHeight="1" x14ac:dyDescent="0.2">
      <c r="F46" s="18"/>
      <c r="G46" s="18"/>
      <c r="H46" s="18"/>
      <c r="I46" s="18"/>
      <c r="J46" s="18"/>
      <c r="K46" s="18"/>
      <c r="L46" s="18"/>
      <c r="M46" s="18"/>
      <c r="N46" s="18"/>
      <c r="O46" s="18"/>
      <c r="Q46" s="29" t="str">
        <f t="shared" si="19"/>
        <v>n/a</v>
      </c>
      <c r="R46" s="29" t="str">
        <f t="shared" si="20"/>
        <v>n/a</v>
      </c>
    </row>
    <row r="47" spans="5:18" x14ac:dyDescent="0.2">
      <c r="E47" s="13" t="s">
        <v>61</v>
      </c>
      <c r="F47" s="18">
        <v>64768</v>
      </c>
      <c r="G47" s="18">
        <v>54290</v>
      </c>
      <c r="H47" s="18">
        <v>57258</v>
      </c>
      <c r="I47" s="18">
        <v>55592</v>
      </c>
      <c r="J47" s="18">
        <v>47240</v>
      </c>
      <c r="K47" s="18">
        <v>47936</v>
      </c>
      <c r="L47" s="18">
        <v>51264</v>
      </c>
      <c r="M47" s="18">
        <v>44957</v>
      </c>
      <c r="N47" s="18">
        <v>44496</v>
      </c>
      <c r="O47" s="18">
        <v>44811</v>
      </c>
      <c r="Q47" s="29">
        <f t="shared" si="19"/>
        <v>-4.0102400783142422E-2</v>
      </c>
      <c r="R47" s="29">
        <f t="shared" si="20"/>
        <v>-4.3854360999819653E-2</v>
      </c>
    </row>
    <row r="48" spans="5:18" x14ac:dyDescent="0.2">
      <c r="E48" s="13" t="s">
        <v>62</v>
      </c>
      <c r="F48" s="20">
        <v>5777</v>
      </c>
      <c r="G48" s="20">
        <v>5781</v>
      </c>
      <c r="H48" s="20">
        <v>5468</v>
      </c>
      <c r="I48" s="20">
        <v>5078</v>
      </c>
      <c r="J48" s="20">
        <v>4584</v>
      </c>
      <c r="K48" s="20">
        <v>4310</v>
      </c>
      <c r="L48" s="20">
        <v>4341</v>
      </c>
      <c r="M48" s="20">
        <v>3809</v>
      </c>
      <c r="N48" s="20">
        <v>4034</v>
      </c>
      <c r="O48" s="20">
        <v>4309</v>
      </c>
      <c r="Q48" s="29">
        <f t="shared" si="19"/>
        <v>-3.2050542565487339E-2</v>
      </c>
      <c r="R48" s="29">
        <f t="shared" si="20"/>
        <v>-2.4632537604569738E-3</v>
      </c>
    </row>
    <row r="49" spans="5:18" x14ac:dyDescent="0.2">
      <c r="E49" s="5" t="s">
        <v>63</v>
      </c>
      <c r="F49" s="19">
        <f t="shared" ref="F49:G49" si="33">SUM(F47:F48)</f>
        <v>70545</v>
      </c>
      <c r="G49" s="19">
        <f t="shared" si="33"/>
        <v>60071</v>
      </c>
      <c r="H49" s="19">
        <f t="shared" ref="H49" si="34">SUM(H47:H48)</f>
        <v>62726</v>
      </c>
      <c r="I49" s="19">
        <f t="shared" ref="I49" si="35">SUM(I47:I48)</f>
        <v>60670</v>
      </c>
      <c r="J49" s="19">
        <f t="shared" ref="J49" si="36">SUM(J47:J48)</f>
        <v>51824</v>
      </c>
      <c r="K49" s="19">
        <f t="shared" ref="K49" si="37">SUM(K47:K48)</f>
        <v>52246</v>
      </c>
      <c r="L49" s="19">
        <f t="shared" ref="L49" si="38">SUM(L47:L48)</f>
        <v>55605</v>
      </c>
      <c r="M49" s="19">
        <f t="shared" ref="M49" si="39">SUM(M47:M48)</f>
        <v>48766</v>
      </c>
      <c r="N49" s="19">
        <f t="shared" ref="N49" si="40">SUM(N47:N48)</f>
        <v>48530</v>
      </c>
      <c r="O49" s="19">
        <f>SUM(O47:O48)</f>
        <v>49120</v>
      </c>
      <c r="Q49" s="41">
        <f t="shared" si="19"/>
        <v>-3.9422393722578164E-2</v>
      </c>
      <c r="R49" s="41">
        <f t="shared" si="20"/>
        <v>-4.0492947914153143E-2</v>
      </c>
    </row>
    <row r="50" spans="5:18" x14ac:dyDescent="0.2">
      <c r="E50" t="s">
        <v>64</v>
      </c>
      <c r="F50" s="18">
        <f>7389+29</f>
        <v>7418</v>
      </c>
      <c r="G50" s="18">
        <f>5389+13</f>
        <v>5402</v>
      </c>
      <c r="H50" s="18">
        <f>5+5551</f>
        <v>5556</v>
      </c>
      <c r="I50" s="18">
        <f>5977+3</f>
        <v>5980</v>
      </c>
      <c r="J50" s="18">
        <f>6717+5</f>
        <v>6722</v>
      </c>
      <c r="K50" s="18">
        <f>5767+1</f>
        <v>5768</v>
      </c>
      <c r="L50" s="18">
        <v>7027</v>
      </c>
      <c r="M50" s="18">
        <v>6687</v>
      </c>
      <c r="N50" s="18">
        <f>6296+4</f>
        <v>6300</v>
      </c>
      <c r="O50" s="18">
        <f>6719+45</f>
        <v>6764</v>
      </c>
      <c r="P50" s="18"/>
      <c r="Q50" s="29">
        <f t="shared" si="19"/>
        <v>-1.020260205451462E-2</v>
      </c>
      <c r="R50" s="29">
        <f t="shared" si="20"/>
        <v>-1.2634651109362793E-2</v>
      </c>
    </row>
    <row r="51" spans="5:18" x14ac:dyDescent="0.2">
      <c r="E51" t="s">
        <v>65</v>
      </c>
      <c r="F51" s="18">
        <f>3201+27969</f>
        <v>31170</v>
      </c>
      <c r="G51" s="18">
        <f>4653+31768</f>
        <v>36421</v>
      </c>
      <c r="H51" s="18">
        <f>1241+29233</f>
        <v>30474</v>
      </c>
      <c r="I51" s="18">
        <f>2736+24069</f>
        <v>26805</v>
      </c>
      <c r="J51" s="18">
        <f>1661+23167</f>
        <v>24828</v>
      </c>
      <c r="K51" s="18">
        <f>5012+22036</f>
        <v>27048</v>
      </c>
      <c r="L51" s="18">
        <f>2628+18355</f>
        <v>20983</v>
      </c>
      <c r="M51" s="18">
        <f>2622+13806</f>
        <v>16428</v>
      </c>
      <c r="N51" s="18">
        <f>7173+15172</f>
        <v>22345</v>
      </c>
      <c r="O51" s="18">
        <f>2084+18634</f>
        <v>20718</v>
      </c>
      <c r="Q51" s="29">
        <f t="shared" si="19"/>
        <v>-4.4369254070172226E-2</v>
      </c>
      <c r="R51" s="29">
        <f t="shared" si="20"/>
        <v>-4.2276045591143063E-3</v>
      </c>
    </row>
    <row r="52" spans="5:18" x14ac:dyDescent="0.2">
      <c r="E52" t="s">
        <v>67</v>
      </c>
      <c r="F52" s="18">
        <f>251+1031</f>
        <v>1282</v>
      </c>
      <c r="G52" s="18">
        <f>5+1778</f>
        <v>1783</v>
      </c>
      <c r="H52" s="18">
        <f>394+0+1106</f>
        <v>1500</v>
      </c>
      <c r="I52" s="18">
        <f>138+1093</f>
        <v>1231</v>
      </c>
      <c r="J52" s="18">
        <f>127+896</f>
        <v>1023</v>
      </c>
      <c r="K52" s="18">
        <f>225+1414</f>
        <v>1639</v>
      </c>
      <c r="L52" s="18">
        <f>130+1146</f>
        <v>1276</v>
      </c>
      <c r="M52" s="18">
        <f>579+1997</f>
        <v>2576</v>
      </c>
      <c r="N52" s="18">
        <f>402+2157</f>
        <v>2559</v>
      </c>
      <c r="O52" s="18">
        <f>512+1759</f>
        <v>2271</v>
      </c>
      <c r="Q52" s="29">
        <f t="shared" si="19"/>
        <v>6.5594875351186799E-2</v>
      </c>
      <c r="R52" s="29">
        <f t="shared" si="20"/>
        <v>0.21186847090226024</v>
      </c>
    </row>
    <row r="53" spans="5:18" x14ac:dyDescent="0.2">
      <c r="E53" t="s">
        <v>66</v>
      </c>
      <c r="F53" s="18">
        <f>1676+7306</f>
        <v>8982</v>
      </c>
      <c r="G53" s="18">
        <f>1765+8381</f>
        <v>10146</v>
      </c>
      <c r="H53" s="18">
        <f>1959+8445</f>
        <v>10404</v>
      </c>
      <c r="I53" s="18">
        <f>2025+8223</f>
        <v>10248</v>
      </c>
      <c r="J53" s="18">
        <f>2175+8928</f>
        <v>11103</v>
      </c>
      <c r="K53" s="18">
        <f>2810+11185</f>
        <v>13995</v>
      </c>
      <c r="L53" s="18">
        <f>3696+13799</f>
        <v>17495</v>
      </c>
      <c r="M53" s="18">
        <f>3965+10478</f>
        <v>14443</v>
      </c>
      <c r="N53" s="18">
        <f>4514+11973</f>
        <v>16487</v>
      </c>
      <c r="O53" s="18">
        <f>4007+15088</f>
        <v>19095</v>
      </c>
      <c r="Q53" s="29">
        <f t="shared" si="19"/>
        <v>8.7411866552221218E-2</v>
      </c>
      <c r="R53" s="29">
        <f t="shared" si="20"/>
        <v>2.9600090247357214E-2</v>
      </c>
    </row>
    <row r="54" spans="5:18" x14ac:dyDescent="0.2">
      <c r="E54" t="s">
        <v>53</v>
      </c>
      <c r="F54" s="20">
        <f>207+129+4542+305</f>
        <v>5183</v>
      </c>
      <c r="G54" s="20">
        <f>4324+278+451+77</f>
        <v>5130</v>
      </c>
      <c r="H54" s="20">
        <f>2119+102+3765+360</f>
        <v>6346</v>
      </c>
      <c r="I54" s="20">
        <f>1222+1773+118+137+3472+337</f>
        <v>7059</v>
      </c>
      <c r="J54" s="20">
        <f>1546+113+187+3234+281</f>
        <v>5361</v>
      </c>
      <c r="K54" s="20">
        <f>913+97+109+2758+210</f>
        <v>4087</v>
      </c>
      <c r="L54" s="20">
        <f>17+105+2800+120+3314+185</f>
        <v>6541</v>
      </c>
      <c r="M54" s="20">
        <f>34+3032+87+3063+50</f>
        <v>6266</v>
      </c>
      <c r="N54" s="20">
        <f>611+47+68+4299+50</f>
        <v>5075</v>
      </c>
      <c r="O54" s="20">
        <f>884+90+40+3332+48</f>
        <v>4394</v>
      </c>
      <c r="Q54" s="29">
        <f t="shared" si="19"/>
        <v>-1.8182016425221659E-2</v>
      </c>
      <c r="R54" s="29">
        <f t="shared" si="20"/>
        <v>-0.12419927342788539</v>
      </c>
    </row>
    <row r="55" spans="5:18" x14ac:dyDescent="0.2">
      <c r="E55" s="5" t="s">
        <v>60</v>
      </c>
      <c r="F55" s="19">
        <f t="shared" ref="F55" si="41">SUM(F50:F54)</f>
        <v>54035</v>
      </c>
      <c r="G55" s="19">
        <f t="shared" ref="G55:N55" si="42">SUM(G50:G54)</f>
        <v>58882</v>
      </c>
      <c r="H55" s="19">
        <f t="shared" si="42"/>
        <v>54280</v>
      </c>
      <c r="I55" s="19">
        <f t="shared" si="42"/>
        <v>51323</v>
      </c>
      <c r="J55" s="19">
        <f t="shared" si="42"/>
        <v>49037</v>
      </c>
      <c r="K55" s="19">
        <f t="shared" si="42"/>
        <v>52537</v>
      </c>
      <c r="L55" s="19">
        <f t="shared" si="42"/>
        <v>53322</v>
      </c>
      <c r="M55" s="19">
        <f t="shared" si="42"/>
        <v>46400</v>
      </c>
      <c r="N55" s="19">
        <f t="shared" si="42"/>
        <v>52766</v>
      </c>
      <c r="O55" s="19">
        <f>SUM(O50:O54)</f>
        <v>53242</v>
      </c>
      <c r="Q55" s="41">
        <f t="shared" si="19"/>
        <v>-1.6413655053590936E-3</v>
      </c>
      <c r="R55" s="41">
        <f t="shared" si="20"/>
        <v>-5.0035658754177259E-4</v>
      </c>
    </row>
    <row r="56" spans="5:18" ht="13.5" thickBot="1" x14ac:dyDescent="0.25">
      <c r="E56" s="5" t="s">
        <v>68</v>
      </c>
      <c r="F56" s="23">
        <f t="shared" ref="F56" si="43">+F55+F49</f>
        <v>124580</v>
      </c>
      <c r="G56" s="23">
        <f t="shared" ref="G56:N56" si="44">+G55+G49</f>
        <v>118953</v>
      </c>
      <c r="H56" s="23">
        <f t="shared" si="44"/>
        <v>117006</v>
      </c>
      <c r="I56" s="23">
        <f t="shared" si="44"/>
        <v>111993</v>
      </c>
      <c r="J56" s="23">
        <f t="shared" si="44"/>
        <v>100861</v>
      </c>
      <c r="K56" s="23">
        <f t="shared" si="44"/>
        <v>104783</v>
      </c>
      <c r="L56" s="23">
        <f t="shared" si="44"/>
        <v>108927</v>
      </c>
      <c r="M56" s="23">
        <f t="shared" si="44"/>
        <v>95166</v>
      </c>
      <c r="N56" s="23">
        <f t="shared" si="44"/>
        <v>101296</v>
      </c>
      <c r="O56" s="23">
        <f>+O55+O49</f>
        <v>102362</v>
      </c>
      <c r="Q56" s="41">
        <f t="shared" si="19"/>
        <v>-2.1589376514299152E-2</v>
      </c>
      <c r="R56" s="41">
        <f t="shared" si="20"/>
        <v>-2.0507593811057045E-2</v>
      </c>
    </row>
    <row r="57" spans="5:18" ht="3" customHeight="1" x14ac:dyDescent="0.2"/>
    <row r="58" spans="5:18" x14ac:dyDescent="0.2">
      <c r="E58" s="48" t="s">
        <v>114</v>
      </c>
      <c r="F58" s="26">
        <f>+F49/F56</f>
        <v>0.56626264247872848</v>
      </c>
      <c r="G58" s="26">
        <f t="shared" ref="G58:O58" si="45">+G49/G56</f>
        <v>0.50499777222936792</v>
      </c>
      <c r="H58" s="26">
        <f>+H49/H56</f>
        <v>0.53609216621369848</v>
      </c>
      <c r="I58" s="26">
        <f t="shared" si="45"/>
        <v>0.5417302867143482</v>
      </c>
      <c r="J58" s="26">
        <f t="shared" si="45"/>
        <v>0.51381604386234525</v>
      </c>
      <c r="K58" s="26">
        <f t="shared" si="45"/>
        <v>0.49861141597396524</v>
      </c>
      <c r="L58" s="26">
        <f t="shared" si="45"/>
        <v>0.51047949544190141</v>
      </c>
      <c r="M58" s="26">
        <f t="shared" si="45"/>
        <v>0.51243091019902065</v>
      </c>
      <c r="N58" s="26">
        <f t="shared" si="45"/>
        <v>0.47909098088769547</v>
      </c>
      <c r="O58" s="27">
        <f t="shared" si="45"/>
        <v>0.47986557511576561</v>
      </c>
    </row>
    <row r="59" spans="5:18" x14ac:dyDescent="0.2">
      <c r="E59" s="28" t="s">
        <v>169</v>
      </c>
      <c r="F59" s="29" t="s">
        <v>107</v>
      </c>
      <c r="G59" s="29">
        <f>G16/AVERAGE(F51:G51)*-1</f>
        <v>3.4028199020579665E-2</v>
      </c>
      <c r="H59" s="29">
        <f t="shared" ref="H59:O59" si="46">H16/AVERAGE(G51:H51)*-1</f>
        <v>4.6640257119366174E-2</v>
      </c>
      <c r="I59" s="29">
        <f t="shared" si="46"/>
        <v>5.471464236456642E-2</v>
      </c>
      <c r="J59" s="29">
        <f t="shared" si="46"/>
        <v>5.8489725563108864E-2</v>
      </c>
      <c r="K59" s="29">
        <f t="shared" si="46"/>
        <v>4.8654483768987587E-2</v>
      </c>
      <c r="L59" s="29">
        <f t="shared" si="46"/>
        <v>5.7379609002519205E-2</v>
      </c>
      <c r="M59" s="29">
        <f t="shared" si="46"/>
        <v>5.6133222848894708E-2</v>
      </c>
      <c r="N59" s="29">
        <f t="shared" si="46"/>
        <v>0.10625951048409976</v>
      </c>
      <c r="O59" s="30">
        <f t="shared" si="46"/>
        <v>0.10208299468220979</v>
      </c>
    </row>
    <row r="60" spans="5:18" x14ac:dyDescent="0.2">
      <c r="E60" s="31"/>
      <c r="F60" s="32"/>
      <c r="G60" s="32"/>
      <c r="H60" s="32"/>
      <c r="I60" s="32"/>
      <c r="J60" s="32"/>
      <c r="K60" s="32"/>
      <c r="L60" s="32"/>
      <c r="M60" s="32"/>
      <c r="N60" s="32"/>
      <c r="O60" s="33"/>
    </row>
    <row r="61" spans="5:18" ht="3" customHeight="1" x14ac:dyDescent="0.2"/>
    <row r="62" spans="5:18" ht="10.5" customHeight="1" x14ac:dyDescent="0.2">
      <c r="E62" s="34" t="s">
        <v>75</v>
      </c>
      <c r="F62" s="18"/>
      <c r="G62" s="18"/>
      <c r="H62" s="18"/>
      <c r="I62" s="18"/>
      <c r="J62" s="18"/>
      <c r="K62" s="18"/>
      <c r="L62" s="18"/>
      <c r="M62" s="18"/>
      <c r="N62" s="18"/>
      <c r="O62" s="18"/>
    </row>
    <row r="63" spans="5:18" x14ac:dyDescent="0.2">
      <c r="F63" s="18"/>
      <c r="G63" s="18"/>
      <c r="H63" s="18"/>
      <c r="I63" s="18"/>
      <c r="J63" s="18"/>
      <c r="K63" s="18"/>
      <c r="L63" s="18"/>
      <c r="M63" s="18"/>
      <c r="N63" s="18"/>
      <c r="O63" s="18"/>
    </row>
    <row r="64" spans="5:18" x14ac:dyDescent="0.2">
      <c r="E64" s="8" t="s">
        <v>39</v>
      </c>
      <c r="F64" s="21">
        <v>124580</v>
      </c>
      <c r="G64" s="21">
        <v>118953</v>
      </c>
      <c r="H64" s="21">
        <v>117006</v>
      </c>
      <c r="I64" s="21">
        <v>111993</v>
      </c>
      <c r="J64" s="21">
        <v>100861</v>
      </c>
      <c r="K64" s="21">
        <v>104783</v>
      </c>
      <c r="L64" s="21">
        <v>108927</v>
      </c>
      <c r="M64" s="21">
        <v>95166</v>
      </c>
      <c r="N64" s="21">
        <v>101296</v>
      </c>
      <c r="O64" s="21">
        <v>102362</v>
      </c>
    </row>
    <row r="65" spans="3:20" x14ac:dyDescent="0.2">
      <c r="C65" s="17" t="b" cm="1">
        <f t="array" ref="C65">AND(G65:O65&lt;$B$1,G65:O65&gt;-$B$1)</f>
        <v>1</v>
      </c>
      <c r="E65" s="8" t="s">
        <v>38</v>
      </c>
      <c r="F65" s="21">
        <f t="shared" ref="F65:G65" si="47">+F64-F56</f>
        <v>0</v>
      </c>
      <c r="G65" s="21">
        <f t="shared" si="47"/>
        <v>0</v>
      </c>
      <c r="H65" s="21">
        <f t="shared" ref="H65" si="48">+H64-H56</f>
        <v>0</v>
      </c>
      <c r="I65" s="21">
        <f t="shared" ref="I65" si="49">+I64-I56</f>
        <v>0</v>
      </c>
      <c r="J65" s="21">
        <f t="shared" ref="J65" si="50">+J64-J56</f>
        <v>0</v>
      </c>
      <c r="K65" s="21">
        <f t="shared" ref="K65" si="51">+K64-K56</f>
        <v>0</v>
      </c>
      <c r="L65" s="21">
        <f t="shared" ref="L65" si="52">+L64-L56</f>
        <v>0</v>
      </c>
      <c r="M65" s="21">
        <f t="shared" ref="M65" si="53">+M64-M56</f>
        <v>0</v>
      </c>
      <c r="N65" s="21">
        <f t="shared" ref="N65" si="54">+N64-N56</f>
        <v>0</v>
      </c>
      <c r="O65" s="21">
        <f>+O64-O56</f>
        <v>0</v>
      </c>
    </row>
    <row r="66" spans="3:20" x14ac:dyDescent="0.2">
      <c r="F66" s="18"/>
      <c r="G66" s="18"/>
      <c r="H66" s="18"/>
      <c r="I66" s="18"/>
      <c r="J66" s="18"/>
      <c r="K66" s="18"/>
      <c r="L66" s="18"/>
      <c r="M66" s="18"/>
      <c r="N66" s="18"/>
      <c r="O66" s="18"/>
    </row>
    <row r="67" spans="3:20" x14ac:dyDescent="0.2">
      <c r="E67" s="5" t="str">
        <f>Input!$E$8&amp;" - CF"</f>
        <v>BHP - CF</v>
      </c>
      <c r="O67" s="9"/>
      <c r="Q67" s="40" t="s">
        <v>111</v>
      </c>
      <c r="R67" s="39"/>
    </row>
    <row r="68" spans="3:20" x14ac:dyDescent="0.2">
      <c r="E68" s="10" t="str">
        <f>+Input!$E$14</f>
        <v>USDmn</v>
      </c>
      <c r="F68" s="24" t="s">
        <v>110</v>
      </c>
      <c r="G68" s="24" t="s">
        <v>41</v>
      </c>
      <c r="H68" s="24" t="s">
        <v>42</v>
      </c>
      <c r="I68" s="24" t="s">
        <v>43</v>
      </c>
      <c r="J68" s="24" t="s">
        <v>44</v>
      </c>
      <c r="K68" s="24" t="s">
        <v>45</v>
      </c>
      <c r="L68" s="24" t="s">
        <v>46</v>
      </c>
      <c r="M68" s="24" t="s">
        <v>47</v>
      </c>
      <c r="N68" s="24" t="s">
        <v>48</v>
      </c>
      <c r="O68" s="24" t="s">
        <v>49</v>
      </c>
      <c r="Q68" s="39" t="s">
        <v>112</v>
      </c>
      <c r="R68" s="39" t="s">
        <v>113</v>
      </c>
    </row>
    <row r="69" spans="3:20" ht="3" customHeight="1" x14ac:dyDescent="0.2"/>
    <row r="70" spans="3:20" x14ac:dyDescent="0.2">
      <c r="E70" s="13" t="s">
        <v>69</v>
      </c>
      <c r="F70" s="18">
        <v>19296</v>
      </c>
      <c r="G70" s="18">
        <v>10625</v>
      </c>
      <c r="H70" s="18">
        <v>16804</v>
      </c>
      <c r="I70" s="18">
        <v>18461</v>
      </c>
      <c r="J70" s="18">
        <v>17871</v>
      </c>
      <c r="K70" s="18">
        <v>15706</v>
      </c>
      <c r="L70" s="18">
        <v>27234</v>
      </c>
      <c r="M70" s="18">
        <v>32174</v>
      </c>
      <c r="N70" s="18">
        <v>18701</v>
      </c>
      <c r="O70" s="18">
        <v>20665</v>
      </c>
      <c r="Q70" s="29">
        <f>IFERROR((O70/F70)^(1/9)-1,"n/a")</f>
        <v>7.6450337797304702E-3</v>
      </c>
      <c r="R70" s="29">
        <f>IFERROR((O70/L70)^(1/3)-1,"n/a")</f>
        <v>-8.7902373691743252E-2</v>
      </c>
    </row>
    <row r="71" spans="3:20" x14ac:dyDescent="0.2">
      <c r="E71" s="13" t="s">
        <v>70</v>
      </c>
      <c r="F71" s="20">
        <v>-13154</v>
      </c>
      <c r="G71" s="20">
        <v>-7245</v>
      </c>
      <c r="H71" s="20">
        <v>-4161</v>
      </c>
      <c r="I71" s="20">
        <v>-5921</v>
      </c>
      <c r="J71" s="20">
        <v>2607</v>
      </c>
      <c r="K71" s="20">
        <v>-7616</v>
      </c>
      <c r="L71" s="20">
        <v>-7845</v>
      </c>
      <c r="M71" s="20">
        <v>-6959</v>
      </c>
      <c r="N71" s="20">
        <v>-13065</v>
      </c>
      <c r="O71" s="20">
        <v>-8762</v>
      </c>
      <c r="Q71" s="29">
        <f t="shared" ref="Q71:Q73" si="55">IFERROR((O71/F71)^(1/9)-1,"n/a")</f>
        <v>-4.4140777853480917E-2</v>
      </c>
      <c r="R71" s="29">
        <f t="shared" ref="R71:R73" si="56">IFERROR((O71/L71)^(1/3)-1,"n/a")</f>
        <v>3.7536618807055389E-2</v>
      </c>
      <c r="T71" s="35" t="s">
        <v>115</v>
      </c>
    </row>
    <row r="72" spans="3:20" x14ac:dyDescent="0.2">
      <c r="E72" s="5" t="s">
        <v>71</v>
      </c>
      <c r="F72" s="19">
        <f t="shared" ref="F72:N72" si="57">+F70+F71</f>
        <v>6142</v>
      </c>
      <c r="G72" s="19">
        <f t="shared" si="57"/>
        <v>3380</v>
      </c>
      <c r="H72" s="19">
        <f t="shared" si="57"/>
        <v>12643</v>
      </c>
      <c r="I72" s="19">
        <f t="shared" si="57"/>
        <v>12540</v>
      </c>
      <c r="J72" s="19">
        <f t="shared" si="57"/>
        <v>20478</v>
      </c>
      <c r="K72" s="19">
        <f t="shared" si="57"/>
        <v>8090</v>
      </c>
      <c r="L72" s="19">
        <f t="shared" si="57"/>
        <v>19389</v>
      </c>
      <c r="M72" s="19">
        <f t="shared" si="57"/>
        <v>25215</v>
      </c>
      <c r="N72" s="19">
        <f t="shared" si="57"/>
        <v>5636</v>
      </c>
      <c r="O72" s="19">
        <f>+O70+O71</f>
        <v>11903</v>
      </c>
      <c r="Q72" s="41">
        <f t="shared" si="55"/>
        <v>7.6285284397707986E-2</v>
      </c>
      <c r="R72" s="41">
        <f t="shared" si="56"/>
        <v>-0.15010160781959736</v>
      </c>
    </row>
    <row r="73" spans="3:20" x14ac:dyDescent="0.2">
      <c r="E73" s="13" t="s">
        <v>76</v>
      </c>
      <c r="F73" s="18">
        <v>-8073</v>
      </c>
      <c r="G73" s="18">
        <v>284</v>
      </c>
      <c r="H73" s="18">
        <v>-9133</v>
      </c>
      <c r="I73" s="18">
        <v>-10891</v>
      </c>
      <c r="J73" s="18">
        <v>-20528</v>
      </c>
      <c r="K73" s="18">
        <v>-9752</v>
      </c>
      <c r="L73" s="18">
        <v>-17922</v>
      </c>
      <c r="M73" s="18">
        <v>-22767</v>
      </c>
      <c r="N73" s="18">
        <v>-10315</v>
      </c>
      <c r="O73" s="18">
        <v>-11669</v>
      </c>
      <c r="Q73" s="29">
        <f t="shared" si="55"/>
        <v>4.1783877164352168E-2</v>
      </c>
      <c r="R73" s="29">
        <f t="shared" si="56"/>
        <v>-0.13327287392032516</v>
      </c>
    </row>
    <row r="74" spans="3:20" ht="3" customHeight="1" x14ac:dyDescent="0.2"/>
    <row r="75" spans="3:20" ht="10.5" customHeight="1" x14ac:dyDescent="0.2">
      <c r="E75" s="34" t="s">
        <v>75</v>
      </c>
      <c r="F75" s="18"/>
      <c r="G75" s="18"/>
      <c r="H75" s="18"/>
      <c r="I75" s="18"/>
      <c r="J75" s="18"/>
      <c r="K75" s="18"/>
      <c r="L75" s="18"/>
      <c r="M75" s="18"/>
      <c r="N75" s="18"/>
      <c r="O75" s="18"/>
    </row>
    <row r="78" spans="3:20" x14ac:dyDescent="0.2">
      <c r="E78" s="5" t="str">
        <f>Input!$E$8&amp;" - Revenues"</f>
        <v>BHP - Revenues</v>
      </c>
      <c r="O78" s="9"/>
      <c r="Q78" s="40" t="s">
        <v>111</v>
      </c>
      <c r="R78" s="39"/>
    </row>
    <row r="79" spans="3:20" x14ac:dyDescent="0.2">
      <c r="E79" s="10" t="str">
        <f>+Input!$E$14</f>
        <v>USDmn</v>
      </c>
      <c r="F79" s="37" t="s">
        <v>109</v>
      </c>
      <c r="G79" s="37" t="s">
        <v>104</v>
      </c>
      <c r="H79" s="37" t="s">
        <v>103</v>
      </c>
      <c r="I79" s="37" t="s">
        <v>102</v>
      </c>
      <c r="J79" s="37" t="s">
        <v>101</v>
      </c>
      <c r="K79" s="37" t="s">
        <v>100</v>
      </c>
      <c r="L79" s="37" t="s">
        <v>99</v>
      </c>
      <c r="M79" s="37" t="s">
        <v>98</v>
      </c>
      <c r="N79" s="37" t="s">
        <v>97</v>
      </c>
      <c r="O79" s="37" t="s">
        <v>96</v>
      </c>
      <c r="Q79" s="39" t="s">
        <v>112</v>
      </c>
      <c r="R79" s="39" t="s">
        <v>113</v>
      </c>
    </row>
    <row r="80" spans="3:20" ht="3" customHeight="1" x14ac:dyDescent="0.2"/>
    <row r="81" spans="3:20" x14ac:dyDescent="0.2">
      <c r="E81" s="13" t="s">
        <v>106</v>
      </c>
      <c r="F81" s="18">
        <v>11447</v>
      </c>
      <c r="G81" s="18">
        <v>4549</v>
      </c>
      <c r="H81" s="18">
        <v>4722</v>
      </c>
      <c r="I81" s="18">
        <v>5408</v>
      </c>
      <c r="J81" s="18">
        <v>5930</v>
      </c>
      <c r="K81" s="18">
        <v>4070</v>
      </c>
      <c r="L81" s="18">
        <v>3946</v>
      </c>
      <c r="M81" s="38" t="s">
        <v>107</v>
      </c>
      <c r="N81" s="38" t="s">
        <v>107</v>
      </c>
      <c r="O81" s="38" t="s">
        <v>107</v>
      </c>
      <c r="Q81" s="29" t="str">
        <f>IFERROR((O81/F81)^(1/9)-1,"n/a")</f>
        <v>n/a</v>
      </c>
      <c r="R81" s="29" t="str">
        <f>IFERROR((O81/L81)^(1/3)-1,"n/a")</f>
        <v>n/a</v>
      </c>
      <c r="T81" s="35" t="s">
        <v>108</v>
      </c>
    </row>
    <row r="82" spans="3:20" x14ac:dyDescent="0.2">
      <c r="E82" s="13" t="s">
        <v>88</v>
      </c>
      <c r="F82" s="18">
        <v>11453</v>
      </c>
      <c r="G82" s="18">
        <v>8249</v>
      </c>
      <c r="H82" s="18">
        <v>8335</v>
      </c>
      <c r="I82" s="18">
        <v>13287</v>
      </c>
      <c r="J82" s="18">
        <v>10838</v>
      </c>
      <c r="K82" s="18">
        <v>10666</v>
      </c>
      <c r="L82" s="18">
        <v>15726</v>
      </c>
      <c r="M82" s="18">
        <v>16849</v>
      </c>
      <c r="N82" s="18">
        <v>16027</v>
      </c>
      <c r="O82" s="18">
        <v>18566</v>
      </c>
      <c r="Q82" s="29">
        <f t="shared" ref="Q82:Q86" si="58">IFERROR((O82/F82)^(1/9)-1,"n/a")</f>
        <v>5.5142240492537464E-2</v>
      </c>
      <c r="R82" s="29">
        <f t="shared" ref="R82:R86" si="59">IFERROR((O82/L82)^(1/3)-1,"n/a")</f>
        <v>5.6898686735249449E-2</v>
      </c>
      <c r="T82" s="35" t="s">
        <v>89</v>
      </c>
    </row>
    <row r="83" spans="3:20" x14ac:dyDescent="0.2">
      <c r="E83" s="13" t="s">
        <v>93</v>
      </c>
      <c r="F83" s="18">
        <v>14753</v>
      </c>
      <c r="G83" s="18">
        <v>10538</v>
      </c>
      <c r="H83" s="18">
        <v>14624</v>
      </c>
      <c r="I83" s="18">
        <v>14810</v>
      </c>
      <c r="J83" s="18">
        <v>17255</v>
      </c>
      <c r="K83" s="18">
        <v>20797</v>
      </c>
      <c r="L83" s="18">
        <v>34475</v>
      </c>
      <c r="M83" s="18">
        <v>30767</v>
      </c>
      <c r="N83" s="18">
        <v>24812</v>
      </c>
      <c r="O83" s="18">
        <v>27952</v>
      </c>
      <c r="Q83" s="29">
        <f t="shared" si="58"/>
        <v>7.3586271885691446E-2</v>
      </c>
      <c r="R83" s="29">
        <f t="shared" si="59"/>
        <v>-6.7527131592702072E-2</v>
      </c>
      <c r="T83" s="35" t="s">
        <v>90</v>
      </c>
    </row>
    <row r="84" spans="3:20" x14ac:dyDescent="0.2">
      <c r="E84" s="13" t="s">
        <v>94</v>
      </c>
      <c r="F84" s="18">
        <v>5885</v>
      </c>
      <c r="G84" s="18">
        <v>4518</v>
      </c>
      <c r="H84" s="18">
        <v>7578</v>
      </c>
      <c r="I84" s="18">
        <v>8889</v>
      </c>
      <c r="J84" s="18">
        <v>9121</v>
      </c>
      <c r="K84" s="18">
        <v>6242</v>
      </c>
      <c r="L84" s="18">
        <v>5154</v>
      </c>
      <c r="M84" s="18">
        <v>15549</v>
      </c>
      <c r="N84" s="18">
        <v>10958</v>
      </c>
      <c r="O84" s="18">
        <v>7666</v>
      </c>
      <c r="Q84" s="29">
        <f t="shared" si="58"/>
        <v>2.9812214481835575E-2</v>
      </c>
      <c r="R84" s="29">
        <f t="shared" si="59"/>
        <v>0.14149706778136784</v>
      </c>
      <c r="T84" s="35" t="s">
        <v>91</v>
      </c>
    </row>
    <row r="85" spans="3:20" x14ac:dyDescent="0.2">
      <c r="E85" s="13" t="s">
        <v>95</v>
      </c>
      <c r="F85" s="18">
        <v>1098</v>
      </c>
      <c r="G85" s="18">
        <v>713</v>
      </c>
      <c r="H85" s="18">
        <v>876</v>
      </c>
      <c r="I85" s="18">
        <v>1244</v>
      </c>
      <c r="J85" s="18">
        <v>1144</v>
      </c>
      <c r="K85" s="18">
        <v>1156</v>
      </c>
      <c r="L85" s="18">
        <v>1516</v>
      </c>
      <c r="M85" s="18">
        <v>1933</v>
      </c>
      <c r="N85" s="18">
        <v>2020</v>
      </c>
      <c r="O85" s="18">
        <v>1474</v>
      </c>
      <c r="Q85" s="29">
        <f t="shared" si="58"/>
        <v>3.326227060457887E-2</v>
      </c>
      <c r="R85" s="29">
        <f t="shared" si="59"/>
        <v>-9.3214479088485902E-3</v>
      </c>
    </row>
    <row r="86" spans="3:20" ht="13.5" thickBot="1" x14ac:dyDescent="0.25">
      <c r="E86" s="5" t="s">
        <v>87</v>
      </c>
      <c r="F86" s="23">
        <f t="shared" ref="F86:K86" si="60">SUM(F81:F85)</f>
        <v>44636</v>
      </c>
      <c r="G86" s="23">
        <f t="shared" si="60"/>
        <v>28567</v>
      </c>
      <c r="H86" s="23">
        <f t="shared" si="60"/>
        <v>36135</v>
      </c>
      <c r="I86" s="23">
        <f t="shared" si="60"/>
        <v>43638</v>
      </c>
      <c r="J86" s="23">
        <f t="shared" si="60"/>
        <v>44288</v>
      </c>
      <c r="K86" s="23">
        <f t="shared" si="60"/>
        <v>42931</v>
      </c>
      <c r="L86" s="23">
        <f>SUM(L81:L85)</f>
        <v>60817</v>
      </c>
      <c r="M86" s="23">
        <f t="shared" ref="M86:O86" si="61">SUM(M81:M85)</f>
        <v>65098</v>
      </c>
      <c r="N86" s="23">
        <f t="shared" si="61"/>
        <v>53817</v>
      </c>
      <c r="O86" s="23">
        <f t="shared" si="61"/>
        <v>55658</v>
      </c>
      <c r="Q86" s="41">
        <f t="shared" si="58"/>
        <v>2.4823669769025392E-2</v>
      </c>
      <c r="R86" s="41">
        <f t="shared" si="59"/>
        <v>-2.9115574512328934E-2</v>
      </c>
    </row>
    <row r="88" spans="3:20" x14ac:dyDescent="0.2">
      <c r="C88" s="17" t="b" cm="1">
        <f t="array" ref="C88">AND(G88:O88&lt;$B$1,G88:O88&gt;-$B$1)</f>
        <v>1</v>
      </c>
      <c r="E88" s="8" t="s">
        <v>38</v>
      </c>
      <c r="F88" s="21">
        <f t="shared" ref="F88:O88" si="62">+F86-F11</f>
        <v>0</v>
      </c>
      <c r="G88" s="21">
        <f t="shared" si="62"/>
        <v>0</v>
      </c>
      <c r="H88" s="21">
        <f t="shared" si="62"/>
        <v>0</v>
      </c>
      <c r="I88" s="21">
        <f t="shared" si="62"/>
        <v>0</v>
      </c>
      <c r="J88" s="21">
        <f t="shared" si="62"/>
        <v>0</v>
      </c>
      <c r="K88" s="21">
        <f t="shared" si="62"/>
        <v>0</v>
      </c>
      <c r="L88" s="21">
        <f t="shared" si="62"/>
        <v>0</v>
      </c>
      <c r="M88" s="21">
        <f t="shared" si="62"/>
        <v>0</v>
      </c>
      <c r="N88" s="21">
        <f t="shared" si="62"/>
        <v>0</v>
      </c>
      <c r="O88" s="21">
        <f t="shared" si="62"/>
        <v>0</v>
      </c>
    </row>
    <row r="90" spans="3:20" x14ac:dyDescent="0.2">
      <c r="E90" s="5" t="str">
        <f>Input!$E$8&amp;" - Expenses"</f>
        <v>BHP - Expenses</v>
      </c>
      <c r="O90" s="9"/>
      <c r="Q90" s="40" t="s">
        <v>111</v>
      </c>
      <c r="R90" s="39"/>
    </row>
    <row r="91" spans="3:20" x14ac:dyDescent="0.2">
      <c r="E91" s="10" t="str">
        <f>+Input!$E$14</f>
        <v>USDmn</v>
      </c>
      <c r="F91" s="37" t="s">
        <v>109</v>
      </c>
      <c r="G91" s="37" t="s">
        <v>104</v>
      </c>
      <c r="H91" s="37" t="s">
        <v>103</v>
      </c>
      <c r="I91" s="37" t="s">
        <v>102</v>
      </c>
      <c r="J91" s="37" t="s">
        <v>101</v>
      </c>
      <c r="K91" s="37" t="s">
        <v>100</v>
      </c>
      <c r="L91" s="37" t="s">
        <v>99</v>
      </c>
      <c r="M91" s="37" t="s">
        <v>98</v>
      </c>
      <c r="N91" s="37" t="s">
        <v>97</v>
      </c>
      <c r="O91" s="37" t="s">
        <v>96</v>
      </c>
      <c r="Q91" s="39" t="s">
        <v>112</v>
      </c>
      <c r="R91" s="39" t="s">
        <v>113</v>
      </c>
    </row>
    <row r="92" spans="3:20" ht="3" customHeight="1" x14ac:dyDescent="0.2"/>
    <row r="93" spans="3:20" x14ac:dyDescent="0.2">
      <c r="E93" s="13" t="s">
        <v>78</v>
      </c>
      <c r="F93" s="18">
        <f>-4537-203-2-358+129</f>
        <v>-4971</v>
      </c>
      <c r="G93" s="18">
        <f>-3324-140-2-221+82</f>
        <v>-3605</v>
      </c>
      <c r="H93" s="18">
        <f>-3392-105-3-273+79</f>
        <v>-3694</v>
      </c>
      <c r="I93" s="18">
        <f>-3653-123-4-292+82</f>
        <v>-3990</v>
      </c>
      <c r="J93" s="18">
        <f>-3683-138-4-292+85</f>
        <v>-4032</v>
      </c>
      <c r="K93" s="18">
        <f>-3706-129-2-283+65</f>
        <v>-4055</v>
      </c>
      <c r="L93" s="18">
        <f>-4399-124-3-316+119</f>
        <v>-4723</v>
      </c>
      <c r="M93" s="18">
        <f>-4197-109-4-338+30</f>
        <v>-4618</v>
      </c>
      <c r="N93" s="18">
        <f>-4539-97-4-339+35</f>
        <v>-4944</v>
      </c>
      <c r="O93" s="18">
        <f>-4633-112-5-374+49</f>
        <v>-5075</v>
      </c>
      <c r="Q93" s="29">
        <f>IFERROR((O93/F93)^(1/9)-1,"n/a")</f>
        <v>2.3032593041694138E-3</v>
      </c>
      <c r="R93" s="29">
        <f>IFERROR((O93/L93)^(1/3)-1,"n/a")</f>
        <v>2.4250143968365112E-2</v>
      </c>
    </row>
    <row r="94" spans="3:20" x14ac:dyDescent="0.2">
      <c r="E94" s="13" t="s">
        <v>79</v>
      </c>
      <c r="F94" s="38" t="s">
        <v>107</v>
      </c>
      <c r="G94" s="18">
        <v>-287</v>
      </c>
      <c r="H94" s="18">
        <v>743</v>
      </c>
      <c r="I94" s="18">
        <v>142</v>
      </c>
      <c r="J94" s="18">
        <v>-496</v>
      </c>
      <c r="K94" s="18">
        <v>326</v>
      </c>
      <c r="L94" s="18">
        <v>334</v>
      </c>
      <c r="M94" s="18">
        <v>774</v>
      </c>
      <c r="N94" s="18">
        <v>-301</v>
      </c>
      <c r="O94" s="18">
        <v>289</v>
      </c>
      <c r="Q94" s="29" t="str">
        <f t="shared" ref="Q94:Q102" si="63">IFERROR((O94/F94)^(1/9)-1,"n/a")</f>
        <v>n/a</v>
      </c>
      <c r="R94" s="29">
        <f t="shared" ref="R94:R102" si="64">IFERROR((O94/L94)^(1/3)-1,"n/a")</f>
        <v>-4.709312860706294E-2</v>
      </c>
    </row>
    <row r="95" spans="3:20" x14ac:dyDescent="0.2">
      <c r="E95" s="13" t="s">
        <v>80</v>
      </c>
      <c r="F95" s="18">
        <v>-4667</v>
      </c>
      <c r="G95" s="18">
        <v>-3985</v>
      </c>
      <c r="H95" s="18">
        <v>-3830</v>
      </c>
      <c r="I95" s="18">
        <v>-4389</v>
      </c>
      <c r="J95" s="18">
        <v>-4591</v>
      </c>
      <c r="K95" s="18">
        <v>-5509</v>
      </c>
      <c r="L95" s="18">
        <v>-4940</v>
      </c>
      <c r="M95" s="18">
        <v>-5991</v>
      </c>
      <c r="N95" s="18">
        <v>-6710</v>
      </c>
      <c r="O95" s="18">
        <v>-6536</v>
      </c>
      <c r="Q95" s="29">
        <f>IFERROR((O95/F95)^(1/9)-1,"n/a")</f>
        <v>3.8132275911563207E-2</v>
      </c>
      <c r="R95" s="29">
        <f t="shared" si="64"/>
        <v>9.7812988864740325E-2</v>
      </c>
    </row>
    <row r="96" spans="3:20" x14ac:dyDescent="0.2">
      <c r="E96" s="13" t="s">
        <v>81</v>
      </c>
      <c r="F96" s="18">
        <v>-2644</v>
      </c>
      <c r="G96" s="18">
        <v>-1648</v>
      </c>
      <c r="H96" s="18">
        <v>-1786</v>
      </c>
      <c r="I96" s="18">
        <v>-2294</v>
      </c>
      <c r="J96" s="18">
        <v>-2378</v>
      </c>
      <c r="K96" s="18">
        <v>-1981</v>
      </c>
      <c r="L96" s="18">
        <v>-2037</v>
      </c>
      <c r="M96" s="18">
        <v>-2319</v>
      </c>
      <c r="N96" s="18">
        <v>-2299</v>
      </c>
      <c r="O96" s="18">
        <v>-2270</v>
      </c>
      <c r="Q96" s="29">
        <f t="shared" si="63"/>
        <v>-1.680312481474644E-2</v>
      </c>
      <c r="R96" s="29">
        <f t="shared" si="64"/>
        <v>3.6760102768658376E-2</v>
      </c>
    </row>
    <row r="97" spans="3:18" x14ac:dyDescent="0.2">
      <c r="E97" s="13" t="s">
        <v>82</v>
      </c>
      <c r="F97" s="18">
        <v>-6284</v>
      </c>
      <c r="G97" s="18">
        <v>-4370</v>
      </c>
      <c r="H97" s="18">
        <v>-4341</v>
      </c>
      <c r="I97" s="18">
        <v>-5217</v>
      </c>
      <c r="J97" s="18">
        <v>-4745</v>
      </c>
      <c r="K97" s="18">
        <v>-4404</v>
      </c>
      <c r="L97" s="18">
        <v>-5260</v>
      </c>
      <c r="M97" s="18">
        <v>-4525</v>
      </c>
      <c r="N97" s="18">
        <v>-4768</v>
      </c>
      <c r="O97" s="18">
        <v>-5795</v>
      </c>
      <c r="Q97" s="29">
        <f t="shared" si="63"/>
        <v>-8.960859322259318E-3</v>
      </c>
      <c r="R97" s="29">
        <f t="shared" si="64"/>
        <v>3.281506810806456E-2</v>
      </c>
    </row>
    <row r="98" spans="3:18" x14ac:dyDescent="0.2">
      <c r="E98" s="13" t="s">
        <v>83</v>
      </c>
      <c r="F98" s="18">
        <v>-1165</v>
      </c>
      <c r="G98" s="18">
        <v>-994</v>
      </c>
      <c r="H98" s="18">
        <v>-1151</v>
      </c>
      <c r="I98" s="18">
        <v>-1452</v>
      </c>
      <c r="J98" s="18">
        <v>-1069</v>
      </c>
      <c r="K98" s="18">
        <v>-1139</v>
      </c>
      <c r="L98" s="18">
        <v>-2230</v>
      </c>
      <c r="M98" s="18">
        <v>-2959</v>
      </c>
      <c r="N98" s="18">
        <v>-1878</v>
      </c>
      <c r="O98" s="18">
        <v>-1977</v>
      </c>
      <c r="Q98" s="29">
        <f t="shared" si="63"/>
        <v>6.0522977980756787E-2</v>
      </c>
      <c r="R98" s="29">
        <f t="shared" si="64"/>
        <v>-3.9345395391863769E-2</v>
      </c>
    </row>
    <row r="99" spans="3:18" x14ac:dyDescent="0.2">
      <c r="E99" s="13" t="s">
        <v>84</v>
      </c>
      <c r="F99" s="18">
        <v>-1708</v>
      </c>
      <c r="G99" s="18">
        <v>-1349</v>
      </c>
      <c r="H99" s="18">
        <v>-1986</v>
      </c>
      <c r="I99" s="18">
        <v>-2168</v>
      </c>
      <c r="J99" s="18">
        <v>-2538</v>
      </c>
      <c r="K99" s="18">
        <v>-2362</v>
      </c>
      <c r="L99" s="18">
        <v>-3217</v>
      </c>
      <c r="M99" s="18">
        <v>-4014</v>
      </c>
      <c r="N99" s="18">
        <v>-3841</v>
      </c>
      <c r="O99" s="18">
        <v>-3571</v>
      </c>
      <c r="Q99" s="29">
        <f t="shared" si="63"/>
        <v>8.5398230729666125E-2</v>
      </c>
      <c r="R99" s="29">
        <f t="shared" si="64"/>
        <v>3.5411370099907247E-2</v>
      </c>
    </row>
    <row r="100" spans="3:18" x14ac:dyDescent="0.2">
      <c r="E100" s="13" t="s">
        <v>85</v>
      </c>
      <c r="F100" s="18">
        <v>-9158</v>
      </c>
      <c r="G100" s="18">
        <v>-6210</v>
      </c>
      <c r="H100" s="18">
        <v>-6184</v>
      </c>
      <c r="I100" s="18">
        <v>-6288</v>
      </c>
      <c r="J100" s="18">
        <v>-5829</v>
      </c>
      <c r="K100" s="18">
        <v>-6112</v>
      </c>
      <c r="L100" s="18">
        <v>-6824</v>
      </c>
      <c r="M100" s="18">
        <v>-5683</v>
      </c>
      <c r="N100" s="18">
        <v>-5061</v>
      </c>
      <c r="O100" s="18">
        <v>-5295</v>
      </c>
      <c r="Q100" s="29">
        <f t="shared" si="63"/>
        <v>-5.9058087246493862E-2</v>
      </c>
      <c r="R100" s="29">
        <f t="shared" si="64"/>
        <v>-8.1084348460514044E-2</v>
      </c>
    </row>
    <row r="101" spans="3:18" x14ac:dyDescent="0.2">
      <c r="E101" s="13" t="s">
        <v>53</v>
      </c>
      <c r="F101" s="18">
        <f>469-670-3445-570-9-636-1552</f>
        <v>-6413</v>
      </c>
      <c r="G101" s="18">
        <f>153-419-170-16-372-819</f>
        <v>-1643</v>
      </c>
      <c r="H101" s="18">
        <f>-103-610-160-33-391-989</f>
        <v>-2286</v>
      </c>
      <c r="I101" s="18">
        <f>93-641-318-14-1-421-1078</f>
        <v>-2380</v>
      </c>
      <c r="J101" s="18">
        <f>147-8-516-250-14-1703</f>
        <v>-2344</v>
      </c>
      <c r="K101" s="18">
        <f>603-422-517-494-2709</f>
        <v>-3539</v>
      </c>
      <c r="L101" s="18">
        <f>-310-145-430-2583-52-2083</f>
        <v>-5603</v>
      </c>
      <c r="M101" s="18">
        <f>326+29-199-515-2677</f>
        <v>-3036</v>
      </c>
      <c r="N101" s="18">
        <f>197-135-294-73-2-1764</f>
        <v>-2071</v>
      </c>
      <c r="O101" s="18">
        <f>-23-84-399-3833-57-2124</f>
        <v>-6520</v>
      </c>
      <c r="Q101" s="29">
        <f t="shared" si="63"/>
        <v>1.8402685275609176E-3</v>
      </c>
      <c r="R101" s="29">
        <f t="shared" si="64"/>
        <v>5.1822179482982511E-2</v>
      </c>
    </row>
    <row r="102" spans="3:18" ht="13.5" thickBot="1" x14ac:dyDescent="0.25">
      <c r="E102" s="5" t="s">
        <v>86</v>
      </c>
      <c r="F102" s="23">
        <f t="shared" ref="F102:O102" si="65">SUM(F93:F101)</f>
        <v>-37010</v>
      </c>
      <c r="G102" s="23">
        <f t="shared" si="65"/>
        <v>-24091</v>
      </c>
      <c r="H102" s="23">
        <f t="shared" si="65"/>
        <v>-24515</v>
      </c>
      <c r="I102" s="23">
        <f t="shared" si="65"/>
        <v>-28036</v>
      </c>
      <c r="J102" s="23">
        <f t="shared" si="65"/>
        <v>-28022</v>
      </c>
      <c r="K102" s="23">
        <f t="shared" si="65"/>
        <v>-28775</v>
      </c>
      <c r="L102" s="23">
        <f t="shared" si="65"/>
        <v>-34500</v>
      </c>
      <c r="M102" s="23">
        <f t="shared" si="65"/>
        <v>-32371</v>
      </c>
      <c r="N102" s="23">
        <f t="shared" si="65"/>
        <v>-31873</v>
      </c>
      <c r="O102" s="23">
        <f t="shared" si="65"/>
        <v>-36750</v>
      </c>
      <c r="Q102" s="41">
        <f t="shared" si="63"/>
        <v>-7.8301780801481868E-4</v>
      </c>
      <c r="R102" s="41">
        <f t="shared" si="64"/>
        <v>2.1282952880393058E-2</v>
      </c>
    </row>
    <row r="104" spans="3:18" x14ac:dyDescent="0.2">
      <c r="C104" s="17" t="b" cm="1">
        <f t="array" ref="C104">AND(G104:O104&lt;$B$1,G104:O104&gt;-$B$1)</f>
        <v>1</v>
      </c>
      <c r="E104" s="8" t="s">
        <v>38</v>
      </c>
      <c r="F104" s="21">
        <f t="shared" ref="F104:O104" si="66">+F102-F13</f>
        <v>0</v>
      </c>
      <c r="G104" s="21">
        <f t="shared" si="66"/>
        <v>0</v>
      </c>
      <c r="H104" s="21">
        <f t="shared" si="66"/>
        <v>0</v>
      </c>
      <c r="I104" s="21">
        <f t="shared" si="66"/>
        <v>0</v>
      </c>
      <c r="J104" s="21">
        <f t="shared" si="66"/>
        <v>0</v>
      </c>
      <c r="K104" s="21">
        <f t="shared" si="66"/>
        <v>0</v>
      </c>
      <c r="L104" s="21">
        <f t="shared" si="66"/>
        <v>0</v>
      </c>
      <c r="M104" s="21">
        <f t="shared" si="66"/>
        <v>0</v>
      </c>
      <c r="N104" s="21">
        <f t="shared" si="66"/>
        <v>0</v>
      </c>
      <c r="O104" s="21">
        <f t="shared" si="66"/>
        <v>0</v>
      </c>
    </row>
    <row r="106" spans="3:18" x14ac:dyDescent="0.2">
      <c r="F106" s="18"/>
      <c r="G106" s="18"/>
      <c r="H106" s="18"/>
      <c r="I106" s="18"/>
      <c r="J106" s="18"/>
      <c r="K106" s="18"/>
      <c r="L106" s="18"/>
      <c r="M106" s="18"/>
      <c r="N106" s="18"/>
      <c r="O106" s="18"/>
    </row>
    <row r="107" spans="3:18" x14ac:dyDescent="0.2">
      <c r="F107" s="18"/>
      <c r="G107" s="18"/>
      <c r="H107" s="18"/>
      <c r="I107" s="18"/>
      <c r="J107" s="18"/>
      <c r="K107" s="18"/>
      <c r="L107" s="18"/>
      <c r="M107" s="18"/>
      <c r="N107" s="18"/>
      <c r="O107" s="18"/>
    </row>
    <row r="108" spans="3:18" x14ac:dyDescent="0.2">
      <c r="F108" s="18"/>
      <c r="G108" s="18"/>
      <c r="H108" s="18"/>
      <c r="I108" s="18"/>
      <c r="J108" s="18"/>
      <c r="K108" s="18"/>
      <c r="L108" s="18"/>
      <c r="M108" s="18"/>
      <c r="N108" s="18"/>
      <c r="O108" s="18"/>
    </row>
    <row r="109" spans="3:18" x14ac:dyDescent="0.2">
      <c r="F109" s="18"/>
      <c r="G109" s="18"/>
      <c r="H109" s="18"/>
      <c r="I109" s="18"/>
      <c r="J109" s="18"/>
      <c r="K109" s="18"/>
      <c r="L109" s="18"/>
      <c r="M109" s="18"/>
      <c r="N109" s="18"/>
      <c r="O109" s="18"/>
    </row>
    <row r="110" spans="3:18" x14ac:dyDescent="0.2">
      <c r="F110" s="18"/>
      <c r="G110" s="18"/>
      <c r="H110" s="18"/>
      <c r="I110" s="18"/>
      <c r="J110" s="18"/>
      <c r="K110" s="18"/>
      <c r="L110" s="18"/>
      <c r="M110" s="18"/>
      <c r="N110" s="18"/>
      <c r="O110" s="18"/>
    </row>
    <row r="111" spans="3:18" x14ac:dyDescent="0.2">
      <c r="F111" s="18"/>
      <c r="G111" s="18"/>
      <c r="H111" s="18"/>
      <c r="I111" s="18"/>
      <c r="J111" s="18"/>
      <c r="K111" s="18"/>
      <c r="L111" s="18"/>
      <c r="M111" s="18"/>
      <c r="N111" s="18"/>
      <c r="O111" s="18"/>
    </row>
    <row r="112" spans="3:18" x14ac:dyDescent="0.2"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6:15" x14ac:dyDescent="0.2"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 spans="6:15" x14ac:dyDescent="0.2">
      <c r="F114" s="18"/>
      <c r="G114" s="18"/>
      <c r="H114" s="18"/>
      <c r="I114" s="18"/>
      <c r="J114" s="18"/>
      <c r="K114" s="18"/>
      <c r="L114" s="18"/>
      <c r="M114" s="18"/>
      <c r="N114" s="18"/>
      <c r="O114" s="18"/>
    </row>
    <row r="115" spans="6:15" x14ac:dyDescent="0.2">
      <c r="F115" s="18"/>
      <c r="G115" s="18"/>
      <c r="H115" s="18"/>
      <c r="I115" s="18"/>
      <c r="J115" s="18"/>
      <c r="K115" s="18"/>
      <c r="L115" s="18"/>
      <c r="M115" s="18"/>
      <c r="N115" s="18"/>
      <c r="O115" s="18"/>
    </row>
    <row r="116" spans="6:15" x14ac:dyDescent="0.2">
      <c r="F116" s="18"/>
      <c r="G116" s="18"/>
      <c r="H116" s="18"/>
      <c r="I116" s="18"/>
      <c r="J116" s="18"/>
      <c r="K116" s="18"/>
      <c r="L116" s="18"/>
      <c r="M116" s="18"/>
      <c r="N116" s="18"/>
      <c r="O116" s="18"/>
    </row>
    <row r="117" spans="6:15" x14ac:dyDescent="0.2">
      <c r="F117" s="18"/>
      <c r="G117" s="18"/>
      <c r="H117" s="18"/>
      <c r="I117" s="18"/>
      <c r="J117" s="18"/>
      <c r="K117" s="18"/>
      <c r="L117" s="18"/>
      <c r="M117" s="18"/>
      <c r="N117" s="18"/>
      <c r="O117" s="18"/>
    </row>
    <row r="118" spans="6:15" x14ac:dyDescent="0.2">
      <c r="F118" s="18"/>
      <c r="G118" s="18"/>
      <c r="H118" s="18"/>
      <c r="I118" s="18"/>
      <c r="J118" s="18"/>
      <c r="K118" s="18"/>
      <c r="L118" s="18"/>
      <c r="M118" s="18"/>
      <c r="N118" s="18"/>
      <c r="O118" s="18"/>
    </row>
    <row r="119" spans="6:15" x14ac:dyDescent="0.2">
      <c r="F119" s="18"/>
      <c r="G119" s="18"/>
      <c r="H119" s="18"/>
      <c r="I119" s="18"/>
      <c r="J119" s="18"/>
      <c r="K119" s="18"/>
      <c r="L119" s="18"/>
      <c r="M119" s="18"/>
      <c r="N119" s="18"/>
      <c r="O119" s="18"/>
    </row>
    <row r="120" spans="6:15" x14ac:dyDescent="0.2">
      <c r="F120" s="18"/>
      <c r="G120" s="18"/>
      <c r="H120" s="18"/>
      <c r="I120" s="18"/>
      <c r="J120" s="18"/>
      <c r="K120" s="18"/>
      <c r="L120" s="18"/>
      <c r="M120" s="18"/>
      <c r="N120" s="18"/>
      <c r="O120" s="18"/>
    </row>
    <row r="121" spans="6:15" x14ac:dyDescent="0.2">
      <c r="F121" s="18"/>
      <c r="G121" s="18"/>
      <c r="H121" s="18"/>
      <c r="I121" s="18"/>
      <c r="J121" s="18"/>
      <c r="K121" s="18"/>
      <c r="L121" s="18"/>
      <c r="M121" s="18"/>
      <c r="N121" s="18"/>
      <c r="O121" s="18"/>
    </row>
    <row r="122" spans="6:15" x14ac:dyDescent="0.2">
      <c r="F122" s="18"/>
      <c r="G122" s="18"/>
      <c r="H122" s="18"/>
      <c r="I122" s="18"/>
      <c r="J122" s="18"/>
      <c r="K122" s="18"/>
      <c r="L122" s="18"/>
      <c r="M122" s="18"/>
      <c r="N122" s="18"/>
      <c r="O122" s="18"/>
    </row>
    <row r="123" spans="6:15" x14ac:dyDescent="0.2">
      <c r="F123" s="18"/>
      <c r="G123" s="18"/>
      <c r="H123" s="18"/>
      <c r="I123" s="18"/>
      <c r="J123" s="18"/>
      <c r="K123" s="18"/>
      <c r="L123" s="18"/>
      <c r="M123" s="18"/>
      <c r="N123" s="18"/>
      <c r="O123" s="18"/>
    </row>
    <row r="124" spans="6:15" x14ac:dyDescent="0.2">
      <c r="F124" s="18"/>
      <c r="G124" s="18"/>
      <c r="H124" s="18"/>
      <c r="I124" s="18"/>
      <c r="J124" s="18"/>
      <c r="K124" s="18"/>
      <c r="L124" s="18"/>
      <c r="M124" s="18"/>
      <c r="N124" s="18"/>
      <c r="O124" s="18"/>
    </row>
    <row r="125" spans="6:15" x14ac:dyDescent="0.2">
      <c r="F125" s="18"/>
      <c r="G125" s="18"/>
      <c r="H125" s="18"/>
      <c r="I125" s="18"/>
      <c r="J125" s="18"/>
      <c r="K125" s="18"/>
      <c r="L125" s="18"/>
      <c r="M125" s="18"/>
      <c r="N125" s="18"/>
      <c r="O125" s="18"/>
    </row>
    <row r="126" spans="6:15" x14ac:dyDescent="0.2">
      <c r="F126" s="18"/>
      <c r="G126" s="18"/>
      <c r="H126" s="18"/>
      <c r="I126" s="18"/>
      <c r="J126" s="18"/>
      <c r="K126" s="18"/>
      <c r="L126" s="18"/>
      <c r="M126" s="18"/>
      <c r="N126" s="18"/>
      <c r="O126" s="18"/>
    </row>
    <row r="127" spans="6:15" x14ac:dyDescent="0.2">
      <c r="F127" s="18"/>
      <c r="G127" s="18"/>
      <c r="H127" s="18"/>
      <c r="I127" s="18"/>
      <c r="J127" s="18"/>
      <c r="K127" s="18"/>
      <c r="L127" s="18"/>
      <c r="M127" s="18"/>
      <c r="N127" s="18"/>
      <c r="O127" s="18"/>
    </row>
    <row r="128" spans="6:15" x14ac:dyDescent="0.2">
      <c r="F128" s="18"/>
      <c r="G128" s="18"/>
      <c r="H128" s="18"/>
      <c r="I128" s="18"/>
      <c r="J128" s="18"/>
      <c r="K128" s="18"/>
      <c r="L128" s="18"/>
      <c r="M128" s="18"/>
      <c r="N128" s="18"/>
      <c r="O128" s="18"/>
    </row>
    <row r="129" spans="6:15" x14ac:dyDescent="0.2">
      <c r="F129" s="18"/>
      <c r="G129" s="18"/>
      <c r="H129" s="18"/>
      <c r="I129" s="18"/>
      <c r="J129" s="18"/>
      <c r="K129" s="18"/>
      <c r="L129" s="18"/>
      <c r="M129" s="18"/>
      <c r="N129" s="18"/>
      <c r="O129" s="18"/>
    </row>
    <row r="130" spans="6:15" x14ac:dyDescent="0.2">
      <c r="F130" s="18"/>
      <c r="G130" s="18"/>
      <c r="H130" s="18"/>
      <c r="I130" s="18"/>
      <c r="J130" s="18"/>
      <c r="K130" s="18"/>
      <c r="L130" s="18"/>
      <c r="M130" s="18"/>
      <c r="N130" s="18"/>
      <c r="O130" s="18"/>
    </row>
    <row r="131" spans="6:15" x14ac:dyDescent="0.2">
      <c r="F131" s="18"/>
      <c r="G131" s="18"/>
      <c r="H131" s="18"/>
      <c r="I131" s="18"/>
      <c r="J131" s="18"/>
      <c r="K131" s="18"/>
      <c r="L131" s="18"/>
      <c r="M131" s="18"/>
      <c r="N131" s="18"/>
      <c r="O131" s="18"/>
    </row>
    <row r="132" spans="6:15" x14ac:dyDescent="0.2"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  <row r="133" spans="6:15" x14ac:dyDescent="0.2">
      <c r="F133" s="18"/>
      <c r="G133" s="18"/>
      <c r="H133" s="18"/>
      <c r="I133" s="18"/>
      <c r="J133" s="18"/>
      <c r="K133" s="18"/>
      <c r="L133" s="18"/>
      <c r="M133" s="18"/>
      <c r="N133" s="18"/>
      <c r="O133" s="18"/>
    </row>
    <row r="134" spans="6:15" x14ac:dyDescent="0.2">
      <c r="F134" s="18"/>
      <c r="G134" s="18"/>
      <c r="H134" s="18"/>
      <c r="I134" s="18"/>
      <c r="J134" s="18"/>
      <c r="K134" s="18"/>
      <c r="L134" s="18"/>
      <c r="M134" s="18"/>
      <c r="N134" s="18"/>
      <c r="O134" s="18"/>
    </row>
    <row r="135" spans="6:15" x14ac:dyDescent="0.2">
      <c r="F135" s="18"/>
      <c r="G135" s="18"/>
      <c r="H135" s="18"/>
      <c r="I135" s="18"/>
      <c r="J135" s="18"/>
      <c r="K135" s="18"/>
      <c r="L135" s="18"/>
      <c r="M135" s="18"/>
      <c r="N135" s="18"/>
      <c r="O135" s="18"/>
    </row>
    <row r="136" spans="6:15" x14ac:dyDescent="0.2">
      <c r="F136" s="18"/>
      <c r="G136" s="18"/>
      <c r="H136" s="18"/>
      <c r="I136" s="18"/>
      <c r="J136" s="18"/>
      <c r="K136" s="18"/>
      <c r="L136" s="18"/>
      <c r="M136" s="18"/>
      <c r="N136" s="18"/>
      <c r="O136" s="18"/>
    </row>
    <row r="137" spans="6:15" x14ac:dyDescent="0.2">
      <c r="F137" s="18"/>
      <c r="G137" s="18"/>
      <c r="H137" s="18"/>
      <c r="I137" s="18"/>
      <c r="J137" s="18"/>
      <c r="K137" s="18"/>
      <c r="L137" s="18"/>
      <c r="M137" s="18"/>
      <c r="N137" s="18"/>
      <c r="O137" s="18"/>
    </row>
    <row r="138" spans="6:15" x14ac:dyDescent="0.2">
      <c r="F138" s="18"/>
      <c r="G138" s="18"/>
      <c r="H138" s="18"/>
      <c r="I138" s="18"/>
      <c r="J138" s="18"/>
      <c r="K138" s="18"/>
      <c r="L138" s="18"/>
      <c r="M138" s="18"/>
      <c r="N138" s="18"/>
      <c r="O138" s="18"/>
    </row>
    <row r="139" spans="6:15" x14ac:dyDescent="0.2"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 spans="6:15" x14ac:dyDescent="0.2">
      <c r="F140" s="18"/>
      <c r="G140" s="18"/>
      <c r="H140" s="18"/>
      <c r="I140" s="18"/>
      <c r="J140" s="18"/>
      <c r="K140" s="18"/>
      <c r="L140" s="18"/>
      <c r="M140" s="18"/>
      <c r="N140" s="18"/>
      <c r="O140" s="18"/>
    </row>
    <row r="141" spans="6:15" x14ac:dyDescent="0.2">
      <c r="F141" s="18"/>
      <c r="G141" s="18"/>
      <c r="H141" s="18"/>
      <c r="I141" s="18"/>
      <c r="J141" s="18"/>
      <c r="K141" s="18"/>
      <c r="L141" s="18"/>
      <c r="M141" s="18"/>
      <c r="N141" s="18"/>
      <c r="O141" s="18"/>
    </row>
    <row r="142" spans="6:15" x14ac:dyDescent="0.2">
      <c r="F142" s="18"/>
      <c r="G142" s="18"/>
      <c r="H142" s="18"/>
      <c r="I142" s="18"/>
      <c r="J142" s="18"/>
      <c r="K142" s="18"/>
      <c r="L142" s="18"/>
      <c r="M142" s="18"/>
      <c r="N142" s="18"/>
      <c r="O142" s="18"/>
    </row>
    <row r="143" spans="6:15" x14ac:dyDescent="0.2"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6:15" x14ac:dyDescent="0.2">
      <c r="F144" s="18"/>
      <c r="G144" s="18"/>
      <c r="H144" s="18"/>
      <c r="I144" s="18"/>
      <c r="J144" s="18"/>
      <c r="K144" s="18"/>
      <c r="L144" s="18"/>
      <c r="M144" s="18"/>
      <c r="N144" s="18"/>
      <c r="O144" s="18"/>
    </row>
    <row r="145" spans="6:15" x14ac:dyDescent="0.2">
      <c r="F145" s="18"/>
      <c r="G145" s="18"/>
      <c r="H145" s="18"/>
      <c r="I145" s="18"/>
      <c r="J145" s="18"/>
      <c r="K145" s="18"/>
      <c r="L145" s="18"/>
      <c r="M145" s="18"/>
      <c r="N145" s="18"/>
      <c r="O145" s="18"/>
    </row>
    <row r="146" spans="6:15" x14ac:dyDescent="0.2"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 spans="6:15" x14ac:dyDescent="0.2">
      <c r="F147" s="18"/>
      <c r="G147" s="18"/>
      <c r="H147" s="18"/>
      <c r="I147" s="18"/>
      <c r="J147" s="18"/>
      <c r="K147" s="18"/>
      <c r="L147" s="18"/>
      <c r="M147" s="18"/>
      <c r="N147" s="18"/>
      <c r="O147" s="18"/>
    </row>
    <row r="148" spans="6:15" x14ac:dyDescent="0.2">
      <c r="F148" s="18"/>
      <c r="G148" s="18"/>
      <c r="H148" s="18"/>
      <c r="I148" s="18"/>
      <c r="J148" s="18"/>
      <c r="K148" s="18"/>
      <c r="L148" s="18"/>
      <c r="M148" s="18"/>
      <c r="N148" s="18"/>
      <c r="O148" s="18"/>
    </row>
    <row r="149" spans="6:15" x14ac:dyDescent="0.2">
      <c r="F149" s="18"/>
      <c r="G149" s="18"/>
      <c r="H149" s="18"/>
      <c r="I149" s="18"/>
      <c r="J149" s="18"/>
      <c r="K149" s="18"/>
      <c r="L149" s="18"/>
      <c r="M149" s="18"/>
      <c r="N149" s="18"/>
      <c r="O149" s="18"/>
    </row>
    <row r="150" spans="6:15" x14ac:dyDescent="0.2">
      <c r="F150" s="18"/>
      <c r="G150" s="18"/>
      <c r="H150" s="18"/>
      <c r="I150" s="18"/>
      <c r="J150" s="18"/>
      <c r="K150" s="18"/>
      <c r="L150" s="18"/>
      <c r="M150" s="18"/>
      <c r="N150" s="18"/>
      <c r="O150" s="18"/>
    </row>
    <row r="151" spans="6:15" x14ac:dyDescent="0.2">
      <c r="F151" s="18"/>
      <c r="G151" s="18"/>
      <c r="H151" s="18"/>
      <c r="I151" s="18"/>
      <c r="J151" s="18"/>
      <c r="K151" s="18"/>
      <c r="L151" s="18"/>
      <c r="M151" s="18"/>
      <c r="N151" s="18"/>
      <c r="O151" s="18"/>
    </row>
    <row r="152" spans="6:15" x14ac:dyDescent="0.2">
      <c r="F152" s="18"/>
      <c r="G152" s="18"/>
      <c r="H152" s="18"/>
      <c r="I152" s="18"/>
      <c r="J152" s="18"/>
      <c r="K152" s="18"/>
      <c r="L152" s="18"/>
      <c r="M152" s="18"/>
      <c r="N152" s="18"/>
      <c r="O152" s="18"/>
    </row>
    <row r="153" spans="6:15" x14ac:dyDescent="0.2">
      <c r="F153" s="18"/>
      <c r="G153" s="18"/>
      <c r="H153" s="18"/>
      <c r="I153" s="18"/>
      <c r="J153" s="18"/>
      <c r="K153" s="18"/>
      <c r="L153" s="18"/>
      <c r="M153" s="18"/>
      <c r="N153" s="18"/>
      <c r="O153" s="18"/>
    </row>
    <row r="154" spans="6:15" x14ac:dyDescent="0.2">
      <c r="F154" s="18"/>
      <c r="G154" s="18"/>
      <c r="H154" s="18"/>
      <c r="I154" s="18"/>
      <c r="J154" s="18"/>
      <c r="K154" s="18"/>
      <c r="L154" s="18"/>
      <c r="M154" s="18"/>
      <c r="N154" s="18"/>
      <c r="O154" s="18"/>
    </row>
    <row r="155" spans="6:15" x14ac:dyDescent="0.2">
      <c r="F155" s="18"/>
      <c r="G155" s="18"/>
      <c r="H155" s="18"/>
      <c r="I155" s="18"/>
      <c r="J155" s="18"/>
      <c r="K155" s="18"/>
      <c r="L155" s="18"/>
      <c r="M155" s="18"/>
      <c r="N155" s="18"/>
      <c r="O155" s="18"/>
    </row>
    <row r="156" spans="6:15" x14ac:dyDescent="0.2">
      <c r="F156" s="18"/>
      <c r="G156" s="18"/>
      <c r="H156" s="18"/>
      <c r="I156" s="18"/>
      <c r="J156" s="18"/>
      <c r="K156" s="18"/>
      <c r="L156" s="18"/>
      <c r="M156" s="18"/>
      <c r="N156" s="18"/>
      <c r="O156" s="18"/>
    </row>
    <row r="157" spans="6:15" x14ac:dyDescent="0.2">
      <c r="F157" s="18"/>
      <c r="G157" s="18"/>
      <c r="H157" s="18"/>
      <c r="I157" s="18"/>
      <c r="J157" s="18"/>
      <c r="K157" s="18"/>
      <c r="L157" s="18"/>
      <c r="M157" s="18"/>
      <c r="N157" s="18"/>
      <c r="O157" s="18"/>
    </row>
    <row r="158" spans="6:15" x14ac:dyDescent="0.2">
      <c r="F158" s="18"/>
      <c r="G158" s="18"/>
      <c r="H158" s="18"/>
      <c r="I158" s="18"/>
      <c r="J158" s="18"/>
      <c r="K158" s="18"/>
      <c r="L158" s="18"/>
      <c r="M158" s="18"/>
      <c r="N158" s="18"/>
      <c r="O158" s="18"/>
    </row>
    <row r="159" spans="6:15" x14ac:dyDescent="0.2">
      <c r="F159" s="18"/>
      <c r="G159" s="18"/>
      <c r="H159" s="18"/>
      <c r="I159" s="18"/>
      <c r="J159" s="18"/>
      <c r="K159" s="18"/>
      <c r="L159" s="18"/>
      <c r="M159" s="18"/>
      <c r="N159" s="18"/>
      <c r="O159" s="18"/>
    </row>
    <row r="160" spans="6:15" x14ac:dyDescent="0.2">
      <c r="F160" s="18"/>
      <c r="G160" s="18"/>
      <c r="H160" s="18"/>
      <c r="I160" s="18"/>
      <c r="J160" s="18"/>
      <c r="K160" s="18"/>
      <c r="L160" s="18"/>
      <c r="M160" s="18"/>
      <c r="N160" s="18"/>
      <c r="O160" s="18"/>
    </row>
    <row r="161" spans="6:15" x14ac:dyDescent="0.2">
      <c r="F161" s="18"/>
      <c r="G161" s="18"/>
      <c r="H161" s="18"/>
      <c r="I161" s="18"/>
      <c r="J161" s="18"/>
      <c r="K161" s="18"/>
      <c r="L161" s="18"/>
      <c r="M161" s="18"/>
      <c r="N161" s="18"/>
      <c r="O161" s="18"/>
    </row>
    <row r="162" spans="6:15" x14ac:dyDescent="0.2">
      <c r="F162" s="18"/>
      <c r="G162" s="18"/>
      <c r="H162" s="18"/>
      <c r="I162" s="18"/>
      <c r="J162" s="18"/>
      <c r="K162" s="18"/>
      <c r="L162" s="18"/>
      <c r="M162" s="18"/>
      <c r="N162" s="18"/>
      <c r="O162" s="18"/>
    </row>
    <row r="163" spans="6:15" x14ac:dyDescent="0.2">
      <c r="F163" s="18"/>
      <c r="G163" s="18"/>
      <c r="H163" s="18"/>
      <c r="I163" s="18"/>
      <c r="J163" s="18"/>
      <c r="K163" s="18"/>
      <c r="L163" s="18"/>
      <c r="M163" s="18"/>
      <c r="N163" s="18"/>
      <c r="O163" s="18"/>
    </row>
    <row r="164" spans="6:15" x14ac:dyDescent="0.2">
      <c r="F164" s="18"/>
      <c r="G164" s="18"/>
      <c r="H164" s="18"/>
      <c r="I164" s="18"/>
      <c r="J164" s="18"/>
      <c r="K164" s="18"/>
      <c r="L164" s="18"/>
      <c r="M164" s="18"/>
      <c r="N164" s="18"/>
      <c r="O164" s="18"/>
    </row>
    <row r="165" spans="6:15" x14ac:dyDescent="0.2">
      <c r="F165" s="18"/>
      <c r="G165" s="18"/>
      <c r="H165" s="18"/>
      <c r="I165" s="18"/>
      <c r="J165" s="18"/>
      <c r="K165" s="18"/>
      <c r="L165" s="18"/>
      <c r="M165" s="18"/>
      <c r="N165" s="18"/>
      <c r="O165" s="18"/>
    </row>
    <row r="166" spans="6:15" x14ac:dyDescent="0.2">
      <c r="F166" s="18"/>
      <c r="G166" s="18"/>
      <c r="H166" s="18"/>
      <c r="I166" s="18"/>
      <c r="J166" s="18"/>
      <c r="K166" s="18"/>
      <c r="L166" s="18"/>
      <c r="M166" s="18"/>
      <c r="N166" s="18"/>
      <c r="O166" s="18"/>
    </row>
    <row r="167" spans="6:15" x14ac:dyDescent="0.2">
      <c r="F167" s="18"/>
      <c r="G167" s="18"/>
      <c r="H167" s="18"/>
      <c r="I167" s="18"/>
      <c r="J167" s="18"/>
      <c r="K167" s="18"/>
      <c r="L167" s="18"/>
      <c r="M167" s="18"/>
      <c r="N167" s="18"/>
      <c r="O167" s="18"/>
    </row>
    <row r="168" spans="6:15" x14ac:dyDescent="0.2">
      <c r="F168" s="18"/>
      <c r="G168" s="18"/>
      <c r="H168" s="18"/>
      <c r="I168" s="18"/>
      <c r="J168" s="18"/>
      <c r="K168" s="18"/>
      <c r="L168" s="18"/>
      <c r="M168" s="18"/>
      <c r="N168" s="18"/>
      <c r="O168" s="18"/>
    </row>
    <row r="169" spans="6:15" x14ac:dyDescent="0.2">
      <c r="F169" s="18"/>
      <c r="G169" s="18"/>
      <c r="H169" s="18"/>
      <c r="I169" s="18"/>
      <c r="J169" s="18"/>
      <c r="K169" s="18"/>
      <c r="L169" s="18"/>
      <c r="M169" s="18"/>
      <c r="N169" s="18"/>
      <c r="O169" s="18"/>
    </row>
    <row r="170" spans="6:15" x14ac:dyDescent="0.2">
      <c r="F170" s="18"/>
      <c r="G170" s="18"/>
      <c r="H170" s="18"/>
      <c r="I170" s="18"/>
      <c r="J170" s="18"/>
      <c r="K170" s="18"/>
      <c r="L170" s="18"/>
      <c r="M170" s="18"/>
      <c r="N170" s="18"/>
      <c r="O170" s="18"/>
    </row>
    <row r="171" spans="6:15" x14ac:dyDescent="0.2">
      <c r="F171" s="18"/>
      <c r="G171" s="18"/>
      <c r="H171" s="18"/>
      <c r="I171" s="18"/>
      <c r="J171" s="18"/>
      <c r="K171" s="18"/>
      <c r="L171" s="18"/>
      <c r="M171" s="18"/>
      <c r="N171" s="18"/>
      <c r="O171" s="18"/>
    </row>
    <row r="172" spans="6:15" x14ac:dyDescent="0.2">
      <c r="F172" s="18"/>
      <c r="G172" s="18"/>
      <c r="H172" s="18"/>
      <c r="I172" s="18"/>
      <c r="J172" s="18"/>
      <c r="K172" s="18"/>
      <c r="L172" s="18"/>
      <c r="M172" s="18"/>
      <c r="N172" s="18"/>
      <c r="O172" s="18"/>
    </row>
    <row r="173" spans="6:15" x14ac:dyDescent="0.2">
      <c r="F173" s="18"/>
      <c r="G173" s="18"/>
      <c r="H173" s="18"/>
      <c r="I173" s="18"/>
      <c r="J173" s="18"/>
      <c r="K173" s="18"/>
      <c r="L173" s="18"/>
      <c r="M173" s="18"/>
      <c r="N173" s="18"/>
      <c r="O173" s="18"/>
    </row>
    <row r="174" spans="6:15" x14ac:dyDescent="0.2">
      <c r="F174" s="18"/>
      <c r="G174" s="18"/>
      <c r="H174" s="18"/>
      <c r="I174" s="18"/>
      <c r="J174" s="18"/>
      <c r="K174" s="18"/>
      <c r="L174" s="18"/>
      <c r="M174" s="18"/>
      <c r="N174" s="18"/>
      <c r="O174" s="18"/>
    </row>
    <row r="175" spans="6:15" x14ac:dyDescent="0.2">
      <c r="F175" s="18"/>
      <c r="G175" s="18"/>
      <c r="H175" s="18"/>
      <c r="I175" s="18"/>
      <c r="J175" s="18"/>
      <c r="K175" s="18"/>
      <c r="L175" s="18"/>
      <c r="M175" s="18"/>
      <c r="N175" s="18"/>
      <c r="O175" s="18"/>
    </row>
    <row r="176" spans="6:15" x14ac:dyDescent="0.2">
      <c r="F176" s="18"/>
      <c r="G176" s="18"/>
      <c r="H176" s="18"/>
      <c r="I176" s="18"/>
      <c r="J176" s="18"/>
      <c r="K176" s="18"/>
      <c r="L176" s="18"/>
      <c r="M176" s="18"/>
      <c r="N176" s="18"/>
      <c r="O176" s="18"/>
    </row>
    <row r="177" spans="6:15" x14ac:dyDescent="0.2">
      <c r="F177" s="18"/>
      <c r="G177" s="18"/>
      <c r="H177" s="18"/>
      <c r="I177" s="18"/>
      <c r="J177" s="18"/>
      <c r="K177" s="18"/>
      <c r="L177" s="18"/>
      <c r="M177" s="18"/>
      <c r="N177" s="18"/>
      <c r="O177" s="18"/>
    </row>
    <row r="178" spans="6:15" x14ac:dyDescent="0.2">
      <c r="F178" s="18"/>
      <c r="G178" s="18"/>
      <c r="H178" s="18"/>
      <c r="I178" s="18"/>
      <c r="J178" s="18"/>
      <c r="K178" s="18"/>
      <c r="L178" s="18"/>
      <c r="M178" s="18"/>
      <c r="N178" s="18"/>
      <c r="O178" s="18"/>
    </row>
    <row r="179" spans="6:15" x14ac:dyDescent="0.2">
      <c r="F179" s="18"/>
      <c r="G179" s="18"/>
      <c r="H179" s="18"/>
      <c r="I179" s="18"/>
      <c r="J179" s="18"/>
      <c r="K179" s="18"/>
      <c r="L179" s="18"/>
      <c r="M179" s="18"/>
      <c r="N179" s="18"/>
      <c r="O179" s="18"/>
    </row>
    <row r="180" spans="6:15" x14ac:dyDescent="0.2">
      <c r="F180" s="18"/>
      <c r="G180" s="18"/>
      <c r="H180" s="18"/>
      <c r="I180" s="18"/>
      <c r="J180" s="18"/>
      <c r="K180" s="18"/>
      <c r="L180" s="18"/>
      <c r="M180" s="18"/>
      <c r="N180" s="18"/>
      <c r="O180" s="18"/>
    </row>
    <row r="181" spans="6:15" x14ac:dyDescent="0.2">
      <c r="F181" s="18"/>
      <c r="G181" s="18"/>
      <c r="H181" s="18"/>
      <c r="I181" s="18"/>
      <c r="J181" s="18"/>
      <c r="K181" s="18"/>
      <c r="L181" s="18"/>
      <c r="M181" s="18"/>
      <c r="N181" s="18"/>
      <c r="O181" s="18"/>
    </row>
    <row r="182" spans="6:15" x14ac:dyDescent="0.2">
      <c r="F182" s="18"/>
      <c r="G182" s="18"/>
      <c r="H182" s="18"/>
      <c r="I182" s="18"/>
      <c r="J182" s="18"/>
      <c r="K182" s="18"/>
      <c r="L182" s="18"/>
      <c r="M182" s="18"/>
      <c r="N182" s="18"/>
      <c r="O182" s="18"/>
    </row>
    <row r="183" spans="6:15" x14ac:dyDescent="0.2">
      <c r="F183" s="18"/>
      <c r="G183" s="18"/>
      <c r="H183" s="18"/>
      <c r="I183" s="18"/>
      <c r="J183" s="18"/>
      <c r="K183" s="18"/>
      <c r="L183" s="18"/>
      <c r="M183" s="18"/>
      <c r="N183" s="18"/>
      <c r="O183" s="18"/>
    </row>
    <row r="184" spans="6:15" x14ac:dyDescent="0.2">
      <c r="F184" s="18"/>
      <c r="G184" s="18"/>
      <c r="H184" s="18"/>
      <c r="I184" s="18"/>
      <c r="J184" s="18"/>
      <c r="K184" s="18"/>
      <c r="L184" s="18"/>
      <c r="M184" s="18"/>
      <c r="N184" s="18"/>
      <c r="O184" s="18"/>
    </row>
    <row r="185" spans="6:15" x14ac:dyDescent="0.2">
      <c r="F185" s="18"/>
      <c r="G185" s="18"/>
      <c r="H185" s="18"/>
      <c r="I185" s="18"/>
      <c r="J185" s="18"/>
      <c r="K185" s="18"/>
      <c r="L185" s="18"/>
      <c r="M185" s="18"/>
      <c r="N185" s="18"/>
      <c r="O185" s="18"/>
    </row>
    <row r="186" spans="6:15" x14ac:dyDescent="0.2">
      <c r="F186" s="18"/>
      <c r="G186" s="18"/>
      <c r="H186" s="18"/>
      <c r="I186" s="18"/>
      <c r="J186" s="18"/>
      <c r="K186" s="18"/>
      <c r="L186" s="18"/>
      <c r="M186" s="18"/>
      <c r="N186" s="18"/>
      <c r="O186" s="18"/>
    </row>
    <row r="187" spans="6:15" x14ac:dyDescent="0.2">
      <c r="F187" s="18"/>
      <c r="G187" s="18"/>
      <c r="H187" s="18"/>
      <c r="I187" s="18"/>
      <c r="J187" s="18"/>
      <c r="K187" s="18"/>
      <c r="L187" s="18"/>
      <c r="M187" s="18"/>
      <c r="N187" s="18"/>
      <c r="O187" s="18"/>
    </row>
    <row r="188" spans="6:15" x14ac:dyDescent="0.2">
      <c r="F188" s="18"/>
      <c r="G188" s="18"/>
      <c r="H188" s="18"/>
      <c r="I188" s="18"/>
      <c r="J188" s="18"/>
      <c r="K188" s="18"/>
      <c r="L188" s="18"/>
      <c r="M188" s="18"/>
      <c r="N188" s="18"/>
      <c r="O188" s="18"/>
    </row>
    <row r="189" spans="6:15" x14ac:dyDescent="0.2">
      <c r="F189" s="18"/>
      <c r="G189" s="18"/>
      <c r="H189" s="18"/>
      <c r="I189" s="18"/>
      <c r="J189" s="18"/>
      <c r="K189" s="18"/>
      <c r="L189" s="18"/>
      <c r="M189" s="18"/>
      <c r="N189" s="18"/>
      <c r="O189" s="18"/>
    </row>
    <row r="190" spans="6:15" x14ac:dyDescent="0.2">
      <c r="F190" s="18"/>
      <c r="G190" s="18"/>
      <c r="H190" s="18"/>
      <c r="I190" s="18"/>
      <c r="J190" s="18"/>
      <c r="K190" s="18"/>
      <c r="L190" s="18"/>
      <c r="M190" s="18"/>
      <c r="N190" s="18"/>
      <c r="O190" s="18"/>
    </row>
    <row r="191" spans="6:15" x14ac:dyDescent="0.2">
      <c r="F191" s="18"/>
      <c r="G191" s="18"/>
      <c r="H191" s="18"/>
      <c r="I191" s="18"/>
      <c r="J191" s="18"/>
      <c r="K191" s="18"/>
      <c r="L191" s="18"/>
      <c r="M191" s="18"/>
      <c r="N191" s="18"/>
      <c r="O191" s="18"/>
    </row>
    <row r="192" spans="6:15" x14ac:dyDescent="0.2">
      <c r="F192" s="18"/>
      <c r="G192" s="18"/>
      <c r="H192" s="18"/>
      <c r="I192" s="18"/>
      <c r="J192" s="18"/>
      <c r="K192" s="18"/>
      <c r="L192" s="18"/>
      <c r="M192" s="18"/>
      <c r="N192" s="18"/>
      <c r="O192" s="18"/>
    </row>
    <row r="193" spans="6:15" x14ac:dyDescent="0.2">
      <c r="F193" s="18"/>
      <c r="G193" s="18"/>
      <c r="H193" s="18"/>
      <c r="I193" s="18"/>
      <c r="J193" s="18"/>
      <c r="K193" s="18"/>
      <c r="L193" s="18"/>
      <c r="M193" s="18"/>
      <c r="N193" s="18"/>
      <c r="O193" s="18"/>
    </row>
    <row r="194" spans="6:15" x14ac:dyDescent="0.2">
      <c r="F194" s="18"/>
      <c r="G194" s="18"/>
      <c r="H194" s="18"/>
      <c r="I194" s="18"/>
      <c r="J194" s="18"/>
      <c r="K194" s="18"/>
      <c r="L194" s="18"/>
      <c r="M194" s="18"/>
      <c r="N194" s="18"/>
      <c r="O194" s="18"/>
    </row>
    <row r="195" spans="6:15" x14ac:dyDescent="0.2">
      <c r="F195" s="18"/>
      <c r="G195" s="18"/>
      <c r="H195" s="18"/>
      <c r="I195" s="18"/>
      <c r="J195" s="18"/>
      <c r="K195" s="18"/>
      <c r="L195" s="18"/>
      <c r="M195" s="18"/>
      <c r="N195" s="18"/>
      <c r="O195" s="18"/>
    </row>
    <row r="196" spans="6:15" x14ac:dyDescent="0.2">
      <c r="F196" s="18"/>
      <c r="G196" s="18"/>
      <c r="H196" s="18"/>
      <c r="I196" s="18"/>
      <c r="J196" s="18"/>
      <c r="K196" s="18"/>
      <c r="L196" s="18"/>
      <c r="M196" s="18"/>
      <c r="N196" s="18"/>
      <c r="O196" s="18"/>
    </row>
    <row r="197" spans="6:15" x14ac:dyDescent="0.2">
      <c r="F197" s="18"/>
      <c r="G197" s="18"/>
      <c r="H197" s="18"/>
      <c r="I197" s="18"/>
      <c r="J197" s="18"/>
      <c r="K197" s="18"/>
      <c r="L197" s="18"/>
      <c r="M197" s="18"/>
      <c r="N197" s="18"/>
      <c r="O197" s="18"/>
    </row>
    <row r="198" spans="6:15" x14ac:dyDescent="0.2">
      <c r="F198" s="18"/>
      <c r="G198" s="18"/>
      <c r="H198" s="18"/>
      <c r="I198" s="18"/>
      <c r="J198" s="18"/>
      <c r="K198" s="18"/>
      <c r="L198" s="18"/>
      <c r="M198" s="18"/>
      <c r="N198" s="18"/>
      <c r="O198" s="18"/>
    </row>
    <row r="199" spans="6:15" x14ac:dyDescent="0.2">
      <c r="F199" s="18"/>
      <c r="G199" s="18"/>
      <c r="H199" s="18"/>
      <c r="I199" s="18"/>
      <c r="J199" s="18"/>
      <c r="K199" s="18"/>
      <c r="L199" s="18"/>
      <c r="M199" s="18"/>
      <c r="N199" s="18"/>
      <c r="O199" s="18"/>
    </row>
    <row r="200" spans="6:15" x14ac:dyDescent="0.2">
      <c r="F200" s="18"/>
      <c r="G200" s="18"/>
      <c r="H200" s="18"/>
      <c r="I200" s="18"/>
      <c r="J200" s="18"/>
      <c r="K200" s="18"/>
      <c r="L200" s="18"/>
      <c r="M200" s="18"/>
      <c r="N200" s="18"/>
      <c r="O200" s="18"/>
    </row>
    <row r="201" spans="6:15" x14ac:dyDescent="0.2">
      <c r="F201" s="18"/>
      <c r="G201" s="18"/>
      <c r="H201" s="18"/>
      <c r="I201" s="18"/>
      <c r="J201" s="18"/>
      <c r="K201" s="18"/>
      <c r="L201" s="18"/>
      <c r="M201" s="18"/>
      <c r="N201" s="18"/>
      <c r="O201" s="18"/>
    </row>
    <row r="202" spans="6:15" x14ac:dyDescent="0.2">
      <c r="F202" s="18"/>
      <c r="G202" s="18"/>
      <c r="H202" s="18"/>
      <c r="I202" s="18"/>
      <c r="J202" s="18"/>
      <c r="K202" s="18"/>
      <c r="L202" s="18"/>
      <c r="M202" s="18"/>
      <c r="N202" s="18"/>
      <c r="O202" s="18"/>
    </row>
    <row r="203" spans="6:15" x14ac:dyDescent="0.2">
      <c r="F203" s="18"/>
      <c r="G203" s="18"/>
      <c r="H203" s="18"/>
      <c r="I203" s="18"/>
      <c r="J203" s="18"/>
      <c r="K203" s="18"/>
      <c r="L203" s="18"/>
      <c r="M203" s="18"/>
      <c r="N203" s="18"/>
      <c r="O203" s="18"/>
    </row>
    <row r="204" spans="6:15" x14ac:dyDescent="0.2">
      <c r="F204" s="18"/>
      <c r="G204" s="18"/>
      <c r="H204" s="18"/>
      <c r="I204" s="18"/>
      <c r="J204" s="18"/>
      <c r="K204" s="18"/>
      <c r="L204" s="18"/>
      <c r="M204" s="18"/>
      <c r="N204" s="18"/>
      <c r="O204" s="18"/>
    </row>
    <row r="205" spans="6:15" x14ac:dyDescent="0.2">
      <c r="F205" s="18"/>
      <c r="G205" s="18"/>
      <c r="H205" s="18"/>
      <c r="I205" s="18"/>
      <c r="J205" s="18"/>
      <c r="K205" s="18"/>
      <c r="L205" s="18"/>
      <c r="M205" s="18"/>
      <c r="N205" s="18"/>
      <c r="O205" s="18"/>
    </row>
    <row r="206" spans="6:15" x14ac:dyDescent="0.2">
      <c r="F206" s="18"/>
      <c r="G206" s="18"/>
      <c r="H206" s="18"/>
      <c r="I206" s="18"/>
      <c r="J206" s="18"/>
      <c r="K206" s="18"/>
      <c r="L206" s="18"/>
      <c r="M206" s="18"/>
      <c r="N206" s="18"/>
      <c r="O206" s="18"/>
    </row>
    <row r="207" spans="6:15" x14ac:dyDescent="0.2">
      <c r="F207" s="18"/>
      <c r="G207" s="18"/>
      <c r="H207" s="18"/>
      <c r="I207" s="18"/>
      <c r="J207" s="18"/>
      <c r="K207" s="18"/>
      <c r="L207" s="18"/>
      <c r="M207" s="18"/>
      <c r="N207" s="18"/>
      <c r="O207" s="18"/>
    </row>
    <row r="208" spans="6:15" x14ac:dyDescent="0.2">
      <c r="F208" s="18"/>
      <c r="G208" s="18"/>
      <c r="H208" s="18"/>
      <c r="I208" s="18"/>
      <c r="J208" s="18"/>
      <c r="K208" s="18"/>
      <c r="L208" s="18"/>
      <c r="M208" s="18"/>
      <c r="N208" s="18"/>
      <c r="O208" s="18"/>
    </row>
    <row r="209" spans="6:15" x14ac:dyDescent="0.2">
      <c r="F209" s="18"/>
      <c r="G209" s="18"/>
      <c r="H209" s="18"/>
      <c r="I209" s="18"/>
      <c r="J209" s="18"/>
      <c r="K209" s="18"/>
      <c r="L209" s="18"/>
      <c r="M209" s="18"/>
      <c r="N209" s="18"/>
      <c r="O209" s="18"/>
    </row>
    <row r="210" spans="6:15" x14ac:dyDescent="0.2">
      <c r="F210" s="18"/>
      <c r="G210" s="18"/>
      <c r="H210" s="18"/>
      <c r="I210" s="18"/>
      <c r="J210" s="18"/>
      <c r="K210" s="18"/>
      <c r="L210" s="18"/>
      <c r="M210" s="18"/>
      <c r="N210" s="18"/>
      <c r="O210" s="18"/>
    </row>
    <row r="211" spans="6:15" x14ac:dyDescent="0.2">
      <c r="F211" s="18"/>
      <c r="G211" s="18"/>
      <c r="H211" s="18"/>
      <c r="I211" s="18"/>
      <c r="J211" s="18"/>
      <c r="K211" s="18"/>
      <c r="L211" s="18"/>
      <c r="M211" s="18"/>
      <c r="N211" s="18"/>
      <c r="O211" s="18"/>
    </row>
    <row r="212" spans="6:15" x14ac:dyDescent="0.2">
      <c r="F212" s="18"/>
      <c r="G212" s="18"/>
      <c r="H212" s="18"/>
      <c r="I212" s="18"/>
      <c r="J212" s="18"/>
      <c r="K212" s="18"/>
      <c r="L212" s="18"/>
      <c r="M212" s="18"/>
      <c r="N212" s="18"/>
      <c r="O212" s="18"/>
    </row>
    <row r="213" spans="6:15" x14ac:dyDescent="0.2">
      <c r="F213" s="18"/>
      <c r="G213" s="18"/>
      <c r="H213" s="18"/>
      <c r="I213" s="18"/>
      <c r="J213" s="18"/>
      <c r="K213" s="18"/>
      <c r="L213" s="18"/>
      <c r="M213" s="18"/>
      <c r="N213" s="18"/>
      <c r="O213" s="18"/>
    </row>
    <row r="214" spans="6:15" x14ac:dyDescent="0.2">
      <c r="F214" s="18"/>
      <c r="G214" s="18"/>
      <c r="H214" s="18"/>
      <c r="I214" s="18"/>
      <c r="J214" s="18"/>
      <c r="K214" s="18"/>
      <c r="L214" s="18"/>
      <c r="M214" s="18"/>
      <c r="N214" s="18"/>
      <c r="O214" s="18"/>
    </row>
    <row r="215" spans="6:15" x14ac:dyDescent="0.2">
      <c r="F215" s="18"/>
      <c r="G215" s="18"/>
      <c r="H215" s="18"/>
      <c r="I215" s="18"/>
      <c r="J215" s="18"/>
      <c r="K215" s="18"/>
      <c r="L215" s="18"/>
      <c r="M215" s="18"/>
      <c r="N215" s="18"/>
      <c r="O215" s="18"/>
    </row>
    <row r="216" spans="6:15" x14ac:dyDescent="0.2">
      <c r="F216" s="18"/>
      <c r="G216" s="18"/>
      <c r="H216" s="18"/>
      <c r="I216" s="18"/>
      <c r="J216" s="18"/>
      <c r="K216" s="18"/>
      <c r="L216" s="18"/>
      <c r="M216" s="18"/>
      <c r="N216" s="18"/>
      <c r="O216" s="18"/>
    </row>
    <row r="217" spans="6:15" x14ac:dyDescent="0.2">
      <c r="F217" s="18"/>
      <c r="G217" s="18"/>
      <c r="H217" s="18"/>
      <c r="I217" s="18"/>
      <c r="J217" s="18"/>
      <c r="K217" s="18"/>
      <c r="L217" s="18"/>
      <c r="M217" s="18"/>
      <c r="N217" s="18"/>
      <c r="O217" s="18"/>
    </row>
    <row r="218" spans="6:15" x14ac:dyDescent="0.2">
      <c r="F218" s="18"/>
      <c r="G218" s="18"/>
      <c r="H218" s="18"/>
      <c r="I218" s="18"/>
      <c r="J218" s="18"/>
      <c r="K218" s="18"/>
      <c r="L218" s="18"/>
      <c r="M218" s="18"/>
      <c r="N218" s="18"/>
      <c r="O218" s="18"/>
    </row>
    <row r="219" spans="6:15" x14ac:dyDescent="0.2">
      <c r="F219" s="18"/>
      <c r="G219" s="18"/>
      <c r="H219" s="18"/>
      <c r="I219" s="18"/>
      <c r="J219" s="18"/>
      <c r="K219" s="18"/>
      <c r="L219" s="18"/>
      <c r="M219" s="18"/>
      <c r="N219" s="18"/>
      <c r="O219" s="18"/>
    </row>
    <row r="220" spans="6:15" x14ac:dyDescent="0.2">
      <c r="F220" s="18"/>
      <c r="G220" s="18"/>
      <c r="H220" s="18"/>
      <c r="I220" s="18"/>
      <c r="J220" s="18"/>
      <c r="K220" s="18"/>
      <c r="L220" s="18"/>
      <c r="M220" s="18"/>
      <c r="N220" s="18"/>
      <c r="O220" s="18"/>
    </row>
    <row r="221" spans="6:15" x14ac:dyDescent="0.2">
      <c r="F221" s="18"/>
      <c r="G221" s="18"/>
      <c r="H221" s="18"/>
      <c r="I221" s="18"/>
      <c r="J221" s="18"/>
      <c r="K221" s="18"/>
      <c r="L221" s="18"/>
      <c r="M221" s="18"/>
      <c r="N221" s="18"/>
      <c r="O221" s="18"/>
    </row>
    <row r="222" spans="6:15" x14ac:dyDescent="0.2">
      <c r="F222" s="18"/>
      <c r="G222" s="18"/>
      <c r="H222" s="18"/>
      <c r="I222" s="18"/>
      <c r="J222" s="18"/>
      <c r="K222" s="18"/>
      <c r="L222" s="18"/>
      <c r="M222" s="18"/>
      <c r="N222" s="18"/>
      <c r="O222" s="18"/>
    </row>
    <row r="223" spans="6:15" x14ac:dyDescent="0.2">
      <c r="F223" s="18"/>
      <c r="G223" s="18"/>
      <c r="H223" s="18"/>
      <c r="I223" s="18"/>
      <c r="J223" s="18"/>
      <c r="K223" s="18"/>
      <c r="L223" s="18"/>
      <c r="M223" s="18"/>
      <c r="N223" s="18"/>
      <c r="O223" s="18"/>
    </row>
    <row r="224" spans="6:15" x14ac:dyDescent="0.2">
      <c r="F224" s="18"/>
      <c r="G224" s="18"/>
      <c r="H224" s="18"/>
      <c r="I224" s="18"/>
      <c r="J224" s="18"/>
      <c r="K224" s="18"/>
      <c r="L224" s="18"/>
      <c r="M224" s="18"/>
      <c r="N224" s="18"/>
      <c r="O224" s="18"/>
    </row>
    <row r="225" spans="6:15" x14ac:dyDescent="0.2">
      <c r="F225" s="18"/>
      <c r="G225" s="18"/>
      <c r="H225" s="18"/>
      <c r="I225" s="18"/>
      <c r="J225" s="18"/>
      <c r="K225" s="18"/>
      <c r="L225" s="18"/>
      <c r="M225" s="18"/>
      <c r="N225" s="18"/>
      <c r="O225" s="18"/>
    </row>
    <row r="226" spans="6:15" x14ac:dyDescent="0.2">
      <c r="F226" s="18"/>
      <c r="G226" s="18"/>
      <c r="H226" s="18"/>
      <c r="I226" s="18"/>
      <c r="J226" s="18"/>
      <c r="K226" s="18"/>
      <c r="L226" s="18"/>
      <c r="M226" s="18"/>
      <c r="N226" s="18"/>
      <c r="O226" s="18"/>
    </row>
    <row r="227" spans="6:15" x14ac:dyDescent="0.2">
      <c r="F227" s="18"/>
      <c r="G227" s="18"/>
      <c r="H227" s="18"/>
      <c r="I227" s="18"/>
      <c r="J227" s="18"/>
      <c r="K227" s="18"/>
      <c r="L227" s="18"/>
      <c r="M227" s="18"/>
      <c r="N227" s="18"/>
      <c r="O227" s="18"/>
    </row>
    <row r="228" spans="6:15" x14ac:dyDescent="0.2">
      <c r="F228" s="18"/>
      <c r="G228" s="18"/>
      <c r="H228" s="18"/>
      <c r="I228" s="18"/>
      <c r="J228" s="18"/>
      <c r="K228" s="18"/>
      <c r="L228" s="18"/>
      <c r="M228" s="18"/>
      <c r="N228" s="18"/>
      <c r="O228" s="18"/>
    </row>
    <row r="229" spans="6:15" x14ac:dyDescent="0.2">
      <c r="F229" s="18"/>
      <c r="G229" s="18"/>
      <c r="H229" s="18"/>
      <c r="I229" s="18"/>
      <c r="J229" s="18"/>
      <c r="K229" s="18"/>
      <c r="L229" s="18"/>
      <c r="M229" s="18"/>
      <c r="N229" s="18"/>
      <c r="O229" s="18"/>
    </row>
    <row r="230" spans="6:15" x14ac:dyDescent="0.2">
      <c r="F230" s="18"/>
      <c r="G230" s="18"/>
      <c r="H230" s="18"/>
      <c r="I230" s="18"/>
      <c r="J230" s="18"/>
      <c r="K230" s="18"/>
      <c r="L230" s="18"/>
      <c r="M230" s="18"/>
      <c r="N230" s="18"/>
      <c r="O230" s="18"/>
    </row>
    <row r="231" spans="6:15" x14ac:dyDescent="0.2">
      <c r="F231" s="18"/>
      <c r="G231" s="18"/>
      <c r="H231" s="18"/>
      <c r="I231" s="18"/>
      <c r="J231" s="18"/>
      <c r="K231" s="18"/>
      <c r="L231" s="18"/>
      <c r="M231" s="18"/>
      <c r="N231" s="18"/>
      <c r="O231" s="18"/>
    </row>
    <row r="232" spans="6:15" x14ac:dyDescent="0.2">
      <c r="F232" s="18"/>
      <c r="G232" s="18"/>
      <c r="H232" s="18"/>
      <c r="I232" s="18"/>
      <c r="J232" s="18"/>
      <c r="K232" s="18"/>
      <c r="L232" s="18"/>
      <c r="M232" s="18"/>
      <c r="N232" s="18"/>
      <c r="O232" s="18"/>
    </row>
    <row r="233" spans="6:15" x14ac:dyDescent="0.2">
      <c r="F233" s="18"/>
      <c r="G233" s="18"/>
      <c r="H233" s="18"/>
      <c r="I233" s="18"/>
      <c r="J233" s="18"/>
      <c r="K233" s="18"/>
      <c r="L233" s="18"/>
      <c r="M233" s="18"/>
      <c r="N233" s="18"/>
      <c r="O233" s="18"/>
    </row>
    <row r="234" spans="6:15" x14ac:dyDescent="0.2">
      <c r="F234" s="18"/>
      <c r="G234" s="18"/>
      <c r="H234" s="18"/>
      <c r="I234" s="18"/>
      <c r="J234" s="18"/>
      <c r="K234" s="18"/>
      <c r="L234" s="18"/>
      <c r="M234" s="18"/>
      <c r="N234" s="18"/>
      <c r="O234" s="18"/>
    </row>
    <row r="235" spans="6:15" x14ac:dyDescent="0.2">
      <c r="F235" s="18"/>
      <c r="G235" s="18"/>
      <c r="H235" s="18"/>
      <c r="I235" s="18"/>
      <c r="J235" s="18"/>
      <c r="K235" s="18"/>
      <c r="L235" s="18"/>
      <c r="M235" s="18"/>
      <c r="N235" s="18"/>
      <c r="O235" s="18"/>
    </row>
    <row r="236" spans="6:15" x14ac:dyDescent="0.2">
      <c r="F236" s="18"/>
      <c r="G236" s="18"/>
      <c r="H236" s="18"/>
      <c r="I236" s="18"/>
      <c r="J236" s="18"/>
      <c r="K236" s="18"/>
      <c r="L236" s="18"/>
      <c r="M236" s="18"/>
      <c r="N236" s="18"/>
      <c r="O236" s="18"/>
    </row>
    <row r="237" spans="6:15" x14ac:dyDescent="0.2">
      <c r="F237" s="18"/>
      <c r="G237" s="18"/>
      <c r="H237" s="18"/>
      <c r="I237" s="18"/>
      <c r="J237" s="18"/>
      <c r="K237" s="18"/>
      <c r="L237" s="18"/>
      <c r="M237" s="18"/>
      <c r="N237" s="18"/>
      <c r="O237" s="18"/>
    </row>
    <row r="238" spans="6:15" x14ac:dyDescent="0.2">
      <c r="F238" s="18"/>
      <c r="G238" s="18"/>
      <c r="H238" s="18"/>
      <c r="I238" s="18"/>
      <c r="J238" s="18"/>
      <c r="K238" s="18"/>
      <c r="L238" s="18"/>
      <c r="M238" s="18"/>
      <c r="N238" s="18"/>
      <c r="O238" s="18"/>
    </row>
    <row r="239" spans="6:15" x14ac:dyDescent="0.2">
      <c r="F239" s="18"/>
      <c r="G239" s="18"/>
      <c r="H239" s="18"/>
      <c r="I239" s="18"/>
      <c r="J239" s="18"/>
      <c r="K239" s="18"/>
      <c r="L239" s="18"/>
      <c r="M239" s="18"/>
      <c r="N239" s="18"/>
      <c r="O239" s="18"/>
    </row>
    <row r="240" spans="6:15" x14ac:dyDescent="0.2">
      <c r="F240" s="18"/>
      <c r="G240" s="18"/>
      <c r="H240" s="18"/>
      <c r="I240" s="18"/>
      <c r="J240" s="18"/>
      <c r="K240" s="18"/>
      <c r="L240" s="18"/>
      <c r="M240" s="18"/>
      <c r="N240" s="18"/>
      <c r="O240" s="18"/>
    </row>
    <row r="241" spans="6:15" x14ac:dyDescent="0.2">
      <c r="F241" s="18"/>
      <c r="G241" s="18"/>
      <c r="H241" s="18"/>
      <c r="I241" s="18"/>
      <c r="J241" s="18"/>
      <c r="K241" s="18"/>
      <c r="L241" s="18"/>
      <c r="M241" s="18"/>
      <c r="N241" s="18"/>
      <c r="O241" s="18"/>
    </row>
    <row r="242" spans="6:15" x14ac:dyDescent="0.2">
      <c r="F242" s="18"/>
      <c r="G242" s="18"/>
      <c r="H242" s="18"/>
      <c r="I242" s="18"/>
      <c r="J242" s="18"/>
      <c r="K242" s="18"/>
      <c r="L242" s="18"/>
      <c r="M242" s="18"/>
      <c r="N242" s="18"/>
      <c r="O242" s="18"/>
    </row>
    <row r="243" spans="6:15" x14ac:dyDescent="0.2">
      <c r="F243" s="18"/>
      <c r="G243" s="18"/>
      <c r="H243" s="18"/>
      <c r="I243" s="18"/>
      <c r="J243" s="18"/>
      <c r="K243" s="18"/>
      <c r="L243" s="18"/>
      <c r="M243" s="18"/>
      <c r="N243" s="18"/>
      <c r="O243" s="18"/>
    </row>
    <row r="244" spans="6:15" x14ac:dyDescent="0.2">
      <c r="F244" s="18"/>
      <c r="G244" s="18"/>
      <c r="H244" s="18"/>
      <c r="I244" s="18"/>
      <c r="J244" s="18"/>
      <c r="K244" s="18"/>
      <c r="L244" s="18"/>
      <c r="M244" s="18"/>
      <c r="N244" s="18"/>
      <c r="O244" s="18"/>
    </row>
    <row r="245" spans="6:15" x14ac:dyDescent="0.2">
      <c r="F245" s="18"/>
      <c r="G245" s="18"/>
      <c r="H245" s="18"/>
      <c r="I245" s="18"/>
      <c r="J245" s="18"/>
      <c r="K245" s="18"/>
      <c r="L245" s="18"/>
      <c r="M245" s="18"/>
      <c r="N245" s="18"/>
      <c r="O245" s="18"/>
    </row>
    <row r="246" spans="6:15" x14ac:dyDescent="0.2">
      <c r="F246" s="18"/>
      <c r="G246" s="18"/>
      <c r="H246" s="18"/>
      <c r="I246" s="18"/>
      <c r="J246" s="18"/>
      <c r="K246" s="18"/>
      <c r="L246" s="18"/>
      <c r="M246" s="18"/>
      <c r="N246" s="18"/>
      <c r="O246" s="18"/>
    </row>
    <row r="247" spans="6:15" x14ac:dyDescent="0.2">
      <c r="F247" s="18"/>
      <c r="G247" s="18"/>
      <c r="H247" s="18"/>
      <c r="I247" s="18"/>
      <c r="J247" s="18"/>
      <c r="K247" s="18"/>
      <c r="L247" s="18"/>
      <c r="M247" s="18"/>
      <c r="N247" s="18"/>
      <c r="O247" s="18"/>
    </row>
    <row r="248" spans="6:15" x14ac:dyDescent="0.2">
      <c r="F248" s="18"/>
      <c r="G248" s="18"/>
      <c r="H248" s="18"/>
      <c r="I248" s="18"/>
      <c r="J248" s="18"/>
      <c r="K248" s="18"/>
      <c r="L248" s="18"/>
      <c r="M248" s="18"/>
      <c r="N248" s="18"/>
      <c r="O248" s="18"/>
    </row>
    <row r="249" spans="6:15" x14ac:dyDescent="0.2">
      <c r="F249" s="18"/>
      <c r="G249" s="18"/>
      <c r="H249" s="18"/>
      <c r="I249" s="18"/>
      <c r="J249" s="18"/>
      <c r="K249" s="18"/>
      <c r="L249" s="18"/>
      <c r="M249" s="18"/>
      <c r="N249" s="18"/>
      <c r="O249" s="18"/>
    </row>
    <row r="250" spans="6:15" x14ac:dyDescent="0.2">
      <c r="F250" s="18"/>
      <c r="G250" s="18"/>
      <c r="H250" s="18"/>
      <c r="I250" s="18"/>
      <c r="J250" s="18"/>
      <c r="K250" s="18"/>
      <c r="L250" s="18"/>
      <c r="M250" s="18"/>
      <c r="N250" s="18"/>
      <c r="O250" s="18"/>
    </row>
    <row r="251" spans="6:15" x14ac:dyDescent="0.2">
      <c r="F251" s="18"/>
      <c r="G251" s="18"/>
      <c r="H251" s="18"/>
      <c r="I251" s="18"/>
      <c r="J251" s="18"/>
      <c r="K251" s="18"/>
      <c r="L251" s="18"/>
      <c r="M251" s="18"/>
      <c r="N251" s="18"/>
      <c r="O251" s="18"/>
    </row>
    <row r="252" spans="6:15" x14ac:dyDescent="0.2">
      <c r="F252" s="18"/>
      <c r="G252" s="18"/>
      <c r="H252" s="18"/>
      <c r="I252" s="18"/>
      <c r="J252" s="18"/>
      <c r="K252" s="18"/>
      <c r="L252" s="18"/>
      <c r="M252" s="18"/>
      <c r="N252" s="18"/>
      <c r="O252" s="18"/>
    </row>
    <row r="253" spans="6:15" x14ac:dyDescent="0.2">
      <c r="F253" s="18"/>
      <c r="G253" s="18"/>
      <c r="H253" s="18"/>
      <c r="I253" s="18"/>
      <c r="J253" s="18"/>
      <c r="K253" s="18"/>
      <c r="L253" s="18"/>
      <c r="M253" s="18"/>
      <c r="N253" s="18"/>
      <c r="O253" s="18"/>
    </row>
    <row r="254" spans="6:15" x14ac:dyDescent="0.2">
      <c r="F254" s="18"/>
      <c r="G254" s="18"/>
      <c r="H254" s="18"/>
      <c r="I254" s="18"/>
      <c r="J254" s="18"/>
      <c r="K254" s="18"/>
      <c r="L254" s="18"/>
      <c r="M254" s="18"/>
      <c r="N254" s="18"/>
      <c r="O254" s="18"/>
    </row>
    <row r="255" spans="6:15" x14ac:dyDescent="0.2">
      <c r="F255" s="18"/>
      <c r="G255" s="18"/>
      <c r="H255" s="18"/>
      <c r="I255" s="18"/>
      <c r="J255" s="18"/>
      <c r="K255" s="18"/>
      <c r="L255" s="18"/>
      <c r="M255" s="18"/>
      <c r="N255" s="18"/>
      <c r="O255" s="18"/>
    </row>
    <row r="256" spans="6:15" x14ac:dyDescent="0.2">
      <c r="F256" s="18"/>
      <c r="G256" s="18"/>
      <c r="H256" s="18"/>
      <c r="I256" s="18"/>
      <c r="J256" s="18"/>
      <c r="K256" s="18"/>
      <c r="L256" s="18"/>
      <c r="M256" s="18"/>
      <c r="N256" s="18"/>
      <c r="O256" s="18"/>
    </row>
    <row r="257" spans="6:15" x14ac:dyDescent="0.2">
      <c r="F257" s="18"/>
      <c r="G257" s="18"/>
      <c r="H257" s="18"/>
      <c r="I257" s="18"/>
      <c r="J257" s="18"/>
      <c r="K257" s="18"/>
      <c r="L257" s="18"/>
      <c r="M257" s="18"/>
      <c r="N257" s="18"/>
      <c r="O257" s="18"/>
    </row>
    <row r="258" spans="6:15" x14ac:dyDescent="0.2">
      <c r="F258" s="18"/>
      <c r="G258" s="18"/>
      <c r="H258" s="18"/>
      <c r="I258" s="18"/>
      <c r="J258" s="18"/>
      <c r="K258" s="18"/>
      <c r="L258" s="18"/>
      <c r="M258" s="18"/>
      <c r="N258" s="18"/>
      <c r="O258" s="18"/>
    </row>
    <row r="259" spans="6:15" x14ac:dyDescent="0.2">
      <c r="F259" s="18"/>
      <c r="G259" s="18"/>
      <c r="H259" s="18"/>
      <c r="I259" s="18"/>
      <c r="J259" s="18"/>
      <c r="K259" s="18"/>
      <c r="L259" s="18"/>
      <c r="M259" s="18"/>
      <c r="N259" s="18"/>
      <c r="O259" s="18"/>
    </row>
    <row r="260" spans="6:15" x14ac:dyDescent="0.2">
      <c r="F260" s="18"/>
      <c r="G260" s="18"/>
      <c r="H260" s="18"/>
      <c r="I260" s="18"/>
      <c r="J260" s="18"/>
      <c r="K260" s="18"/>
      <c r="L260" s="18"/>
      <c r="M260" s="18"/>
      <c r="N260" s="18"/>
      <c r="O260" s="18"/>
    </row>
    <row r="261" spans="6:15" x14ac:dyDescent="0.2">
      <c r="F261" s="18"/>
      <c r="G261" s="18"/>
      <c r="H261" s="18"/>
      <c r="I261" s="18"/>
      <c r="J261" s="18"/>
      <c r="K261" s="18"/>
      <c r="L261" s="18"/>
      <c r="M261" s="18"/>
      <c r="N261" s="18"/>
      <c r="O261" s="18"/>
    </row>
    <row r="262" spans="6:15" x14ac:dyDescent="0.2">
      <c r="F262" s="18"/>
      <c r="G262" s="18"/>
      <c r="H262" s="18"/>
      <c r="I262" s="18"/>
      <c r="J262" s="18"/>
      <c r="K262" s="18"/>
      <c r="L262" s="18"/>
      <c r="M262" s="18"/>
      <c r="N262" s="18"/>
      <c r="O262" s="18"/>
    </row>
    <row r="263" spans="6:15" x14ac:dyDescent="0.2">
      <c r="F263" s="18"/>
      <c r="G263" s="18"/>
      <c r="H263" s="18"/>
      <c r="I263" s="18"/>
      <c r="J263" s="18"/>
      <c r="K263" s="18"/>
      <c r="L263" s="18"/>
      <c r="M263" s="18"/>
      <c r="N263" s="18"/>
      <c r="O263" s="18"/>
    </row>
    <row r="264" spans="6:15" x14ac:dyDescent="0.2">
      <c r="F264" s="18"/>
      <c r="G264" s="18"/>
      <c r="H264" s="18"/>
      <c r="I264" s="18"/>
      <c r="J264" s="18"/>
      <c r="K264" s="18"/>
      <c r="L264" s="18"/>
      <c r="M264" s="18"/>
      <c r="N264" s="18"/>
      <c r="O264" s="18"/>
    </row>
    <row r="265" spans="6:15" x14ac:dyDescent="0.2">
      <c r="F265" s="18"/>
      <c r="G265" s="18"/>
      <c r="H265" s="18"/>
      <c r="I265" s="18"/>
      <c r="J265" s="18"/>
      <c r="K265" s="18"/>
      <c r="L265" s="18"/>
      <c r="M265" s="18"/>
      <c r="N265" s="18"/>
      <c r="O265" s="18"/>
    </row>
    <row r="266" spans="6:15" x14ac:dyDescent="0.2">
      <c r="F266" s="18"/>
      <c r="G266" s="18"/>
      <c r="H266" s="18"/>
      <c r="I266" s="18"/>
      <c r="J266" s="18"/>
      <c r="K266" s="18"/>
      <c r="L266" s="18"/>
      <c r="M266" s="18"/>
      <c r="N266" s="18"/>
      <c r="O266" s="18"/>
    </row>
    <row r="267" spans="6:15" x14ac:dyDescent="0.2">
      <c r="F267" s="18"/>
      <c r="G267" s="18"/>
      <c r="H267" s="18"/>
      <c r="I267" s="18"/>
      <c r="J267" s="18"/>
      <c r="K267" s="18"/>
      <c r="L267" s="18"/>
      <c r="M267" s="18"/>
      <c r="N267" s="18"/>
      <c r="O267" s="18"/>
    </row>
    <row r="268" spans="6:15" x14ac:dyDescent="0.2">
      <c r="F268" s="18"/>
      <c r="G268" s="18"/>
      <c r="H268" s="18"/>
      <c r="I268" s="18"/>
      <c r="J268" s="18"/>
      <c r="K268" s="18"/>
      <c r="L268" s="18"/>
      <c r="M268" s="18"/>
      <c r="N268" s="18"/>
      <c r="O268" s="18"/>
    </row>
    <row r="269" spans="6:15" x14ac:dyDescent="0.2">
      <c r="F269" s="18"/>
      <c r="G269" s="18"/>
      <c r="H269" s="18"/>
      <c r="I269" s="18"/>
      <c r="J269" s="18"/>
      <c r="K269" s="18"/>
      <c r="L269" s="18"/>
      <c r="M269" s="18"/>
      <c r="N269" s="18"/>
      <c r="O269" s="18"/>
    </row>
    <row r="270" spans="6:15" x14ac:dyDescent="0.2">
      <c r="F270" s="18"/>
      <c r="G270" s="18"/>
      <c r="H270" s="18"/>
      <c r="I270" s="18"/>
      <c r="J270" s="18"/>
      <c r="K270" s="18"/>
      <c r="L270" s="18"/>
      <c r="M270" s="18"/>
      <c r="N270" s="18"/>
      <c r="O270" s="18"/>
    </row>
    <row r="271" spans="6:15" x14ac:dyDescent="0.2">
      <c r="F271" s="18"/>
      <c r="G271" s="18"/>
      <c r="H271" s="18"/>
      <c r="I271" s="18"/>
      <c r="J271" s="18"/>
      <c r="K271" s="18"/>
      <c r="L271" s="18"/>
      <c r="M271" s="18"/>
      <c r="N271" s="18"/>
      <c r="O271" s="18"/>
    </row>
    <row r="272" spans="6:15" x14ac:dyDescent="0.2">
      <c r="F272" s="18"/>
      <c r="G272" s="18"/>
      <c r="H272" s="18"/>
      <c r="I272" s="18"/>
      <c r="J272" s="18"/>
      <c r="K272" s="18"/>
      <c r="L272" s="18"/>
      <c r="M272" s="18"/>
      <c r="N272" s="18"/>
      <c r="O272" s="18"/>
    </row>
    <row r="273" spans="6:15" x14ac:dyDescent="0.2">
      <c r="F273" s="18"/>
      <c r="G273" s="18"/>
      <c r="H273" s="18"/>
      <c r="I273" s="18"/>
      <c r="J273" s="18"/>
      <c r="K273" s="18"/>
      <c r="L273" s="18"/>
      <c r="M273" s="18"/>
      <c r="N273" s="18"/>
      <c r="O273" s="18"/>
    </row>
    <row r="274" spans="6:15" x14ac:dyDescent="0.2">
      <c r="F274" s="18"/>
      <c r="G274" s="18"/>
      <c r="H274" s="18"/>
      <c r="I274" s="18"/>
      <c r="J274" s="18"/>
      <c r="K274" s="18"/>
      <c r="L274" s="18"/>
      <c r="M274" s="18"/>
      <c r="N274" s="18"/>
      <c r="O274" s="18"/>
    </row>
    <row r="275" spans="6:15" x14ac:dyDescent="0.2">
      <c r="F275" s="18"/>
      <c r="G275" s="18"/>
      <c r="H275" s="18"/>
      <c r="I275" s="18"/>
      <c r="J275" s="18"/>
      <c r="K275" s="18"/>
      <c r="L275" s="18"/>
      <c r="M275" s="18"/>
      <c r="N275" s="18"/>
      <c r="O275" s="18"/>
    </row>
    <row r="276" spans="6:15" x14ac:dyDescent="0.2">
      <c r="F276" s="18"/>
      <c r="G276" s="18"/>
      <c r="H276" s="18"/>
      <c r="I276" s="18"/>
      <c r="J276" s="18"/>
      <c r="K276" s="18"/>
      <c r="L276" s="18"/>
      <c r="M276" s="18"/>
      <c r="N276" s="18"/>
      <c r="O276" s="18"/>
    </row>
    <row r="277" spans="6:15" x14ac:dyDescent="0.2">
      <c r="F277" s="18"/>
      <c r="G277" s="18"/>
      <c r="H277" s="18"/>
      <c r="I277" s="18"/>
      <c r="J277" s="18"/>
      <c r="K277" s="18"/>
      <c r="L277" s="18"/>
      <c r="M277" s="18"/>
      <c r="N277" s="18"/>
      <c r="O277" s="18"/>
    </row>
    <row r="278" spans="6:15" x14ac:dyDescent="0.2">
      <c r="F278" s="18"/>
      <c r="G278" s="18"/>
      <c r="H278" s="18"/>
      <c r="I278" s="18"/>
      <c r="J278" s="18"/>
      <c r="K278" s="18"/>
      <c r="L278" s="18"/>
      <c r="M278" s="18"/>
      <c r="N278" s="18"/>
      <c r="O278" s="18"/>
    </row>
    <row r="279" spans="6:15" x14ac:dyDescent="0.2">
      <c r="F279" s="18"/>
      <c r="G279" s="18"/>
      <c r="H279" s="18"/>
      <c r="I279" s="18"/>
      <c r="J279" s="18"/>
      <c r="K279" s="18"/>
      <c r="L279" s="18"/>
      <c r="M279" s="18"/>
      <c r="N279" s="18"/>
      <c r="O279" s="18"/>
    </row>
    <row r="280" spans="6:15" x14ac:dyDescent="0.2">
      <c r="F280" s="18"/>
      <c r="G280" s="18"/>
      <c r="H280" s="18"/>
      <c r="I280" s="18"/>
      <c r="J280" s="18"/>
      <c r="K280" s="18"/>
      <c r="L280" s="18"/>
      <c r="M280" s="18"/>
      <c r="N280" s="18"/>
      <c r="O280" s="18"/>
    </row>
    <row r="281" spans="6:15" x14ac:dyDescent="0.2">
      <c r="F281" s="18"/>
      <c r="G281" s="18"/>
      <c r="H281" s="18"/>
      <c r="I281" s="18"/>
      <c r="J281" s="18"/>
      <c r="K281" s="18"/>
      <c r="L281" s="18"/>
      <c r="M281" s="18"/>
      <c r="N281" s="18"/>
      <c r="O281" s="18"/>
    </row>
    <row r="282" spans="6:15" x14ac:dyDescent="0.2">
      <c r="F282" s="18"/>
      <c r="G282" s="18"/>
      <c r="H282" s="18"/>
      <c r="I282" s="18"/>
      <c r="J282" s="18"/>
      <c r="K282" s="18"/>
      <c r="L282" s="18"/>
      <c r="M282" s="18"/>
      <c r="N282" s="18"/>
      <c r="O282" s="18"/>
    </row>
    <row r="283" spans="6:15" x14ac:dyDescent="0.2">
      <c r="F283" s="18"/>
      <c r="G283" s="18"/>
      <c r="H283" s="18"/>
      <c r="I283" s="18"/>
      <c r="J283" s="18"/>
      <c r="K283" s="18"/>
      <c r="L283" s="18"/>
      <c r="M283" s="18"/>
      <c r="N283" s="18"/>
      <c r="O283" s="18"/>
    </row>
    <row r="284" spans="6:15" x14ac:dyDescent="0.2">
      <c r="F284" s="18"/>
      <c r="G284" s="18"/>
      <c r="H284" s="18"/>
      <c r="I284" s="18"/>
      <c r="J284" s="18"/>
      <c r="K284" s="18"/>
      <c r="L284" s="18"/>
      <c r="M284" s="18"/>
      <c r="N284" s="18"/>
      <c r="O284" s="18"/>
    </row>
    <row r="285" spans="6:15" x14ac:dyDescent="0.2">
      <c r="F285" s="18"/>
      <c r="G285" s="18"/>
      <c r="H285" s="18"/>
      <c r="I285" s="18"/>
      <c r="J285" s="18"/>
      <c r="K285" s="18"/>
      <c r="L285" s="18"/>
      <c r="M285" s="18"/>
      <c r="N285" s="18"/>
      <c r="O285" s="18"/>
    </row>
    <row r="286" spans="6:15" x14ac:dyDescent="0.2">
      <c r="F286" s="18"/>
      <c r="G286" s="18"/>
      <c r="H286" s="18"/>
      <c r="I286" s="18"/>
      <c r="J286" s="18"/>
      <c r="K286" s="18"/>
      <c r="L286" s="18"/>
      <c r="M286" s="18"/>
      <c r="N286" s="18"/>
      <c r="O286" s="18"/>
    </row>
    <row r="287" spans="6:15" x14ac:dyDescent="0.2">
      <c r="F287" s="18"/>
      <c r="G287" s="18"/>
      <c r="H287" s="18"/>
      <c r="I287" s="18"/>
      <c r="J287" s="18"/>
      <c r="K287" s="18"/>
      <c r="L287" s="18"/>
      <c r="M287" s="18"/>
      <c r="N287" s="18"/>
      <c r="O287" s="18"/>
    </row>
    <row r="288" spans="6:15" x14ac:dyDescent="0.2">
      <c r="F288" s="18"/>
      <c r="G288" s="18"/>
      <c r="H288" s="18"/>
      <c r="I288" s="18"/>
      <c r="J288" s="18"/>
      <c r="K288" s="18"/>
      <c r="L288" s="18"/>
      <c r="M288" s="18"/>
      <c r="N288" s="18"/>
      <c r="O288" s="18"/>
    </row>
    <row r="289" spans="6:15" x14ac:dyDescent="0.2">
      <c r="F289" s="18"/>
      <c r="G289" s="18"/>
      <c r="H289" s="18"/>
      <c r="I289" s="18"/>
      <c r="J289" s="18"/>
      <c r="K289" s="18"/>
      <c r="L289" s="18"/>
      <c r="M289" s="18"/>
      <c r="N289" s="18"/>
      <c r="O289" s="18"/>
    </row>
    <row r="290" spans="6:15" x14ac:dyDescent="0.2">
      <c r="F290" s="18"/>
      <c r="G290" s="18"/>
      <c r="H290" s="18"/>
      <c r="I290" s="18"/>
      <c r="J290" s="18"/>
      <c r="K290" s="18"/>
      <c r="L290" s="18"/>
      <c r="M290" s="18"/>
      <c r="N290" s="18"/>
      <c r="O290" s="18"/>
    </row>
    <row r="291" spans="6:15" x14ac:dyDescent="0.2">
      <c r="F291" s="18"/>
      <c r="G291" s="18"/>
      <c r="H291" s="18"/>
      <c r="I291" s="18"/>
      <c r="J291" s="18"/>
      <c r="K291" s="18"/>
      <c r="L291" s="18"/>
      <c r="M291" s="18"/>
      <c r="N291" s="18"/>
      <c r="O291" s="18"/>
    </row>
    <row r="292" spans="6:15" x14ac:dyDescent="0.2">
      <c r="F292" s="18"/>
      <c r="G292" s="18"/>
      <c r="H292" s="18"/>
      <c r="I292" s="18"/>
      <c r="J292" s="18"/>
      <c r="K292" s="18"/>
      <c r="L292" s="18"/>
      <c r="M292" s="18"/>
      <c r="N292" s="18"/>
      <c r="O292" s="18"/>
    </row>
    <row r="293" spans="6:15" x14ac:dyDescent="0.2">
      <c r="F293" s="18"/>
      <c r="G293" s="18"/>
      <c r="H293" s="18"/>
      <c r="I293" s="18"/>
      <c r="J293" s="18"/>
      <c r="K293" s="18"/>
      <c r="L293" s="18"/>
      <c r="M293" s="18"/>
      <c r="N293" s="18"/>
      <c r="O293" s="18"/>
    </row>
    <row r="294" spans="6:15" x14ac:dyDescent="0.2">
      <c r="F294" s="18"/>
      <c r="G294" s="18"/>
      <c r="H294" s="18"/>
      <c r="I294" s="18"/>
      <c r="J294" s="18"/>
      <c r="K294" s="18"/>
      <c r="L294" s="18"/>
      <c r="M294" s="18"/>
      <c r="N294" s="18"/>
      <c r="O294" s="18"/>
    </row>
    <row r="295" spans="6:15" x14ac:dyDescent="0.2">
      <c r="F295" s="18"/>
      <c r="G295" s="18"/>
      <c r="H295" s="18"/>
      <c r="I295" s="18"/>
      <c r="J295" s="18"/>
      <c r="K295" s="18"/>
      <c r="L295" s="18"/>
      <c r="M295" s="18"/>
      <c r="N295" s="18"/>
      <c r="O295" s="18"/>
    </row>
    <row r="296" spans="6:15" x14ac:dyDescent="0.2">
      <c r="F296" s="18"/>
      <c r="G296" s="18"/>
      <c r="H296" s="18"/>
      <c r="I296" s="18"/>
      <c r="J296" s="18"/>
      <c r="K296" s="18"/>
      <c r="L296" s="18"/>
      <c r="M296" s="18"/>
      <c r="N296" s="18"/>
      <c r="O296" s="18"/>
    </row>
    <row r="297" spans="6:15" x14ac:dyDescent="0.2">
      <c r="F297" s="18"/>
      <c r="G297" s="18"/>
      <c r="H297" s="18"/>
      <c r="I297" s="18"/>
      <c r="J297" s="18"/>
      <c r="K297" s="18"/>
      <c r="L297" s="18"/>
      <c r="M297" s="18"/>
      <c r="N297" s="18"/>
      <c r="O297" s="18"/>
    </row>
    <row r="298" spans="6:15" x14ac:dyDescent="0.2">
      <c r="F298" s="18"/>
      <c r="G298" s="18"/>
      <c r="H298" s="18"/>
      <c r="I298" s="18"/>
      <c r="J298" s="18"/>
      <c r="K298" s="18"/>
      <c r="L298" s="18"/>
      <c r="M298" s="18"/>
      <c r="N298" s="18"/>
      <c r="O298" s="18"/>
    </row>
    <row r="299" spans="6:15" x14ac:dyDescent="0.2">
      <c r="F299" s="18"/>
      <c r="G299" s="18"/>
      <c r="H299" s="18"/>
      <c r="I299" s="18"/>
      <c r="J299" s="18"/>
      <c r="K299" s="18"/>
      <c r="L299" s="18"/>
      <c r="M299" s="18"/>
      <c r="N299" s="18"/>
      <c r="O299" s="18"/>
    </row>
    <row r="300" spans="6:15" x14ac:dyDescent="0.2">
      <c r="F300" s="18"/>
      <c r="G300" s="18"/>
      <c r="H300" s="18"/>
      <c r="I300" s="18"/>
      <c r="J300" s="18"/>
      <c r="K300" s="18"/>
      <c r="L300" s="18"/>
      <c r="M300" s="18"/>
      <c r="N300" s="18"/>
      <c r="O300" s="18"/>
    </row>
    <row r="301" spans="6:15" x14ac:dyDescent="0.2">
      <c r="F301" s="18"/>
      <c r="G301" s="18"/>
      <c r="H301" s="18"/>
      <c r="I301" s="18"/>
      <c r="J301" s="18"/>
      <c r="K301" s="18"/>
      <c r="L301" s="18"/>
      <c r="M301" s="18"/>
      <c r="N301" s="18"/>
      <c r="O301" s="18"/>
    </row>
    <row r="302" spans="6:15" x14ac:dyDescent="0.2">
      <c r="F302" s="18"/>
      <c r="G302" s="18"/>
      <c r="H302" s="18"/>
      <c r="I302" s="18"/>
      <c r="J302" s="18"/>
      <c r="K302" s="18"/>
      <c r="L302" s="18"/>
      <c r="M302" s="18"/>
      <c r="N302" s="18"/>
      <c r="O302" s="18"/>
    </row>
    <row r="303" spans="6:15" x14ac:dyDescent="0.2">
      <c r="F303" s="18"/>
      <c r="G303" s="18"/>
      <c r="H303" s="18"/>
      <c r="I303" s="18"/>
      <c r="J303" s="18"/>
      <c r="K303" s="18"/>
      <c r="L303" s="18"/>
      <c r="M303" s="18"/>
      <c r="N303" s="18"/>
      <c r="O303" s="18"/>
    </row>
    <row r="304" spans="6:15" x14ac:dyDescent="0.2">
      <c r="F304" s="18"/>
      <c r="G304" s="18"/>
      <c r="H304" s="18"/>
      <c r="I304" s="18"/>
      <c r="J304" s="18"/>
      <c r="K304" s="18"/>
      <c r="L304" s="18"/>
      <c r="M304" s="18"/>
      <c r="N304" s="18"/>
      <c r="O304" s="18"/>
    </row>
    <row r="305" spans="6:15" x14ac:dyDescent="0.2">
      <c r="F305" s="18"/>
      <c r="G305" s="18"/>
      <c r="H305" s="18"/>
      <c r="I305" s="18"/>
      <c r="J305" s="18"/>
      <c r="K305" s="18"/>
      <c r="L305" s="18"/>
      <c r="M305" s="18"/>
      <c r="N305" s="18"/>
      <c r="O305" s="18"/>
    </row>
    <row r="306" spans="6:15" x14ac:dyDescent="0.2">
      <c r="F306" s="18"/>
      <c r="G306" s="18"/>
      <c r="H306" s="18"/>
      <c r="I306" s="18"/>
      <c r="J306" s="18"/>
      <c r="K306" s="18"/>
      <c r="L306" s="18"/>
      <c r="M306" s="18"/>
      <c r="N306" s="18"/>
      <c r="O306" s="18"/>
    </row>
    <row r="307" spans="6:15" x14ac:dyDescent="0.2">
      <c r="F307" s="18"/>
      <c r="G307" s="18"/>
      <c r="H307" s="18"/>
      <c r="I307" s="18"/>
      <c r="J307" s="18"/>
      <c r="K307" s="18"/>
      <c r="L307" s="18"/>
      <c r="M307" s="18"/>
      <c r="N307" s="18"/>
      <c r="O307" s="18"/>
    </row>
    <row r="308" spans="6:15" x14ac:dyDescent="0.2">
      <c r="F308" s="18"/>
      <c r="G308" s="18"/>
      <c r="H308" s="18"/>
      <c r="I308" s="18"/>
      <c r="J308" s="18"/>
      <c r="K308" s="18"/>
      <c r="L308" s="18"/>
      <c r="M308" s="18"/>
      <c r="N308" s="18"/>
      <c r="O308" s="18"/>
    </row>
    <row r="309" spans="6:15" x14ac:dyDescent="0.2">
      <c r="F309" s="18"/>
      <c r="G309" s="18"/>
      <c r="H309" s="18"/>
      <c r="I309" s="18"/>
      <c r="J309" s="18"/>
      <c r="K309" s="18"/>
      <c r="L309" s="18"/>
      <c r="M309" s="18"/>
      <c r="N309" s="18"/>
      <c r="O309" s="18"/>
    </row>
    <row r="310" spans="6:15" x14ac:dyDescent="0.2">
      <c r="F310" s="18"/>
      <c r="G310" s="18"/>
      <c r="H310" s="18"/>
      <c r="I310" s="18"/>
      <c r="J310" s="18"/>
      <c r="K310" s="18"/>
      <c r="L310" s="18"/>
      <c r="M310" s="18"/>
      <c r="N310" s="18"/>
      <c r="O310" s="18"/>
    </row>
    <row r="311" spans="6:15" x14ac:dyDescent="0.2">
      <c r="F311" s="18"/>
      <c r="G311" s="18"/>
      <c r="H311" s="18"/>
      <c r="I311" s="18"/>
      <c r="J311" s="18"/>
      <c r="K311" s="18"/>
      <c r="L311" s="18"/>
      <c r="M311" s="18"/>
      <c r="N311" s="18"/>
      <c r="O311" s="18"/>
    </row>
    <row r="312" spans="6:15" x14ac:dyDescent="0.2">
      <c r="F312" s="18"/>
      <c r="G312" s="18"/>
      <c r="H312" s="18"/>
      <c r="I312" s="18"/>
      <c r="J312" s="18"/>
      <c r="K312" s="18"/>
      <c r="L312" s="18"/>
      <c r="M312" s="18"/>
      <c r="N312" s="18"/>
      <c r="O312" s="18"/>
    </row>
    <row r="313" spans="6:15" x14ac:dyDescent="0.2">
      <c r="F313" s="18"/>
      <c r="G313" s="18"/>
      <c r="H313" s="18"/>
      <c r="I313" s="18"/>
      <c r="J313" s="18"/>
      <c r="K313" s="18"/>
      <c r="L313" s="18"/>
      <c r="M313" s="18"/>
      <c r="N313" s="18"/>
      <c r="O313" s="18"/>
    </row>
    <row r="314" spans="6:15" x14ac:dyDescent="0.2">
      <c r="F314" s="18"/>
      <c r="G314" s="18"/>
      <c r="H314" s="18"/>
      <c r="I314" s="18"/>
      <c r="J314" s="18"/>
      <c r="K314" s="18"/>
      <c r="L314" s="18"/>
      <c r="M314" s="18"/>
      <c r="N314" s="18"/>
      <c r="O314" s="18"/>
    </row>
    <row r="315" spans="6:15" x14ac:dyDescent="0.2">
      <c r="F315" s="18"/>
      <c r="G315" s="18"/>
      <c r="H315" s="18"/>
      <c r="I315" s="18"/>
      <c r="J315" s="18"/>
      <c r="K315" s="18"/>
      <c r="L315" s="18"/>
      <c r="M315" s="18"/>
      <c r="N315" s="18"/>
      <c r="O315" s="18"/>
    </row>
    <row r="316" spans="6:15" x14ac:dyDescent="0.2">
      <c r="F316" s="18"/>
      <c r="G316" s="18"/>
      <c r="H316" s="18"/>
      <c r="I316" s="18"/>
      <c r="J316" s="18"/>
      <c r="K316" s="18"/>
      <c r="L316" s="18"/>
      <c r="M316" s="18"/>
      <c r="N316" s="18"/>
      <c r="O316" s="18"/>
    </row>
    <row r="317" spans="6:15" x14ac:dyDescent="0.2">
      <c r="F317" s="18"/>
      <c r="G317" s="18"/>
      <c r="H317" s="18"/>
      <c r="I317" s="18"/>
      <c r="J317" s="18"/>
      <c r="K317" s="18"/>
      <c r="L317" s="18"/>
      <c r="M317" s="18"/>
      <c r="N317" s="18"/>
      <c r="O317" s="18"/>
    </row>
    <row r="318" spans="6:15" x14ac:dyDescent="0.2">
      <c r="F318" s="18"/>
      <c r="G318" s="18"/>
      <c r="H318" s="18"/>
      <c r="I318" s="18"/>
      <c r="J318" s="18"/>
      <c r="K318" s="18"/>
      <c r="L318" s="18"/>
      <c r="M318" s="18"/>
      <c r="N318" s="18"/>
      <c r="O318" s="18"/>
    </row>
    <row r="319" spans="6:15" x14ac:dyDescent="0.2">
      <c r="F319" s="18"/>
      <c r="G319" s="18"/>
      <c r="H319" s="18"/>
      <c r="I319" s="18"/>
      <c r="J319" s="18"/>
      <c r="K319" s="18"/>
      <c r="L319" s="18"/>
      <c r="M319" s="18"/>
      <c r="N319" s="18"/>
      <c r="O319" s="18"/>
    </row>
    <row r="320" spans="6:15" x14ac:dyDescent="0.2">
      <c r="F320" s="18"/>
      <c r="G320" s="18"/>
      <c r="H320" s="18"/>
      <c r="I320" s="18"/>
      <c r="J320" s="18"/>
      <c r="K320" s="18"/>
      <c r="L320" s="18"/>
      <c r="M320" s="18"/>
      <c r="N320" s="18"/>
      <c r="O320" s="18"/>
    </row>
    <row r="321" spans="6:15" x14ac:dyDescent="0.2">
      <c r="F321" s="18"/>
      <c r="G321" s="18"/>
      <c r="H321" s="18"/>
      <c r="I321" s="18"/>
      <c r="J321" s="18"/>
      <c r="K321" s="18"/>
      <c r="L321" s="18"/>
      <c r="M321" s="18"/>
      <c r="N321" s="18"/>
      <c r="O321" s="18"/>
    </row>
    <row r="322" spans="6:15" x14ac:dyDescent="0.2">
      <c r="F322" s="18"/>
      <c r="G322" s="18"/>
      <c r="H322" s="18"/>
      <c r="I322" s="18"/>
      <c r="J322" s="18"/>
      <c r="K322" s="18"/>
      <c r="L322" s="18"/>
      <c r="M322" s="18"/>
      <c r="N322" s="18"/>
      <c r="O322" s="18"/>
    </row>
    <row r="323" spans="6:15" x14ac:dyDescent="0.2">
      <c r="F323" s="18"/>
      <c r="G323" s="18"/>
      <c r="H323" s="18"/>
      <c r="I323" s="18"/>
      <c r="J323" s="18"/>
      <c r="K323" s="18"/>
      <c r="L323" s="18"/>
      <c r="M323" s="18"/>
      <c r="N323" s="18"/>
      <c r="O323" s="18"/>
    </row>
    <row r="324" spans="6:15" x14ac:dyDescent="0.2">
      <c r="F324" s="18"/>
      <c r="G324" s="18"/>
      <c r="H324" s="18"/>
      <c r="I324" s="18"/>
      <c r="J324" s="18"/>
      <c r="K324" s="18"/>
      <c r="L324" s="18"/>
      <c r="M324" s="18"/>
      <c r="N324" s="18"/>
      <c r="O324" s="18"/>
    </row>
    <row r="325" spans="6:15" x14ac:dyDescent="0.2">
      <c r="F325" s="18"/>
      <c r="G325" s="18"/>
      <c r="H325" s="18"/>
      <c r="I325" s="18"/>
      <c r="J325" s="18"/>
      <c r="K325" s="18"/>
      <c r="L325" s="18"/>
      <c r="M325" s="18"/>
      <c r="N325" s="18"/>
      <c r="O325" s="18"/>
    </row>
    <row r="326" spans="6:15" x14ac:dyDescent="0.2">
      <c r="F326" s="18"/>
      <c r="G326" s="18"/>
      <c r="H326" s="18"/>
      <c r="I326" s="18"/>
      <c r="J326" s="18"/>
      <c r="K326" s="18"/>
      <c r="L326" s="18"/>
      <c r="M326" s="18"/>
      <c r="N326" s="18"/>
      <c r="O326" s="18"/>
    </row>
    <row r="327" spans="6:15" x14ac:dyDescent="0.2">
      <c r="F327" s="18"/>
      <c r="G327" s="18"/>
      <c r="H327" s="18"/>
      <c r="I327" s="18"/>
      <c r="J327" s="18"/>
      <c r="K327" s="18"/>
      <c r="L327" s="18"/>
      <c r="M327" s="18"/>
      <c r="N327" s="18"/>
      <c r="O327" s="18"/>
    </row>
    <row r="328" spans="6:15" x14ac:dyDescent="0.2">
      <c r="F328" s="18"/>
      <c r="G328" s="18"/>
      <c r="H328" s="18"/>
      <c r="I328" s="18"/>
      <c r="J328" s="18"/>
      <c r="K328" s="18"/>
      <c r="L328" s="18"/>
      <c r="M328" s="18"/>
      <c r="N328" s="18"/>
      <c r="O328" s="18"/>
    </row>
    <row r="329" spans="6:15" x14ac:dyDescent="0.2">
      <c r="F329" s="18"/>
      <c r="G329" s="18"/>
      <c r="H329" s="18"/>
      <c r="I329" s="18"/>
      <c r="J329" s="18"/>
      <c r="K329" s="18"/>
      <c r="L329" s="18"/>
      <c r="M329" s="18"/>
      <c r="N329" s="18"/>
      <c r="O329" s="18"/>
    </row>
    <row r="330" spans="6:15" x14ac:dyDescent="0.2">
      <c r="F330" s="18"/>
      <c r="G330" s="18"/>
      <c r="H330" s="18"/>
      <c r="I330" s="18"/>
      <c r="J330" s="18"/>
      <c r="K330" s="18"/>
      <c r="L330" s="18"/>
      <c r="M330" s="18"/>
      <c r="N330" s="18"/>
      <c r="O330" s="18"/>
    </row>
    <row r="331" spans="6:15" x14ac:dyDescent="0.2">
      <c r="F331" s="18"/>
      <c r="G331" s="18"/>
      <c r="H331" s="18"/>
      <c r="I331" s="18"/>
      <c r="J331" s="18"/>
      <c r="K331" s="18"/>
      <c r="L331" s="18"/>
      <c r="M331" s="18"/>
      <c r="N331" s="18"/>
      <c r="O331" s="18"/>
    </row>
    <row r="332" spans="6:15" x14ac:dyDescent="0.2">
      <c r="F332" s="18"/>
      <c r="G332" s="18"/>
      <c r="H332" s="18"/>
      <c r="I332" s="18"/>
      <c r="J332" s="18"/>
      <c r="K332" s="18"/>
      <c r="L332" s="18"/>
      <c r="M332" s="18"/>
      <c r="N332" s="18"/>
      <c r="O332" s="18"/>
    </row>
    <row r="333" spans="6:15" x14ac:dyDescent="0.2">
      <c r="F333" s="18"/>
      <c r="G333" s="18"/>
      <c r="H333" s="18"/>
      <c r="I333" s="18"/>
      <c r="J333" s="18"/>
      <c r="K333" s="18"/>
      <c r="L333" s="18"/>
      <c r="M333" s="18"/>
      <c r="N333" s="18"/>
      <c r="O333" s="18"/>
    </row>
    <row r="334" spans="6:15" x14ac:dyDescent="0.2">
      <c r="F334" s="18"/>
      <c r="G334" s="18"/>
      <c r="H334" s="18"/>
      <c r="I334" s="18"/>
      <c r="J334" s="18"/>
      <c r="K334" s="18"/>
      <c r="L334" s="18"/>
      <c r="M334" s="18"/>
      <c r="N334" s="18"/>
      <c r="O334" s="18"/>
    </row>
    <row r="335" spans="6:15" x14ac:dyDescent="0.2">
      <c r="F335" s="18"/>
      <c r="G335" s="18"/>
      <c r="H335" s="18"/>
      <c r="I335" s="18"/>
      <c r="J335" s="18"/>
      <c r="K335" s="18"/>
      <c r="L335" s="18"/>
      <c r="M335" s="18"/>
      <c r="N335" s="18"/>
      <c r="O335" s="18"/>
    </row>
    <row r="336" spans="6:15" x14ac:dyDescent="0.2">
      <c r="F336" s="18"/>
      <c r="G336" s="18"/>
      <c r="H336" s="18"/>
      <c r="I336" s="18"/>
      <c r="J336" s="18"/>
      <c r="K336" s="18"/>
      <c r="L336" s="18"/>
      <c r="M336" s="18"/>
      <c r="N336" s="18"/>
      <c r="O336" s="18"/>
    </row>
    <row r="337" spans="6:15" x14ac:dyDescent="0.2">
      <c r="F337" s="18"/>
      <c r="G337" s="18"/>
      <c r="H337" s="18"/>
      <c r="I337" s="18"/>
      <c r="J337" s="18"/>
      <c r="K337" s="18"/>
      <c r="L337" s="18"/>
      <c r="M337" s="18"/>
      <c r="N337" s="18"/>
      <c r="O337" s="18"/>
    </row>
    <row r="338" spans="6:15" x14ac:dyDescent="0.2">
      <c r="F338" s="18"/>
      <c r="G338" s="18"/>
      <c r="H338" s="18"/>
      <c r="I338" s="18"/>
      <c r="J338" s="18"/>
      <c r="K338" s="18"/>
      <c r="L338" s="18"/>
      <c r="M338" s="18"/>
      <c r="N338" s="18"/>
      <c r="O338" s="18"/>
    </row>
    <row r="339" spans="6:15" x14ac:dyDescent="0.2">
      <c r="F339" s="18"/>
      <c r="G339" s="18"/>
      <c r="H339" s="18"/>
      <c r="I339" s="18"/>
      <c r="J339" s="18"/>
      <c r="K339" s="18"/>
      <c r="L339" s="18"/>
      <c r="M339" s="18"/>
      <c r="N339" s="18"/>
      <c r="O339" s="18"/>
    </row>
    <row r="340" spans="6:15" x14ac:dyDescent="0.2">
      <c r="F340" s="18"/>
      <c r="G340" s="18"/>
      <c r="H340" s="18"/>
      <c r="I340" s="18"/>
      <c r="J340" s="18"/>
      <c r="K340" s="18"/>
      <c r="L340" s="18"/>
      <c r="M340" s="18"/>
      <c r="N340" s="18"/>
      <c r="O340" s="18"/>
    </row>
    <row r="341" spans="6:15" x14ac:dyDescent="0.2">
      <c r="F341" s="18"/>
      <c r="G341" s="18"/>
      <c r="H341" s="18"/>
      <c r="I341" s="18"/>
      <c r="J341" s="18"/>
      <c r="K341" s="18"/>
      <c r="L341" s="18"/>
      <c r="M341" s="18"/>
      <c r="N341" s="18"/>
      <c r="O341" s="18"/>
    </row>
    <row r="342" spans="6:15" x14ac:dyDescent="0.2">
      <c r="F342" s="18"/>
      <c r="G342" s="18"/>
      <c r="H342" s="18"/>
      <c r="I342" s="18"/>
      <c r="J342" s="18"/>
      <c r="K342" s="18"/>
      <c r="L342" s="18"/>
      <c r="M342" s="18"/>
      <c r="N342" s="18"/>
      <c r="O342" s="18"/>
    </row>
    <row r="343" spans="6:15" x14ac:dyDescent="0.2">
      <c r="F343" s="18"/>
      <c r="G343" s="18"/>
      <c r="H343" s="18"/>
      <c r="I343" s="18"/>
      <c r="J343" s="18"/>
      <c r="K343" s="18"/>
      <c r="L343" s="18"/>
      <c r="M343" s="18"/>
      <c r="N343" s="18"/>
      <c r="O343" s="18"/>
    </row>
    <row r="344" spans="6:15" x14ac:dyDescent="0.2">
      <c r="F344" s="18"/>
      <c r="G344" s="18"/>
      <c r="H344" s="18"/>
      <c r="I344" s="18"/>
      <c r="J344" s="18"/>
      <c r="K344" s="18"/>
      <c r="L344" s="18"/>
      <c r="M344" s="18"/>
      <c r="N344" s="18"/>
      <c r="O344" s="18"/>
    </row>
    <row r="345" spans="6:15" x14ac:dyDescent="0.2">
      <c r="F345" s="18"/>
      <c r="G345" s="18"/>
      <c r="H345" s="18"/>
      <c r="I345" s="18"/>
      <c r="J345" s="18"/>
      <c r="K345" s="18"/>
      <c r="L345" s="18"/>
      <c r="M345" s="18"/>
      <c r="N345" s="18"/>
      <c r="O345" s="18"/>
    </row>
    <row r="346" spans="6:15" x14ac:dyDescent="0.2">
      <c r="F346" s="18"/>
      <c r="G346" s="18"/>
      <c r="H346" s="18"/>
      <c r="I346" s="18"/>
      <c r="J346" s="18"/>
      <c r="K346" s="18"/>
      <c r="L346" s="18"/>
      <c r="M346" s="18"/>
      <c r="N346" s="18"/>
      <c r="O346" s="18"/>
    </row>
    <row r="347" spans="6:15" x14ac:dyDescent="0.2">
      <c r="F347" s="18"/>
      <c r="G347" s="18"/>
      <c r="H347" s="18"/>
      <c r="I347" s="18"/>
      <c r="J347" s="18"/>
      <c r="K347" s="18"/>
      <c r="L347" s="18"/>
      <c r="M347" s="18"/>
      <c r="N347" s="18"/>
      <c r="O347" s="18"/>
    </row>
    <row r="348" spans="6:15" x14ac:dyDescent="0.2">
      <c r="F348" s="18"/>
      <c r="G348" s="18"/>
      <c r="H348" s="18"/>
      <c r="I348" s="18"/>
      <c r="J348" s="18"/>
      <c r="K348" s="18"/>
      <c r="L348" s="18"/>
      <c r="M348" s="18"/>
      <c r="N348" s="18"/>
      <c r="O348" s="18"/>
    </row>
    <row r="349" spans="6:15" x14ac:dyDescent="0.2">
      <c r="F349" s="18"/>
      <c r="G349" s="18"/>
      <c r="H349" s="18"/>
      <c r="I349" s="18"/>
      <c r="J349" s="18"/>
      <c r="K349" s="18"/>
      <c r="L349" s="18"/>
      <c r="M349" s="18"/>
      <c r="N349" s="18"/>
      <c r="O349" s="18"/>
    </row>
    <row r="350" spans="6:15" x14ac:dyDescent="0.2">
      <c r="F350" s="18"/>
      <c r="G350" s="18"/>
      <c r="H350" s="18"/>
      <c r="I350" s="18"/>
      <c r="J350" s="18"/>
      <c r="K350" s="18"/>
      <c r="L350" s="18"/>
      <c r="M350" s="18"/>
      <c r="N350" s="18"/>
      <c r="O350" s="18"/>
    </row>
    <row r="351" spans="6:15" x14ac:dyDescent="0.2">
      <c r="F351" s="18"/>
      <c r="G351" s="18"/>
      <c r="H351" s="18"/>
      <c r="I351" s="18"/>
      <c r="J351" s="18"/>
      <c r="K351" s="18"/>
      <c r="L351" s="18"/>
      <c r="M351" s="18"/>
      <c r="N351" s="18"/>
      <c r="O351" s="18"/>
    </row>
    <row r="352" spans="6:15" x14ac:dyDescent="0.2">
      <c r="F352" s="18"/>
      <c r="G352" s="18"/>
      <c r="H352" s="18"/>
      <c r="I352" s="18"/>
      <c r="J352" s="18"/>
      <c r="K352" s="18"/>
      <c r="L352" s="18"/>
      <c r="M352" s="18"/>
      <c r="N352" s="18"/>
      <c r="O352" s="18"/>
    </row>
    <row r="353" spans="6:15" x14ac:dyDescent="0.2">
      <c r="F353" s="18"/>
      <c r="G353" s="18"/>
      <c r="H353" s="18"/>
      <c r="I353" s="18"/>
      <c r="J353" s="18"/>
      <c r="K353" s="18"/>
      <c r="L353" s="18"/>
      <c r="M353" s="18"/>
      <c r="N353" s="18"/>
      <c r="O353" s="18"/>
    </row>
    <row r="354" spans="6:15" x14ac:dyDescent="0.2">
      <c r="F354" s="18"/>
      <c r="G354" s="18"/>
      <c r="H354" s="18"/>
      <c r="I354" s="18"/>
      <c r="J354" s="18"/>
      <c r="K354" s="18"/>
      <c r="L354" s="18"/>
      <c r="M354" s="18"/>
      <c r="N354" s="18"/>
      <c r="O354" s="18"/>
    </row>
    <row r="355" spans="6:15" x14ac:dyDescent="0.2">
      <c r="F355" s="18"/>
      <c r="G355" s="18"/>
      <c r="H355" s="18"/>
      <c r="I355" s="18"/>
      <c r="J355" s="18"/>
      <c r="K355" s="18"/>
      <c r="L355" s="18"/>
      <c r="M355" s="18"/>
      <c r="N355" s="18"/>
      <c r="O355" s="18"/>
    </row>
    <row r="356" spans="6:15" x14ac:dyDescent="0.2">
      <c r="F356" s="18"/>
      <c r="G356" s="18"/>
      <c r="H356" s="18"/>
      <c r="I356" s="18"/>
      <c r="J356" s="18"/>
      <c r="K356" s="18"/>
      <c r="L356" s="18"/>
      <c r="M356" s="18"/>
      <c r="N356" s="18"/>
      <c r="O356" s="18"/>
    </row>
    <row r="357" spans="6:15" x14ac:dyDescent="0.2">
      <c r="F357" s="18"/>
      <c r="G357" s="18"/>
      <c r="H357" s="18"/>
      <c r="I357" s="18"/>
      <c r="J357" s="18"/>
      <c r="K357" s="18"/>
      <c r="L357" s="18"/>
      <c r="M357" s="18"/>
      <c r="N357" s="18"/>
      <c r="O357" s="18"/>
    </row>
    <row r="358" spans="6:15" x14ac:dyDescent="0.2">
      <c r="F358" s="18"/>
      <c r="G358" s="18"/>
      <c r="H358" s="18"/>
      <c r="I358" s="18"/>
      <c r="J358" s="18"/>
      <c r="K358" s="18"/>
      <c r="L358" s="18"/>
      <c r="M358" s="18"/>
      <c r="N358" s="18"/>
      <c r="O358" s="18"/>
    </row>
    <row r="359" spans="6:15" x14ac:dyDescent="0.2">
      <c r="F359" s="18"/>
      <c r="G359" s="18"/>
      <c r="H359" s="18"/>
      <c r="I359" s="18"/>
      <c r="J359" s="18"/>
      <c r="K359" s="18"/>
      <c r="L359" s="18"/>
      <c r="M359" s="18"/>
      <c r="N359" s="18"/>
      <c r="O359" s="18"/>
    </row>
    <row r="360" spans="6:15" x14ac:dyDescent="0.2">
      <c r="F360" s="18"/>
      <c r="G360" s="18"/>
      <c r="H360" s="18"/>
      <c r="I360" s="18"/>
      <c r="J360" s="18"/>
      <c r="K360" s="18"/>
      <c r="L360" s="18"/>
      <c r="M360" s="18"/>
      <c r="N360" s="18"/>
      <c r="O360" s="18"/>
    </row>
    <row r="361" spans="6:15" x14ac:dyDescent="0.2">
      <c r="F361" s="18"/>
      <c r="G361" s="18"/>
      <c r="H361" s="18"/>
      <c r="I361" s="18"/>
      <c r="J361" s="18"/>
      <c r="K361" s="18"/>
      <c r="L361" s="18"/>
      <c r="M361" s="18"/>
      <c r="N361" s="18"/>
      <c r="O361" s="18"/>
    </row>
    <row r="362" spans="6:15" x14ac:dyDescent="0.2">
      <c r="F362" s="18"/>
      <c r="G362" s="18"/>
      <c r="H362" s="18"/>
      <c r="I362" s="18"/>
      <c r="J362" s="18"/>
      <c r="K362" s="18"/>
      <c r="L362" s="18"/>
      <c r="M362" s="18"/>
      <c r="N362" s="18"/>
      <c r="O362" s="18"/>
    </row>
    <row r="363" spans="6:15" x14ac:dyDescent="0.2">
      <c r="F363" s="18"/>
      <c r="G363" s="18"/>
      <c r="H363" s="18"/>
      <c r="I363" s="18"/>
      <c r="J363" s="18"/>
      <c r="K363" s="18"/>
      <c r="L363" s="18"/>
      <c r="M363" s="18"/>
      <c r="N363" s="18"/>
      <c r="O363" s="18"/>
    </row>
    <row r="364" spans="6:15" x14ac:dyDescent="0.2">
      <c r="F364" s="18"/>
      <c r="G364" s="18"/>
      <c r="H364" s="18"/>
      <c r="I364" s="18"/>
      <c r="J364" s="18"/>
      <c r="K364" s="18"/>
      <c r="L364" s="18"/>
      <c r="M364" s="18"/>
      <c r="N364" s="18"/>
      <c r="O364" s="18"/>
    </row>
    <row r="365" spans="6:15" x14ac:dyDescent="0.2">
      <c r="F365" s="18"/>
      <c r="G365" s="18"/>
      <c r="H365" s="18"/>
      <c r="I365" s="18"/>
      <c r="J365" s="18"/>
      <c r="K365" s="18"/>
      <c r="L365" s="18"/>
      <c r="M365" s="18"/>
      <c r="N365" s="18"/>
      <c r="O365" s="18"/>
    </row>
    <row r="366" spans="6:15" x14ac:dyDescent="0.2">
      <c r="F366" s="18"/>
      <c r="G366" s="18"/>
      <c r="H366" s="18"/>
      <c r="I366" s="18"/>
      <c r="J366" s="18"/>
      <c r="K366" s="18"/>
      <c r="L366" s="18"/>
      <c r="M366" s="18"/>
      <c r="N366" s="18"/>
      <c r="O366" s="18"/>
    </row>
    <row r="367" spans="6:15" x14ac:dyDescent="0.2">
      <c r="F367" s="18"/>
      <c r="G367" s="18"/>
      <c r="H367" s="18"/>
      <c r="I367" s="18"/>
      <c r="J367" s="18"/>
      <c r="K367" s="18"/>
      <c r="L367" s="18"/>
      <c r="M367" s="18"/>
      <c r="N367" s="18"/>
      <c r="O367" s="18"/>
    </row>
    <row r="368" spans="6:15" x14ac:dyDescent="0.2">
      <c r="F368" s="18"/>
      <c r="G368" s="18"/>
      <c r="H368" s="18"/>
      <c r="I368" s="18"/>
      <c r="J368" s="18"/>
      <c r="K368" s="18"/>
      <c r="L368" s="18"/>
      <c r="M368" s="18"/>
      <c r="N368" s="18"/>
      <c r="O368" s="18"/>
    </row>
    <row r="369" spans="6:15" x14ac:dyDescent="0.2">
      <c r="F369" s="18"/>
      <c r="G369" s="18"/>
      <c r="H369" s="18"/>
      <c r="I369" s="18"/>
      <c r="J369" s="18"/>
      <c r="K369" s="18"/>
      <c r="L369" s="18"/>
      <c r="M369" s="18"/>
      <c r="N369" s="18"/>
      <c r="O369" s="18"/>
    </row>
    <row r="370" spans="6:15" x14ac:dyDescent="0.2">
      <c r="F370" s="18"/>
      <c r="G370" s="18"/>
      <c r="H370" s="18"/>
      <c r="I370" s="18"/>
      <c r="J370" s="18"/>
      <c r="K370" s="18"/>
      <c r="L370" s="18"/>
      <c r="M370" s="18"/>
      <c r="N370" s="18"/>
      <c r="O370" s="18"/>
    </row>
    <row r="371" spans="6:15" x14ac:dyDescent="0.2">
      <c r="F371" s="18"/>
      <c r="G371" s="18"/>
      <c r="H371" s="18"/>
      <c r="I371" s="18"/>
      <c r="J371" s="18"/>
      <c r="K371" s="18"/>
      <c r="L371" s="18"/>
      <c r="M371" s="18"/>
      <c r="N371" s="18"/>
      <c r="O371" s="18"/>
    </row>
    <row r="372" spans="6:15" x14ac:dyDescent="0.2">
      <c r="F372" s="18"/>
      <c r="G372" s="18"/>
      <c r="H372" s="18"/>
      <c r="I372" s="18"/>
      <c r="J372" s="18"/>
      <c r="K372" s="18"/>
      <c r="L372" s="18"/>
      <c r="M372" s="18"/>
      <c r="N372" s="18"/>
      <c r="O372" s="18"/>
    </row>
    <row r="373" spans="6:15" x14ac:dyDescent="0.2">
      <c r="F373" s="18"/>
      <c r="G373" s="18"/>
      <c r="H373" s="18"/>
      <c r="I373" s="18"/>
      <c r="J373" s="18"/>
      <c r="K373" s="18"/>
      <c r="L373" s="18"/>
      <c r="M373" s="18"/>
      <c r="N373" s="18"/>
      <c r="O373" s="18"/>
    </row>
    <row r="374" spans="6:15" x14ac:dyDescent="0.2">
      <c r="F374" s="18"/>
      <c r="G374" s="18"/>
      <c r="H374" s="18"/>
      <c r="I374" s="18"/>
      <c r="J374" s="18"/>
      <c r="K374" s="18"/>
      <c r="L374" s="18"/>
      <c r="M374" s="18"/>
      <c r="N374" s="18"/>
      <c r="O374" s="18"/>
    </row>
    <row r="375" spans="6:15" x14ac:dyDescent="0.2">
      <c r="F375" s="18"/>
      <c r="G375" s="18"/>
      <c r="H375" s="18"/>
      <c r="I375" s="18"/>
      <c r="J375" s="18"/>
      <c r="K375" s="18"/>
      <c r="L375" s="18"/>
      <c r="M375" s="18"/>
      <c r="N375" s="18"/>
      <c r="O375" s="18"/>
    </row>
    <row r="376" spans="6:15" x14ac:dyDescent="0.2">
      <c r="F376" s="18"/>
      <c r="G376" s="18"/>
      <c r="H376" s="18"/>
      <c r="I376" s="18"/>
      <c r="J376" s="18"/>
      <c r="K376" s="18"/>
      <c r="L376" s="18"/>
      <c r="M376" s="18"/>
      <c r="N376" s="18"/>
      <c r="O376" s="18"/>
    </row>
    <row r="377" spans="6:15" x14ac:dyDescent="0.2">
      <c r="F377" s="18"/>
      <c r="G377" s="18"/>
      <c r="H377" s="18"/>
      <c r="I377" s="18"/>
      <c r="J377" s="18"/>
      <c r="K377" s="18"/>
      <c r="L377" s="18"/>
      <c r="M377" s="18"/>
      <c r="N377" s="18"/>
      <c r="O377" s="18"/>
    </row>
    <row r="378" spans="6:15" x14ac:dyDescent="0.2">
      <c r="F378" s="18"/>
      <c r="G378" s="18"/>
      <c r="H378" s="18"/>
      <c r="I378" s="18"/>
      <c r="J378" s="18"/>
      <c r="K378" s="18"/>
      <c r="L378" s="18"/>
      <c r="M378" s="18"/>
      <c r="N378" s="18"/>
      <c r="O378" s="18"/>
    </row>
    <row r="379" spans="6:15" x14ac:dyDescent="0.2">
      <c r="F379" s="18"/>
      <c r="G379" s="18"/>
      <c r="H379" s="18"/>
      <c r="I379" s="18"/>
      <c r="J379" s="18"/>
      <c r="K379" s="18"/>
      <c r="L379" s="18"/>
      <c r="M379" s="18"/>
      <c r="N379" s="18"/>
      <c r="O379" s="18"/>
    </row>
    <row r="380" spans="6:15" x14ac:dyDescent="0.2">
      <c r="F380" s="18"/>
      <c r="G380" s="18"/>
      <c r="H380" s="18"/>
      <c r="I380" s="18"/>
      <c r="J380" s="18"/>
      <c r="K380" s="18"/>
      <c r="L380" s="18"/>
      <c r="M380" s="18"/>
      <c r="N380" s="18"/>
      <c r="O380" s="18"/>
    </row>
    <row r="381" spans="6:15" x14ac:dyDescent="0.2">
      <c r="F381" s="18"/>
      <c r="G381" s="18"/>
      <c r="H381" s="18"/>
      <c r="I381" s="18"/>
      <c r="J381" s="18"/>
      <c r="K381" s="18"/>
      <c r="L381" s="18"/>
      <c r="M381" s="18"/>
      <c r="N381" s="18"/>
      <c r="O381" s="18"/>
    </row>
    <row r="382" spans="6:15" x14ac:dyDescent="0.2">
      <c r="F382" s="18"/>
      <c r="G382" s="18"/>
      <c r="H382" s="18"/>
      <c r="I382" s="18"/>
      <c r="J382" s="18"/>
      <c r="K382" s="18"/>
      <c r="L382" s="18"/>
      <c r="M382" s="18"/>
      <c r="N382" s="18"/>
      <c r="O382" s="18"/>
    </row>
    <row r="383" spans="6:15" x14ac:dyDescent="0.2">
      <c r="F383" s="18"/>
      <c r="G383" s="18"/>
      <c r="H383" s="18"/>
      <c r="I383" s="18"/>
      <c r="J383" s="18"/>
      <c r="K383" s="18"/>
      <c r="L383" s="18"/>
      <c r="M383" s="18"/>
      <c r="N383" s="18"/>
      <c r="O383" s="18"/>
    </row>
    <row r="384" spans="6:15" x14ac:dyDescent="0.2">
      <c r="F384" s="18"/>
      <c r="G384" s="18"/>
      <c r="H384" s="18"/>
      <c r="I384" s="18"/>
      <c r="J384" s="18"/>
      <c r="K384" s="18"/>
      <c r="L384" s="18"/>
      <c r="M384" s="18"/>
      <c r="N384" s="18"/>
      <c r="O384" s="18"/>
    </row>
    <row r="385" spans="6:15" x14ac:dyDescent="0.2">
      <c r="F385" s="18"/>
      <c r="G385" s="18"/>
      <c r="H385" s="18"/>
      <c r="I385" s="18"/>
      <c r="J385" s="18"/>
      <c r="K385" s="18"/>
      <c r="L385" s="18"/>
      <c r="M385" s="18"/>
      <c r="N385" s="18"/>
      <c r="O385" s="18"/>
    </row>
    <row r="386" spans="6:15" x14ac:dyDescent="0.2">
      <c r="F386" s="18"/>
      <c r="G386" s="18"/>
      <c r="H386" s="18"/>
      <c r="I386" s="18"/>
      <c r="J386" s="18"/>
      <c r="K386" s="18"/>
      <c r="L386" s="18"/>
      <c r="M386" s="18"/>
      <c r="N386" s="18"/>
      <c r="O386" s="18"/>
    </row>
    <row r="387" spans="6:15" x14ac:dyDescent="0.2">
      <c r="F387" s="18"/>
      <c r="G387" s="18"/>
      <c r="H387" s="18"/>
      <c r="I387" s="18"/>
      <c r="J387" s="18"/>
      <c r="K387" s="18"/>
      <c r="L387" s="18"/>
      <c r="M387" s="18"/>
      <c r="N387" s="18"/>
      <c r="O387" s="18"/>
    </row>
    <row r="388" spans="6:15" x14ac:dyDescent="0.2">
      <c r="F388" s="18"/>
      <c r="G388" s="18"/>
      <c r="H388" s="18"/>
      <c r="I388" s="18"/>
      <c r="J388" s="18"/>
      <c r="K388" s="18"/>
      <c r="L388" s="18"/>
      <c r="M388" s="18"/>
      <c r="N388" s="18"/>
      <c r="O388" s="18"/>
    </row>
    <row r="389" spans="6:15" x14ac:dyDescent="0.2">
      <c r="F389" s="18"/>
      <c r="G389" s="18"/>
      <c r="H389" s="18"/>
      <c r="I389" s="18"/>
      <c r="J389" s="18"/>
      <c r="K389" s="18"/>
      <c r="L389" s="18"/>
      <c r="M389" s="18"/>
      <c r="N389" s="18"/>
      <c r="O389" s="18"/>
    </row>
    <row r="390" spans="6:15" x14ac:dyDescent="0.2">
      <c r="F390" s="18"/>
      <c r="G390" s="18"/>
      <c r="H390" s="18"/>
      <c r="I390" s="18"/>
      <c r="J390" s="18"/>
      <c r="K390" s="18"/>
      <c r="L390" s="18"/>
      <c r="M390" s="18"/>
      <c r="N390" s="18"/>
      <c r="O390" s="18"/>
    </row>
    <row r="391" spans="6:15" x14ac:dyDescent="0.2">
      <c r="F391" s="18"/>
      <c r="G391" s="18"/>
      <c r="H391" s="18"/>
      <c r="I391" s="18"/>
      <c r="J391" s="18"/>
      <c r="K391" s="18"/>
      <c r="L391" s="18"/>
      <c r="M391" s="18"/>
      <c r="N391" s="18"/>
      <c r="O391" s="18"/>
    </row>
    <row r="392" spans="6:15" x14ac:dyDescent="0.2">
      <c r="F392" s="18"/>
      <c r="G392" s="18"/>
      <c r="H392" s="18"/>
      <c r="I392" s="18"/>
      <c r="J392" s="18"/>
      <c r="K392" s="18"/>
      <c r="L392" s="18"/>
      <c r="M392" s="18"/>
      <c r="N392" s="18"/>
      <c r="O392" s="18"/>
    </row>
    <row r="393" spans="6:15" x14ac:dyDescent="0.2">
      <c r="F393" s="18"/>
      <c r="G393" s="18"/>
      <c r="H393" s="18"/>
      <c r="I393" s="18"/>
      <c r="J393" s="18"/>
      <c r="K393" s="18"/>
      <c r="L393" s="18"/>
      <c r="M393" s="18"/>
      <c r="N393" s="18"/>
      <c r="O393" s="18"/>
    </row>
    <row r="394" spans="6:15" x14ac:dyDescent="0.2">
      <c r="F394" s="18"/>
      <c r="G394" s="18"/>
      <c r="H394" s="18"/>
      <c r="I394" s="18"/>
      <c r="J394" s="18"/>
      <c r="K394" s="18"/>
      <c r="L394" s="18"/>
      <c r="M394" s="18"/>
      <c r="N394" s="18"/>
      <c r="O394" s="18"/>
    </row>
    <row r="395" spans="6:15" x14ac:dyDescent="0.2">
      <c r="F395" s="18"/>
      <c r="G395" s="18"/>
      <c r="H395" s="18"/>
      <c r="I395" s="18"/>
      <c r="J395" s="18"/>
      <c r="K395" s="18"/>
      <c r="L395" s="18"/>
      <c r="M395" s="18"/>
      <c r="N395" s="18"/>
      <c r="O395" s="18"/>
    </row>
    <row r="396" spans="6:15" x14ac:dyDescent="0.2">
      <c r="F396" s="18"/>
      <c r="G396" s="18"/>
      <c r="H396" s="18"/>
      <c r="I396" s="18"/>
      <c r="J396" s="18"/>
      <c r="K396" s="18"/>
      <c r="L396" s="18"/>
      <c r="M396" s="18"/>
      <c r="N396" s="18"/>
      <c r="O396" s="18"/>
    </row>
    <row r="397" spans="6:15" x14ac:dyDescent="0.2">
      <c r="F397" s="18"/>
      <c r="G397" s="18"/>
      <c r="H397" s="18"/>
      <c r="I397" s="18"/>
      <c r="J397" s="18"/>
      <c r="K397" s="18"/>
      <c r="L397" s="18"/>
      <c r="M397" s="18"/>
      <c r="N397" s="18"/>
      <c r="O397" s="18"/>
    </row>
    <row r="398" spans="6:15" x14ac:dyDescent="0.2">
      <c r="F398" s="18"/>
      <c r="G398" s="18"/>
      <c r="H398" s="18"/>
      <c r="I398" s="18"/>
      <c r="J398" s="18"/>
      <c r="K398" s="18"/>
      <c r="L398" s="18"/>
      <c r="M398" s="18"/>
      <c r="N398" s="18"/>
      <c r="O398" s="18"/>
    </row>
    <row r="399" spans="6:15" x14ac:dyDescent="0.2">
      <c r="F399" s="18"/>
      <c r="G399" s="18"/>
      <c r="H399" s="18"/>
      <c r="I399" s="18"/>
      <c r="J399" s="18"/>
      <c r="K399" s="18"/>
      <c r="L399" s="18"/>
      <c r="M399" s="18"/>
      <c r="N399" s="18"/>
      <c r="O399" s="18"/>
    </row>
    <row r="400" spans="6:15" x14ac:dyDescent="0.2">
      <c r="F400" s="18"/>
      <c r="G400" s="18"/>
      <c r="H400" s="18"/>
      <c r="I400" s="18"/>
      <c r="J400" s="18"/>
      <c r="K400" s="18"/>
      <c r="L400" s="18"/>
      <c r="M400" s="18"/>
      <c r="N400" s="18"/>
      <c r="O400" s="18"/>
    </row>
    <row r="401" spans="6:15" x14ac:dyDescent="0.2">
      <c r="F401" s="18"/>
      <c r="G401" s="18"/>
      <c r="H401" s="18"/>
      <c r="I401" s="18"/>
      <c r="J401" s="18"/>
      <c r="K401" s="18"/>
      <c r="L401" s="18"/>
      <c r="M401" s="18"/>
      <c r="N401" s="18"/>
      <c r="O401" s="18"/>
    </row>
    <row r="402" spans="6:15" x14ac:dyDescent="0.2">
      <c r="F402" s="18"/>
      <c r="G402" s="18"/>
      <c r="H402" s="18"/>
      <c r="I402" s="18"/>
      <c r="J402" s="18"/>
      <c r="K402" s="18"/>
      <c r="L402" s="18"/>
      <c r="M402" s="18"/>
      <c r="N402" s="18"/>
      <c r="O402" s="18"/>
    </row>
    <row r="403" spans="6:15" x14ac:dyDescent="0.2">
      <c r="F403" s="18"/>
      <c r="G403" s="18"/>
      <c r="H403" s="18"/>
      <c r="I403" s="18"/>
      <c r="J403" s="18"/>
      <c r="K403" s="18"/>
      <c r="L403" s="18"/>
      <c r="M403" s="18"/>
      <c r="N403" s="18"/>
      <c r="O403" s="18"/>
    </row>
    <row r="404" spans="6:15" x14ac:dyDescent="0.2">
      <c r="F404" s="18"/>
      <c r="G404" s="18"/>
      <c r="H404" s="18"/>
      <c r="I404" s="18"/>
      <c r="J404" s="18"/>
      <c r="K404" s="18"/>
      <c r="L404" s="18"/>
      <c r="M404" s="18"/>
      <c r="N404" s="18"/>
      <c r="O404" s="18"/>
    </row>
    <row r="405" spans="6:15" x14ac:dyDescent="0.2">
      <c r="F405" s="18"/>
      <c r="G405" s="18"/>
      <c r="H405" s="18"/>
      <c r="I405" s="18"/>
      <c r="J405" s="18"/>
      <c r="K405" s="18"/>
      <c r="L405" s="18"/>
      <c r="M405" s="18"/>
      <c r="N405" s="18"/>
      <c r="O405" s="18"/>
    </row>
    <row r="406" spans="6:15" x14ac:dyDescent="0.2">
      <c r="F406" s="18"/>
      <c r="G406" s="18"/>
      <c r="H406" s="18"/>
      <c r="I406" s="18"/>
      <c r="J406" s="18"/>
      <c r="K406" s="18"/>
      <c r="L406" s="18"/>
      <c r="M406" s="18"/>
      <c r="N406" s="18"/>
      <c r="O406" s="18"/>
    </row>
    <row r="407" spans="6:15" x14ac:dyDescent="0.2">
      <c r="F407" s="18"/>
      <c r="G407" s="18"/>
      <c r="H407" s="18"/>
      <c r="I407" s="18"/>
      <c r="J407" s="18"/>
      <c r="K407" s="18"/>
      <c r="L407" s="18"/>
      <c r="M407" s="18"/>
      <c r="N407" s="18"/>
      <c r="O407" s="18"/>
    </row>
    <row r="408" spans="6:15" x14ac:dyDescent="0.2">
      <c r="F408" s="18"/>
      <c r="G408" s="18"/>
      <c r="H408" s="18"/>
      <c r="I408" s="18"/>
      <c r="J408" s="18"/>
      <c r="K408" s="18"/>
      <c r="L408" s="18"/>
      <c r="M408" s="18"/>
      <c r="N408" s="18"/>
      <c r="O408" s="18"/>
    </row>
    <row r="409" spans="6:15" x14ac:dyDescent="0.2">
      <c r="F409" s="18"/>
      <c r="G409" s="18"/>
      <c r="H409" s="18"/>
      <c r="I409" s="18"/>
      <c r="J409" s="18"/>
      <c r="K409" s="18"/>
      <c r="L409" s="18"/>
      <c r="M409" s="18"/>
      <c r="N409" s="18"/>
      <c r="O409" s="18"/>
    </row>
    <row r="410" spans="6:15" x14ac:dyDescent="0.2">
      <c r="F410" s="18"/>
      <c r="G410" s="18"/>
      <c r="H410" s="18"/>
      <c r="I410" s="18"/>
      <c r="J410" s="18"/>
      <c r="K410" s="18"/>
      <c r="L410" s="18"/>
      <c r="M410" s="18"/>
      <c r="N410" s="18"/>
      <c r="O410" s="18"/>
    </row>
    <row r="411" spans="6:15" x14ac:dyDescent="0.2">
      <c r="F411" s="18"/>
      <c r="G411" s="18"/>
      <c r="H411" s="18"/>
      <c r="I411" s="18"/>
      <c r="J411" s="18"/>
      <c r="K411" s="18"/>
      <c r="L411" s="18"/>
      <c r="M411" s="18"/>
      <c r="N411" s="18"/>
      <c r="O411" s="18"/>
    </row>
    <row r="412" spans="6:15" x14ac:dyDescent="0.2">
      <c r="F412" s="18"/>
      <c r="G412" s="18"/>
      <c r="H412" s="18"/>
      <c r="I412" s="18"/>
      <c r="J412" s="18"/>
      <c r="K412" s="18"/>
      <c r="L412" s="18"/>
      <c r="M412" s="18"/>
      <c r="N412" s="18"/>
      <c r="O412" s="18"/>
    </row>
    <row r="413" spans="6:15" x14ac:dyDescent="0.2">
      <c r="F413" s="18"/>
      <c r="G413" s="18"/>
      <c r="H413" s="18"/>
      <c r="I413" s="18"/>
      <c r="J413" s="18"/>
      <c r="K413" s="18"/>
      <c r="L413" s="18"/>
      <c r="M413" s="18"/>
      <c r="N413" s="18"/>
      <c r="O413" s="18"/>
    </row>
    <row r="414" spans="6:15" x14ac:dyDescent="0.2">
      <c r="F414" s="18"/>
      <c r="G414" s="18"/>
      <c r="H414" s="18"/>
      <c r="I414" s="18"/>
      <c r="J414" s="18"/>
      <c r="K414" s="18"/>
      <c r="L414" s="18"/>
      <c r="M414" s="18"/>
      <c r="N414" s="18"/>
      <c r="O414" s="18"/>
    </row>
    <row r="415" spans="6:15" x14ac:dyDescent="0.2">
      <c r="F415" s="18"/>
      <c r="G415" s="18"/>
      <c r="H415" s="18"/>
      <c r="I415" s="18"/>
      <c r="J415" s="18"/>
      <c r="K415" s="18"/>
      <c r="L415" s="18"/>
      <c r="M415" s="18"/>
      <c r="N415" s="18"/>
      <c r="O415" s="18"/>
    </row>
    <row r="416" spans="6:15" x14ac:dyDescent="0.2">
      <c r="F416" s="18"/>
      <c r="G416" s="18"/>
      <c r="H416" s="18"/>
      <c r="I416" s="18"/>
      <c r="J416" s="18"/>
      <c r="K416" s="18"/>
      <c r="L416" s="18"/>
      <c r="M416" s="18"/>
      <c r="N416" s="18"/>
      <c r="O416" s="18"/>
    </row>
    <row r="417" spans="6:15" x14ac:dyDescent="0.2">
      <c r="F417" s="18"/>
      <c r="G417" s="18"/>
      <c r="H417" s="18"/>
      <c r="I417" s="18"/>
      <c r="J417" s="18"/>
      <c r="K417" s="18"/>
      <c r="L417" s="18"/>
      <c r="M417" s="18"/>
      <c r="N417" s="18"/>
      <c r="O417" s="18"/>
    </row>
    <row r="418" spans="6:15" x14ac:dyDescent="0.2">
      <c r="F418" s="18"/>
      <c r="G418" s="18"/>
      <c r="H418" s="18"/>
      <c r="I418" s="18"/>
      <c r="J418" s="18"/>
      <c r="K418" s="18"/>
      <c r="L418" s="18"/>
      <c r="M418" s="18"/>
      <c r="N418" s="18"/>
      <c r="O418" s="18"/>
    </row>
    <row r="419" spans="6:15" x14ac:dyDescent="0.2">
      <c r="F419" s="18"/>
      <c r="G419" s="18"/>
      <c r="H419" s="18"/>
      <c r="I419" s="18"/>
      <c r="J419" s="18"/>
      <c r="K419" s="18"/>
      <c r="L419" s="18"/>
      <c r="M419" s="18"/>
      <c r="N419" s="18"/>
      <c r="O419" s="18"/>
    </row>
    <row r="420" spans="6:15" x14ac:dyDescent="0.2">
      <c r="F420" s="18"/>
      <c r="G420" s="18"/>
      <c r="H420" s="18"/>
      <c r="I420" s="18"/>
      <c r="J420" s="18"/>
      <c r="K420" s="18"/>
      <c r="L420" s="18"/>
      <c r="M420" s="18"/>
      <c r="N420" s="18"/>
      <c r="O420" s="18"/>
    </row>
    <row r="421" spans="6:15" x14ac:dyDescent="0.2">
      <c r="F421" s="18"/>
      <c r="G421" s="18"/>
      <c r="H421" s="18"/>
      <c r="I421" s="18"/>
      <c r="J421" s="18"/>
      <c r="K421" s="18"/>
      <c r="L421" s="18"/>
      <c r="M421" s="18"/>
      <c r="N421" s="18"/>
      <c r="O421" s="18"/>
    </row>
    <row r="422" spans="6:15" x14ac:dyDescent="0.2">
      <c r="F422" s="18"/>
      <c r="G422" s="18"/>
      <c r="H422" s="18"/>
      <c r="I422" s="18"/>
      <c r="J422" s="18"/>
      <c r="K422" s="18"/>
      <c r="L422" s="18"/>
      <c r="M422" s="18"/>
      <c r="N422" s="18"/>
      <c r="O422" s="18"/>
    </row>
    <row r="423" spans="6:15" x14ac:dyDescent="0.2">
      <c r="F423" s="18"/>
      <c r="G423" s="18"/>
      <c r="H423" s="18"/>
      <c r="I423" s="18"/>
      <c r="J423" s="18"/>
      <c r="K423" s="18"/>
      <c r="L423" s="18"/>
      <c r="M423" s="18"/>
      <c r="N423" s="18"/>
      <c r="O423" s="18"/>
    </row>
    <row r="424" spans="6:15" x14ac:dyDescent="0.2">
      <c r="F424" s="18"/>
      <c r="G424" s="18"/>
      <c r="H424" s="18"/>
      <c r="I424" s="18"/>
      <c r="J424" s="18"/>
      <c r="K424" s="18"/>
      <c r="L424" s="18"/>
      <c r="M424" s="18"/>
      <c r="N424" s="18"/>
      <c r="O424" s="18"/>
    </row>
    <row r="425" spans="6:15" x14ac:dyDescent="0.2">
      <c r="F425" s="18"/>
      <c r="G425" s="18"/>
      <c r="H425" s="18"/>
      <c r="I425" s="18"/>
      <c r="J425" s="18"/>
      <c r="K425" s="18"/>
      <c r="L425" s="18"/>
      <c r="M425" s="18"/>
      <c r="N425" s="18"/>
      <c r="O425" s="18"/>
    </row>
    <row r="426" spans="6:15" x14ac:dyDescent="0.2">
      <c r="F426" s="18"/>
      <c r="G426" s="18"/>
      <c r="H426" s="18"/>
      <c r="I426" s="18"/>
      <c r="J426" s="18"/>
      <c r="K426" s="18"/>
      <c r="L426" s="18"/>
      <c r="M426" s="18"/>
      <c r="N426" s="18"/>
      <c r="O426" s="18"/>
    </row>
    <row r="427" spans="6:15" x14ac:dyDescent="0.2">
      <c r="F427" s="18"/>
      <c r="G427" s="18"/>
      <c r="H427" s="18"/>
      <c r="I427" s="18"/>
      <c r="J427" s="18"/>
      <c r="K427" s="18"/>
      <c r="L427" s="18"/>
      <c r="M427" s="18"/>
      <c r="N427" s="18"/>
      <c r="O427" s="18"/>
    </row>
    <row r="428" spans="6:15" x14ac:dyDescent="0.2">
      <c r="F428" s="18"/>
      <c r="G428" s="18"/>
      <c r="H428" s="18"/>
      <c r="I428" s="18"/>
      <c r="J428" s="18"/>
      <c r="K428" s="18"/>
      <c r="L428" s="18"/>
      <c r="M428" s="18"/>
      <c r="N428" s="18"/>
      <c r="O428" s="18"/>
    </row>
    <row r="429" spans="6:15" x14ac:dyDescent="0.2">
      <c r="F429" s="18"/>
      <c r="G429" s="18"/>
      <c r="H429" s="18"/>
      <c r="I429" s="18"/>
      <c r="J429" s="18"/>
      <c r="K429" s="18"/>
      <c r="L429" s="18"/>
      <c r="M429" s="18"/>
      <c r="N429" s="18"/>
      <c r="O429" s="18"/>
    </row>
    <row r="430" spans="6:15" x14ac:dyDescent="0.2">
      <c r="F430" s="18"/>
      <c r="G430" s="18"/>
      <c r="H430" s="18"/>
      <c r="I430" s="18"/>
      <c r="J430" s="18"/>
      <c r="K430" s="18"/>
      <c r="L430" s="18"/>
      <c r="M430" s="18"/>
      <c r="N430" s="18"/>
      <c r="O430" s="18"/>
    </row>
    <row r="431" spans="6:15" x14ac:dyDescent="0.2">
      <c r="F431" s="18"/>
      <c r="G431" s="18"/>
      <c r="H431" s="18"/>
      <c r="I431" s="18"/>
      <c r="J431" s="18"/>
      <c r="K431" s="18"/>
      <c r="L431" s="18"/>
      <c r="M431" s="18"/>
      <c r="N431" s="18"/>
      <c r="O431" s="18"/>
    </row>
    <row r="432" spans="6:15" x14ac:dyDescent="0.2">
      <c r="F432" s="18"/>
      <c r="G432" s="18"/>
      <c r="H432" s="18"/>
      <c r="I432" s="18"/>
      <c r="J432" s="18"/>
      <c r="K432" s="18"/>
      <c r="L432" s="18"/>
      <c r="M432" s="18"/>
      <c r="N432" s="18"/>
      <c r="O432" s="18"/>
    </row>
    <row r="433" spans="6:15" x14ac:dyDescent="0.2">
      <c r="F433" s="18"/>
      <c r="G433" s="18"/>
      <c r="H433" s="18"/>
      <c r="I433" s="18"/>
      <c r="J433" s="18"/>
      <c r="K433" s="18"/>
      <c r="L433" s="18"/>
      <c r="M433" s="18"/>
      <c r="N433" s="18"/>
      <c r="O433" s="18"/>
    </row>
    <row r="434" spans="6:15" x14ac:dyDescent="0.2">
      <c r="F434" s="18"/>
      <c r="G434" s="18"/>
      <c r="H434" s="18"/>
      <c r="I434" s="18"/>
      <c r="J434" s="18"/>
      <c r="K434" s="18"/>
      <c r="L434" s="18"/>
      <c r="M434" s="18"/>
      <c r="N434" s="18"/>
      <c r="O434" s="18"/>
    </row>
    <row r="435" spans="6:15" x14ac:dyDescent="0.2">
      <c r="F435" s="18"/>
      <c r="G435" s="18"/>
      <c r="H435" s="18"/>
      <c r="I435" s="18"/>
      <c r="J435" s="18"/>
      <c r="K435" s="18"/>
      <c r="L435" s="18"/>
      <c r="M435" s="18"/>
      <c r="N435" s="18"/>
      <c r="O435" s="18"/>
    </row>
    <row r="436" spans="6:15" x14ac:dyDescent="0.2">
      <c r="F436" s="18"/>
      <c r="G436" s="18"/>
      <c r="H436" s="18"/>
      <c r="I436" s="18"/>
      <c r="J436" s="18"/>
      <c r="K436" s="18"/>
      <c r="L436" s="18"/>
      <c r="M436" s="18"/>
      <c r="N436" s="18"/>
      <c r="O436" s="18"/>
    </row>
    <row r="437" spans="6:15" x14ac:dyDescent="0.2">
      <c r="F437" s="18"/>
      <c r="G437" s="18"/>
      <c r="H437" s="18"/>
      <c r="I437" s="18"/>
      <c r="J437" s="18"/>
      <c r="K437" s="18"/>
      <c r="L437" s="18"/>
      <c r="M437" s="18"/>
      <c r="N437" s="18"/>
      <c r="O437" s="18"/>
    </row>
    <row r="438" spans="6:15" x14ac:dyDescent="0.2">
      <c r="F438" s="18"/>
      <c r="G438" s="18"/>
      <c r="H438" s="18"/>
      <c r="I438" s="18"/>
      <c r="J438" s="18"/>
      <c r="K438" s="18"/>
      <c r="L438" s="18"/>
      <c r="M438" s="18"/>
      <c r="N438" s="18"/>
      <c r="O438" s="18"/>
    </row>
    <row r="439" spans="6:15" x14ac:dyDescent="0.2">
      <c r="F439" s="18"/>
      <c r="G439" s="18"/>
      <c r="H439" s="18"/>
      <c r="I439" s="18"/>
      <c r="J439" s="18"/>
      <c r="K439" s="18"/>
      <c r="L439" s="18"/>
      <c r="M439" s="18"/>
      <c r="N439" s="18"/>
      <c r="O439" s="18"/>
    </row>
    <row r="440" spans="6:15" x14ac:dyDescent="0.2">
      <c r="F440" s="18"/>
      <c r="G440" s="18"/>
      <c r="H440" s="18"/>
      <c r="I440" s="18"/>
      <c r="J440" s="18"/>
      <c r="K440" s="18"/>
      <c r="L440" s="18"/>
      <c r="M440" s="18"/>
      <c r="N440" s="18"/>
      <c r="O440" s="18"/>
    </row>
    <row r="441" spans="6:15" x14ac:dyDescent="0.2">
      <c r="F441" s="18"/>
      <c r="G441" s="18"/>
      <c r="H441" s="18"/>
      <c r="I441" s="18"/>
      <c r="J441" s="18"/>
      <c r="K441" s="18"/>
      <c r="L441" s="18"/>
      <c r="M441" s="18"/>
      <c r="N441" s="18"/>
      <c r="O441" s="18"/>
    </row>
    <row r="442" spans="6:15" x14ac:dyDescent="0.2">
      <c r="F442" s="18"/>
      <c r="G442" s="18"/>
      <c r="H442" s="18"/>
      <c r="I442" s="18"/>
      <c r="J442" s="18"/>
      <c r="K442" s="18"/>
      <c r="L442" s="18"/>
      <c r="M442" s="18"/>
      <c r="N442" s="18"/>
      <c r="O442" s="18"/>
    </row>
    <row r="443" spans="6:15" x14ac:dyDescent="0.2">
      <c r="F443" s="18"/>
      <c r="G443" s="18"/>
      <c r="H443" s="18"/>
      <c r="I443" s="18"/>
      <c r="J443" s="18"/>
      <c r="K443" s="18"/>
      <c r="L443" s="18"/>
      <c r="M443" s="18"/>
      <c r="N443" s="18"/>
      <c r="O443" s="18"/>
    </row>
    <row r="444" spans="6:15" x14ac:dyDescent="0.2">
      <c r="F444" s="18"/>
      <c r="G444" s="18"/>
      <c r="H444" s="18"/>
      <c r="I444" s="18"/>
      <c r="J444" s="18"/>
      <c r="K444" s="18"/>
      <c r="L444" s="18"/>
      <c r="M444" s="18"/>
      <c r="N444" s="18"/>
      <c r="O444" s="18"/>
    </row>
    <row r="445" spans="6:15" x14ac:dyDescent="0.2">
      <c r="F445" s="18"/>
      <c r="G445" s="18"/>
      <c r="H445" s="18"/>
      <c r="I445" s="18"/>
      <c r="J445" s="18"/>
      <c r="K445" s="18"/>
      <c r="L445" s="18"/>
      <c r="M445" s="18"/>
      <c r="N445" s="18"/>
      <c r="O445" s="18"/>
    </row>
    <row r="446" spans="6:15" x14ac:dyDescent="0.2">
      <c r="F446" s="18"/>
      <c r="G446" s="18"/>
      <c r="H446" s="18"/>
      <c r="I446" s="18"/>
      <c r="J446" s="18"/>
      <c r="K446" s="18"/>
      <c r="L446" s="18"/>
      <c r="M446" s="18"/>
      <c r="N446" s="18"/>
      <c r="O446" s="18"/>
    </row>
    <row r="447" spans="6:15" x14ac:dyDescent="0.2">
      <c r="F447" s="18"/>
      <c r="G447" s="18"/>
      <c r="H447" s="18"/>
      <c r="I447" s="18"/>
      <c r="J447" s="18"/>
      <c r="K447" s="18"/>
      <c r="L447" s="18"/>
      <c r="M447" s="18"/>
      <c r="N447" s="18"/>
      <c r="O447" s="18"/>
    </row>
    <row r="448" spans="6:15" x14ac:dyDescent="0.2">
      <c r="F448" s="18"/>
      <c r="G448" s="18"/>
      <c r="H448" s="18"/>
      <c r="I448" s="18"/>
      <c r="J448" s="18"/>
      <c r="K448" s="18"/>
      <c r="L448" s="18"/>
      <c r="M448" s="18"/>
      <c r="N448" s="18"/>
      <c r="O448" s="18"/>
    </row>
    <row r="449" spans="6:15" x14ac:dyDescent="0.2">
      <c r="F449" s="18"/>
      <c r="G449" s="18"/>
      <c r="H449" s="18"/>
      <c r="I449" s="18"/>
      <c r="J449" s="18"/>
      <c r="K449" s="18"/>
      <c r="L449" s="18"/>
      <c r="M449" s="18"/>
      <c r="N449" s="18"/>
      <c r="O449" s="18"/>
    </row>
    <row r="450" spans="6:15" x14ac:dyDescent="0.2">
      <c r="F450" s="18"/>
      <c r="G450" s="18"/>
      <c r="H450" s="18"/>
      <c r="I450" s="18"/>
      <c r="J450" s="18"/>
      <c r="K450" s="18"/>
      <c r="L450" s="18"/>
      <c r="M450" s="18"/>
      <c r="N450" s="18"/>
      <c r="O450" s="18"/>
    </row>
    <row r="451" spans="6:15" x14ac:dyDescent="0.2">
      <c r="F451" s="18"/>
      <c r="G451" s="18"/>
      <c r="H451" s="18"/>
      <c r="I451" s="18"/>
      <c r="J451" s="18"/>
      <c r="K451" s="18"/>
      <c r="L451" s="18"/>
      <c r="M451" s="18"/>
      <c r="N451" s="18"/>
      <c r="O451" s="18"/>
    </row>
    <row r="452" spans="6:15" x14ac:dyDescent="0.2">
      <c r="F452" s="18"/>
      <c r="G452" s="18"/>
      <c r="H452" s="18"/>
      <c r="I452" s="18"/>
      <c r="J452" s="18"/>
      <c r="K452" s="18"/>
      <c r="L452" s="18"/>
      <c r="M452" s="18"/>
      <c r="N452" s="18"/>
      <c r="O452" s="18"/>
    </row>
    <row r="453" spans="6:15" x14ac:dyDescent="0.2">
      <c r="F453" s="18"/>
      <c r="G453" s="18"/>
      <c r="H453" s="18"/>
      <c r="I453" s="18"/>
      <c r="J453" s="18"/>
      <c r="K453" s="18"/>
      <c r="L453" s="18"/>
      <c r="M453" s="18"/>
      <c r="N453" s="18"/>
      <c r="O453" s="18"/>
    </row>
    <row r="454" spans="6:15" x14ac:dyDescent="0.2">
      <c r="F454" s="18"/>
      <c r="G454" s="18"/>
      <c r="H454" s="18"/>
      <c r="I454" s="18"/>
      <c r="J454" s="18"/>
      <c r="K454" s="18"/>
      <c r="L454" s="18"/>
      <c r="M454" s="18"/>
      <c r="N454" s="18"/>
      <c r="O454" s="18"/>
    </row>
    <row r="455" spans="6:15" x14ac:dyDescent="0.2">
      <c r="F455" s="18"/>
      <c r="G455" s="18"/>
      <c r="H455" s="18"/>
      <c r="I455" s="18"/>
      <c r="J455" s="18"/>
      <c r="K455" s="18"/>
      <c r="L455" s="18"/>
      <c r="M455" s="18"/>
      <c r="N455" s="18"/>
      <c r="O455" s="18"/>
    </row>
    <row r="456" spans="6:15" x14ac:dyDescent="0.2">
      <c r="F456" s="18"/>
      <c r="G456" s="18"/>
      <c r="H456" s="18"/>
      <c r="I456" s="18"/>
      <c r="J456" s="18"/>
      <c r="K456" s="18"/>
      <c r="L456" s="18"/>
      <c r="M456" s="18"/>
      <c r="N456" s="18"/>
      <c r="O456" s="18"/>
    </row>
    <row r="457" spans="6:15" x14ac:dyDescent="0.2">
      <c r="F457" s="18"/>
      <c r="G457" s="18"/>
      <c r="H457" s="18"/>
      <c r="I457" s="18"/>
      <c r="J457" s="18"/>
      <c r="K457" s="18"/>
      <c r="L457" s="18"/>
      <c r="M457" s="18"/>
      <c r="N457" s="18"/>
      <c r="O457" s="18"/>
    </row>
    <row r="458" spans="6:15" x14ac:dyDescent="0.2">
      <c r="F458" s="18"/>
      <c r="G458" s="18"/>
      <c r="H458" s="18"/>
      <c r="I458" s="18"/>
      <c r="J458" s="18"/>
      <c r="K458" s="18"/>
      <c r="L458" s="18"/>
      <c r="M458" s="18"/>
      <c r="N458" s="18"/>
      <c r="O458" s="18"/>
    </row>
    <row r="459" spans="6:15" x14ac:dyDescent="0.2">
      <c r="F459" s="18"/>
      <c r="G459" s="18"/>
      <c r="H459" s="18"/>
      <c r="I459" s="18"/>
      <c r="J459" s="18"/>
      <c r="K459" s="18"/>
      <c r="L459" s="18"/>
      <c r="M459" s="18"/>
      <c r="N459" s="18"/>
      <c r="O459" s="18"/>
    </row>
    <row r="460" spans="6:15" x14ac:dyDescent="0.2">
      <c r="F460" s="18"/>
      <c r="G460" s="18"/>
      <c r="H460" s="18"/>
      <c r="I460" s="18"/>
      <c r="J460" s="18"/>
      <c r="K460" s="18"/>
      <c r="L460" s="18"/>
      <c r="M460" s="18"/>
      <c r="N460" s="18"/>
      <c r="O460" s="18"/>
    </row>
    <row r="461" spans="6:15" x14ac:dyDescent="0.2">
      <c r="F461" s="18"/>
      <c r="G461" s="18"/>
      <c r="H461" s="18"/>
      <c r="I461" s="18"/>
      <c r="J461" s="18"/>
      <c r="K461" s="18"/>
      <c r="L461" s="18"/>
      <c r="M461" s="18"/>
      <c r="N461" s="18"/>
      <c r="O461" s="18"/>
    </row>
    <row r="462" spans="6:15" x14ac:dyDescent="0.2">
      <c r="F462" s="18"/>
      <c r="G462" s="18"/>
      <c r="H462" s="18"/>
      <c r="I462" s="18"/>
      <c r="J462" s="18"/>
      <c r="K462" s="18"/>
      <c r="L462" s="18"/>
      <c r="M462" s="18"/>
      <c r="N462" s="18"/>
      <c r="O462" s="18"/>
    </row>
    <row r="463" spans="6:15" x14ac:dyDescent="0.2">
      <c r="F463" s="18"/>
      <c r="G463" s="18"/>
      <c r="H463" s="18"/>
      <c r="I463" s="18"/>
      <c r="J463" s="18"/>
      <c r="K463" s="18"/>
      <c r="L463" s="18"/>
      <c r="M463" s="18"/>
      <c r="N463" s="18"/>
      <c r="O463" s="18"/>
    </row>
    <row r="464" spans="6:15" x14ac:dyDescent="0.2">
      <c r="F464" s="18"/>
      <c r="G464" s="18"/>
      <c r="H464" s="18"/>
      <c r="I464" s="18"/>
      <c r="J464" s="18"/>
      <c r="K464" s="18"/>
      <c r="L464" s="18"/>
      <c r="M464" s="18"/>
      <c r="N464" s="18"/>
      <c r="O464" s="18"/>
    </row>
    <row r="465" spans="6:15" x14ac:dyDescent="0.2">
      <c r="F465" s="18"/>
      <c r="G465" s="18"/>
      <c r="H465" s="18"/>
      <c r="I465" s="18"/>
      <c r="J465" s="18"/>
      <c r="K465" s="18"/>
      <c r="L465" s="18"/>
      <c r="M465" s="18"/>
      <c r="N465" s="18"/>
      <c r="O465" s="18"/>
    </row>
    <row r="466" spans="6:15" x14ac:dyDescent="0.2">
      <c r="F466" s="18"/>
      <c r="G466" s="18"/>
      <c r="H466" s="18"/>
      <c r="I466" s="18"/>
      <c r="J466" s="18"/>
      <c r="K466" s="18"/>
      <c r="L466" s="18"/>
      <c r="M466" s="18"/>
      <c r="N466" s="18"/>
      <c r="O466" s="18"/>
    </row>
    <row r="467" spans="6:15" x14ac:dyDescent="0.2">
      <c r="F467" s="18"/>
      <c r="G467" s="18"/>
      <c r="H467" s="18"/>
      <c r="I467" s="18"/>
      <c r="J467" s="18"/>
      <c r="K467" s="18"/>
      <c r="L467" s="18"/>
      <c r="M467" s="18"/>
      <c r="N467" s="18"/>
      <c r="O467" s="18"/>
    </row>
    <row r="468" spans="6:15" x14ac:dyDescent="0.2">
      <c r="F468" s="18"/>
      <c r="G468" s="18"/>
      <c r="H468" s="18"/>
      <c r="I468" s="18"/>
      <c r="J468" s="18"/>
      <c r="K468" s="18"/>
      <c r="L468" s="18"/>
      <c r="M468" s="18"/>
      <c r="N468" s="18"/>
      <c r="O468" s="18"/>
    </row>
    <row r="469" spans="6:15" x14ac:dyDescent="0.2">
      <c r="F469" s="18"/>
      <c r="G469" s="18"/>
      <c r="H469" s="18"/>
      <c r="I469" s="18"/>
      <c r="J469" s="18"/>
      <c r="K469" s="18"/>
      <c r="L469" s="18"/>
      <c r="M469" s="18"/>
      <c r="N469" s="18"/>
      <c r="O469" s="18"/>
    </row>
    <row r="470" spans="6:15" x14ac:dyDescent="0.2">
      <c r="F470" s="18"/>
      <c r="G470" s="18"/>
      <c r="H470" s="18"/>
      <c r="I470" s="18"/>
      <c r="J470" s="18"/>
      <c r="K470" s="18"/>
      <c r="L470" s="18"/>
      <c r="M470" s="18"/>
      <c r="N470" s="18"/>
      <c r="O470" s="18"/>
    </row>
    <row r="471" spans="6:15" x14ac:dyDescent="0.2">
      <c r="F471" s="18"/>
      <c r="G471" s="18"/>
      <c r="H471" s="18"/>
      <c r="I471" s="18"/>
      <c r="J471" s="18"/>
      <c r="K471" s="18"/>
      <c r="L471" s="18"/>
      <c r="M471" s="18"/>
      <c r="N471" s="18"/>
      <c r="O471" s="18"/>
    </row>
    <row r="472" spans="6:15" x14ac:dyDescent="0.2">
      <c r="F472" s="18"/>
      <c r="G472" s="18"/>
      <c r="H472" s="18"/>
      <c r="I472" s="18"/>
      <c r="J472" s="18"/>
      <c r="K472" s="18"/>
      <c r="L472" s="18"/>
      <c r="M472" s="18"/>
      <c r="N472" s="18"/>
      <c r="O472" s="18"/>
    </row>
    <row r="473" spans="6:15" x14ac:dyDescent="0.2">
      <c r="F473" s="18"/>
      <c r="G473" s="18"/>
      <c r="H473" s="18"/>
      <c r="I473" s="18"/>
      <c r="J473" s="18"/>
      <c r="K473" s="18"/>
      <c r="L473" s="18"/>
      <c r="M473" s="18"/>
      <c r="N473" s="18"/>
      <c r="O473" s="18"/>
    </row>
    <row r="474" spans="6:15" x14ac:dyDescent="0.2">
      <c r="F474" s="18"/>
      <c r="G474" s="18"/>
      <c r="H474" s="18"/>
      <c r="I474" s="18"/>
      <c r="J474" s="18"/>
      <c r="K474" s="18"/>
      <c r="L474" s="18"/>
      <c r="M474" s="18"/>
      <c r="N474" s="18"/>
      <c r="O474" s="18"/>
    </row>
    <row r="475" spans="6:15" x14ac:dyDescent="0.2">
      <c r="F475" s="18"/>
      <c r="G475" s="18"/>
      <c r="H475" s="18"/>
      <c r="I475" s="18"/>
      <c r="J475" s="18"/>
      <c r="K475" s="18"/>
      <c r="L475" s="18"/>
      <c r="M475" s="18"/>
      <c r="N475" s="18"/>
      <c r="O475" s="18"/>
    </row>
    <row r="476" spans="6:15" x14ac:dyDescent="0.2">
      <c r="F476" s="18"/>
      <c r="G476" s="18"/>
      <c r="H476" s="18"/>
      <c r="I476" s="18"/>
      <c r="J476" s="18"/>
      <c r="K476" s="18"/>
      <c r="L476" s="18"/>
      <c r="M476" s="18"/>
      <c r="N476" s="18"/>
      <c r="O476" s="18"/>
    </row>
    <row r="477" spans="6:15" x14ac:dyDescent="0.2">
      <c r="F477" s="18"/>
      <c r="G477" s="18"/>
      <c r="H477" s="18"/>
      <c r="I477" s="18"/>
      <c r="J477" s="18"/>
      <c r="K477" s="18"/>
      <c r="L477" s="18"/>
      <c r="M477" s="18"/>
      <c r="N477" s="18"/>
      <c r="O477" s="18"/>
    </row>
    <row r="478" spans="6:15" x14ac:dyDescent="0.2">
      <c r="F478" s="18"/>
      <c r="G478" s="18"/>
      <c r="H478" s="18"/>
      <c r="I478" s="18"/>
      <c r="J478" s="18"/>
      <c r="K478" s="18"/>
      <c r="L478" s="18"/>
      <c r="M478" s="18"/>
      <c r="N478" s="18"/>
      <c r="O478" s="18"/>
    </row>
    <row r="479" spans="6:15" x14ac:dyDescent="0.2">
      <c r="F479" s="18"/>
      <c r="G479" s="18"/>
      <c r="H479" s="18"/>
      <c r="I479" s="18"/>
      <c r="J479" s="18"/>
      <c r="K479" s="18"/>
      <c r="L479" s="18"/>
      <c r="M479" s="18"/>
      <c r="N479" s="18"/>
      <c r="O479" s="18"/>
    </row>
    <row r="480" spans="6:15" x14ac:dyDescent="0.2">
      <c r="F480" s="18"/>
      <c r="G480" s="18"/>
      <c r="H480" s="18"/>
      <c r="I480" s="18"/>
      <c r="J480" s="18"/>
      <c r="K480" s="18"/>
      <c r="L480" s="18"/>
      <c r="M480" s="18"/>
      <c r="N480" s="18"/>
      <c r="O480" s="18"/>
    </row>
    <row r="481" spans="6:15" x14ac:dyDescent="0.2">
      <c r="F481" s="18"/>
      <c r="G481" s="18"/>
      <c r="H481" s="18"/>
      <c r="I481" s="18"/>
      <c r="J481" s="18"/>
      <c r="K481" s="18"/>
      <c r="L481" s="18"/>
      <c r="M481" s="18"/>
      <c r="N481" s="18"/>
      <c r="O481" s="18"/>
    </row>
    <row r="482" spans="6:15" x14ac:dyDescent="0.2">
      <c r="F482" s="18"/>
      <c r="G482" s="18"/>
      <c r="H482" s="18"/>
      <c r="I482" s="18"/>
      <c r="J482" s="18"/>
      <c r="K482" s="18"/>
      <c r="L482" s="18"/>
      <c r="M482" s="18"/>
      <c r="N482" s="18"/>
      <c r="O482" s="18"/>
    </row>
    <row r="483" spans="6:15" x14ac:dyDescent="0.2">
      <c r="F483" s="18"/>
      <c r="G483" s="18"/>
      <c r="H483" s="18"/>
      <c r="I483" s="18"/>
      <c r="J483" s="18"/>
      <c r="K483" s="18"/>
      <c r="L483" s="18"/>
      <c r="M483" s="18"/>
      <c r="N483" s="18"/>
      <c r="O483" s="18"/>
    </row>
    <row r="484" spans="6:15" x14ac:dyDescent="0.2">
      <c r="F484" s="18"/>
      <c r="G484" s="18"/>
      <c r="H484" s="18"/>
      <c r="I484" s="18"/>
      <c r="J484" s="18"/>
      <c r="K484" s="18"/>
      <c r="L484" s="18"/>
      <c r="M484" s="18"/>
      <c r="N484" s="18"/>
      <c r="O484" s="18"/>
    </row>
    <row r="485" spans="6:15" x14ac:dyDescent="0.2">
      <c r="F485" s="18"/>
      <c r="G485" s="18"/>
      <c r="H485" s="18"/>
      <c r="I485" s="18"/>
      <c r="J485" s="18"/>
      <c r="K485" s="18"/>
      <c r="L485" s="18"/>
      <c r="M485" s="18"/>
      <c r="N485" s="18"/>
      <c r="O485" s="18"/>
    </row>
    <row r="486" spans="6:15" x14ac:dyDescent="0.2">
      <c r="F486" s="18"/>
      <c r="G486" s="18"/>
      <c r="H486" s="18"/>
      <c r="I486" s="18"/>
      <c r="J486" s="18"/>
      <c r="K486" s="18"/>
      <c r="L486" s="18"/>
      <c r="M486" s="18"/>
      <c r="N486" s="18"/>
      <c r="O486" s="18"/>
    </row>
    <row r="487" spans="6:15" x14ac:dyDescent="0.2">
      <c r="F487" s="18"/>
      <c r="G487" s="18"/>
      <c r="H487" s="18"/>
      <c r="I487" s="18"/>
      <c r="J487" s="18"/>
      <c r="K487" s="18"/>
      <c r="L487" s="18"/>
      <c r="M487" s="18"/>
      <c r="N487" s="18"/>
      <c r="O487" s="18"/>
    </row>
    <row r="488" spans="6:15" x14ac:dyDescent="0.2">
      <c r="F488" s="18"/>
      <c r="G488" s="18"/>
      <c r="H488" s="18"/>
      <c r="I488" s="18"/>
      <c r="J488" s="18"/>
      <c r="K488" s="18"/>
      <c r="L488" s="18"/>
      <c r="M488" s="18"/>
      <c r="N488" s="18"/>
      <c r="O488" s="18"/>
    </row>
    <row r="489" spans="6:15" x14ac:dyDescent="0.2">
      <c r="F489" s="18"/>
      <c r="G489" s="18"/>
      <c r="H489" s="18"/>
      <c r="I489" s="18"/>
      <c r="J489" s="18"/>
      <c r="K489" s="18"/>
      <c r="L489" s="18"/>
      <c r="M489" s="18"/>
      <c r="N489" s="18"/>
      <c r="O489" s="18"/>
    </row>
    <row r="490" spans="6:15" x14ac:dyDescent="0.2">
      <c r="F490" s="18"/>
      <c r="G490" s="18"/>
      <c r="H490" s="18"/>
      <c r="I490" s="18"/>
      <c r="J490" s="18"/>
      <c r="K490" s="18"/>
      <c r="L490" s="18"/>
      <c r="M490" s="18"/>
      <c r="N490" s="18"/>
      <c r="O490" s="18"/>
    </row>
    <row r="491" spans="6:15" x14ac:dyDescent="0.2">
      <c r="F491" s="18"/>
      <c r="G491" s="18"/>
      <c r="H491" s="18"/>
      <c r="I491" s="18"/>
      <c r="J491" s="18"/>
      <c r="K491" s="18"/>
      <c r="L491" s="18"/>
      <c r="M491" s="18"/>
      <c r="N491" s="18"/>
      <c r="O491" s="18"/>
    </row>
    <row r="492" spans="6:15" x14ac:dyDescent="0.2">
      <c r="F492" s="18"/>
      <c r="G492" s="18"/>
      <c r="H492" s="18"/>
      <c r="I492" s="18"/>
      <c r="J492" s="18"/>
      <c r="K492" s="18"/>
      <c r="L492" s="18"/>
      <c r="M492" s="18"/>
      <c r="N492" s="18"/>
      <c r="O492" s="18"/>
    </row>
    <row r="493" spans="6:15" x14ac:dyDescent="0.2">
      <c r="F493" s="18"/>
      <c r="G493" s="18"/>
      <c r="H493" s="18"/>
      <c r="I493" s="18"/>
      <c r="J493" s="18"/>
      <c r="K493" s="18"/>
      <c r="L493" s="18"/>
      <c r="M493" s="18"/>
      <c r="N493" s="18"/>
      <c r="O493" s="18"/>
    </row>
    <row r="494" spans="6:15" x14ac:dyDescent="0.2">
      <c r="F494" s="18"/>
      <c r="G494" s="18"/>
      <c r="H494" s="18"/>
      <c r="I494" s="18"/>
      <c r="J494" s="18"/>
      <c r="K494" s="18"/>
      <c r="L494" s="18"/>
      <c r="M494" s="18"/>
      <c r="N494" s="18"/>
      <c r="O494" s="18"/>
    </row>
    <row r="495" spans="6:15" x14ac:dyDescent="0.2">
      <c r="F495" s="18"/>
      <c r="G495" s="18"/>
      <c r="H495" s="18"/>
      <c r="I495" s="18"/>
      <c r="J495" s="18"/>
      <c r="K495" s="18"/>
      <c r="L495" s="18"/>
      <c r="M495" s="18"/>
      <c r="N495" s="18"/>
      <c r="O495" s="18"/>
    </row>
    <row r="496" spans="6:15" x14ac:dyDescent="0.2">
      <c r="F496" s="18"/>
      <c r="G496" s="18"/>
      <c r="H496" s="18"/>
      <c r="I496" s="18"/>
      <c r="J496" s="18"/>
      <c r="K496" s="18"/>
      <c r="L496" s="18"/>
      <c r="M496" s="18"/>
      <c r="N496" s="18"/>
      <c r="O496" s="18"/>
    </row>
    <row r="497" spans="6:15" x14ac:dyDescent="0.2">
      <c r="F497" s="18"/>
      <c r="G497" s="18"/>
      <c r="H497" s="18"/>
      <c r="I497" s="18"/>
      <c r="J497" s="18"/>
      <c r="K497" s="18"/>
      <c r="L497" s="18"/>
      <c r="M497" s="18"/>
      <c r="N497" s="18"/>
      <c r="O497" s="18"/>
    </row>
    <row r="498" spans="6:15" x14ac:dyDescent="0.2">
      <c r="F498" s="18"/>
      <c r="G498" s="18"/>
      <c r="H498" s="18"/>
      <c r="I498" s="18"/>
      <c r="J498" s="18"/>
      <c r="K498" s="18"/>
      <c r="L498" s="18"/>
      <c r="M498" s="18"/>
      <c r="N498" s="18"/>
      <c r="O498" s="18"/>
    </row>
    <row r="499" spans="6:15" x14ac:dyDescent="0.2">
      <c r="F499" s="18"/>
      <c r="G499" s="18"/>
      <c r="H499" s="18"/>
      <c r="I499" s="18"/>
      <c r="J499" s="18"/>
      <c r="K499" s="18"/>
      <c r="L499" s="18"/>
      <c r="M499" s="18"/>
      <c r="N499" s="18"/>
      <c r="O499" s="18"/>
    </row>
    <row r="500" spans="6:15" x14ac:dyDescent="0.2">
      <c r="F500" s="18"/>
      <c r="G500" s="18"/>
      <c r="H500" s="18"/>
      <c r="I500" s="18"/>
      <c r="J500" s="18"/>
      <c r="K500" s="18"/>
      <c r="L500" s="18"/>
      <c r="M500" s="18"/>
      <c r="N500" s="18"/>
      <c r="O500" s="18"/>
    </row>
    <row r="501" spans="6:15" x14ac:dyDescent="0.2">
      <c r="F501" s="18"/>
      <c r="G501" s="18"/>
      <c r="H501" s="18"/>
      <c r="I501" s="18"/>
      <c r="J501" s="18"/>
      <c r="K501" s="18"/>
      <c r="L501" s="18"/>
      <c r="M501" s="18"/>
      <c r="N501" s="18"/>
      <c r="O501" s="18"/>
    </row>
    <row r="502" spans="6:15" x14ac:dyDescent="0.2">
      <c r="F502" s="18"/>
      <c r="G502" s="18"/>
      <c r="H502" s="18"/>
      <c r="I502" s="18"/>
      <c r="J502" s="18"/>
      <c r="K502" s="18"/>
      <c r="L502" s="18"/>
      <c r="M502" s="18"/>
      <c r="N502" s="18"/>
      <c r="O502" s="18"/>
    </row>
    <row r="503" spans="6:15" x14ac:dyDescent="0.2">
      <c r="F503" s="18"/>
      <c r="G503" s="18"/>
      <c r="H503" s="18"/>
      <c r="I503" s="18"/>
      <c r="J503" s="18"/>
      <c r="K503" s="18"/>
      <c r="L503" s="18"/>
      <c r="M503" s="18"/>
      <c r="N503" s="18"/>
      <c r="O503" s="18"/>
    </row>
    <row r="504" spans="6:15" x14ac:dyDescent="0.2">
      <c r="F504" s="18"/>
      <c r="G504" s="18"/>
      <c r="H504" s="18"/>
      <c r="I504" s="18"/>
      <c r="J504" s="18"/>
      <c r="K504" s="18"/>
      <c r="L504" s="18"/>
      <c r="M504" s="18"/>
      <c r="N504" s="18"/>
      <c r="O504" s="18"/>
    </row>
    <row r="505" spans="6:15" x14ac:dyDescent="0.2">
      <c r="F505" s="18"/>
      <c r="G505" s="18"/>
      <c r="H505" s="18"/>
      <c r="I505" s="18"/>
      <c r="J505" s="18"/>
      <c r="K505" s="18"/>
      <c r="L505" s="18"/>
      <c r="M505" s="18"/>
      <c r="N505" s="18"/>
      <c r="O505" s="18"/>
    </row>
    <row r="506" spans="6:15" x14ac:dyDescent="0.2">
      <c r="F506" s="18"/>
      <c r="G506" s="18"/>
      <c r="H506" s="18"/>
      <c r="I506" s="18"/>
      <c r="J506" s="18"/>
      <c r="K506" s="18"/>
      <c r="L506" s="18"/>
      <c r="M506" s="18"/>
      <c r="N506" s="18"/>
      <c r="O506" s="18"/>
    </row>
    <row r="507" spans="6:15" x14ac:dyDescent="0.2">
      <c r="F507" s="18"/>
      <c r="G507" s="18"/>
      <c r="H507" s="18"/>
      <c r="I507" s="18"/>
      <c r="J507" s="18"/>
      <c r="K507" s="18"/>
      <c r="L507" s="18"/>
      <c r="M507" s="18"/>
      <c r="N507" s="18"/>
      <c r="O507" s="18"/>
    </row>
    <row r="508" spans="6:15" x14ac:dyDescent="0.2">
      <c r="F508" s="18"/>
      <c r="G508" s="18"/>
      <c r="H508" s="18"/>
      <c r="I508" s="18"/>
      <c r="J508" s="18"/>
      <c r="K508" s="18"/>
      <c r="L508" s="18"/>
      <c r="M508" s="18"/>
      <c r="N508" s="18"/>
      <c r="O508" s="18"/>
    </row>
    <row r="509" spans="6:15" x14ac:dyDescent="0.2">
      <c r="F509" s="18"/>
      <c r="G509" s="18"/>
      <c r="H509" s="18"/>
      <c r="I509" s="18"/>
      <c r="J509" s="18"/>
      <c r="K509" s="18"/>
      <c r="L509" s="18"/>
      <c r="M509" s="18"/>
      <c r="N509" s="18"/>
      <c r="O509" s="18"/>
    </row>
    <row r="510" spans="6:15" x14ac:dyDescent="0.2">
      <c r="F510" s="18"/>
      <c r="G510" s="18"/>
      <c r="H510" s="18"/>
      <c r="I510" s="18"/>
      <c r="J510" s="18"/>
      <c r="K510" s="18"/>
      <c r="L510" s="18"/>
      <c r="M510" s="18"/>
      <c r="N510" s="18"/>
      <c r="O510" s="18"/>
    </row>
    <row r="511" spans="6:15" x14ac:dyDescent="0.2">
      <c r="F511" s="18"/>
      <c r="G511" s="18"/>
      <c r="H511" s="18"/>
      <c r="I511" s="18"/>
      <c r="J511" s="18"/>
      <c r="K511" s="18"/>
      <c r="L511" s="18"/>
      <c r="M511" s="18"/>
      <c r="N511" s="18"/>
      <c r="O511" s="18"/>
    </row>
    <row r="512" spans="6:15" x14ac:dyDescent="0.2">
      <c r="F512" s="18"/>
      <c r="G512" s="18"/>
      <c r="H512" s="18"/>
      <c r="I512" s="18"/>
      <c r="J512" s="18"/>
      <c r="K512" s="18"/>
      <c r="L512" s="18"/>
      <c r="M512" s="18"/>
      <c r="N512" s="18"/>
      <c r="O512" s="18"/>
    </row>
    <row r="513" spans="6:15" x14ac:dyDescent="0.2">
      <c r="F513" s="18"/>
      <c r="G513" s="18"/>
      <c r="H513" s="18"/>
      <c r="I513" s="18"/>
      <c r="J513" s="18"/>
      <c r="K513" s="18"/>
      <c r="L513" s="18"/>
      <c r="M513" s="18"/>
      <c r="N513" s="18"/>
      <c r="O513" s="18"/>
    </row>
    <row r="514" spans="6:15" x14ac:dyDescent="0.2">
      <c r="F514" s="18"/>
      <c r="G514" s="18"/>
      <c r="H514" s="18"/>
      <c r="I514" s="18"/>
      <c r="J514" s="18"/>
      <c r="K514" s="18"/>
      <c r="L514" s="18"/>
      <c r="M514" s="18"/>
      <c r="N514" s="18"/>
      <c r="O514" s="18"/>
    </row>
    <row r="515" spans="6:15" x14ac:dyDescent="0.2">
      <c r="F515" s="18"/>
      <c r="G515" s="18"/>
      <c r="H515" s="18"/>
      <c r="I515" s="18"/>
      <c r="J515" s="18"/>
      <c r="K515" s="18"/>
      <c r="L515" s="18"/>
      <c r="M515" s="18"/>
      <c r="N515" s="18"/>
      <c r="O515" s="18"/>
    </row>
    <row r="516" spans="6:15" x14ac:dyDescent="0.2">
      <c r="F516" s="18"/>
      <c r="G516" s="18"/>
      <c r="H516" s="18"/>
      <c r="I516" s="18"/>
      <c r="J516" s="18"/>
      <c r="K516" s="18"/>
      <c r="L516" s="18"/>
      <c r="M516" s="18"/>
      <c r="N516" s="18"/>
      <c r="O516" s="18"/>
    </row>
    <row r="517" spans="6:15" x14ac:dyDescent="0.2">
      <c r="F517" s="18"/>
      <c r="G517" s="18"/>
      <c r="H517" s="18"/>
      <c r="I517" s="18"/>
      <c r="J517" s="18"/>
      <c r="K517" s="18"/>
      <c r="L517" s="18"/>
      <c r="M517" s="18"/>
      <c r="N517" s="18"/>
      <c r="O517" s="18"/>
    </row>
    <row r="518" spans="6:15" x14ac:dyDescent="0.2">
      <c r="F518" s="18"/>
      <c r="G518" s="18"/>
      <c r="H518" s="18"/>
      <c r="I518" s="18"/>
      <c r="J518" s="18"/>
      <c r="K518" s="18"/>
      <c r="L518" s="18"/>
      <c r="M518" s="18"/>
      <c r="N518" s="18"/>
      <c r="O518" s="18"/>
    </row>
    <row r="519" spans="6:15" x14ac:dyDescent="0.2">
      <c r="F519" s="18"/>
      <c r="G519" s="18"/>
      <c r="H519" s="18"/>
      <c r="I519" s="18"/>
      <c r="J519" s="18"/>
      <c r="K519" s="18"/>
      <c r="L519" s="18"/>
      <c r="M519" s="18"/>
      <c r="N519" s="18"/>
      <c r="O519" s="18"/>
    </row>
    <row r="520" spans="6:15" x14ac:dyDescent="0.2">
      <c r="F520" s="18"/>
      <c r="G520" s="18"/>
      <c r="H520" s="18"/>
      <c r="I520" s="18"/>
      <c r="J520" s="18"/>
      <c r="K520" s="18"/>
      <c r="L520" s="18"/>
      <c r="M520" s="18"/>
      <c r="N520" s="18"/>
      <c r="O520" s="18"/>
    </row>
    <row r="521" spans="6:15" x14ac:dyDescent="0.2">
      <c r="F521" s="18"/>
      <c r="G521" s="18"/>
      <c r="H521" s="18"/>
      <c r="I521" s="18"/>
      <c r="J521" s="18"/>
      <c r="K521" s="18"/>
      <c r="L521" s="18"/>
      <c r="M521" s="18"/>
      <c r="N521" s="18"/>
      <c r="O521" s="18"/>
    </row>
    <row r="522" spans="6:15" x14ac:dyDescent="0.2">
      <c r="F522" s="18"/>
      <c r="G522" s="18"/>
      <c r="H522" s="18"/>
      <c r="I522" s="18"/>
      <c r="J522" s="18"/>
      <c r="K522" s="18"/>
      <c r="L522" s="18"/>
      <c r="M522" s="18"/>
      <c r="N522" s="18"/>
      <c r="O522" s="18"/>
    </row>
    <row r="523" spans="6:15" x14ac:dyDescent="0.2">
      <c r="F523" s="18"/>
      <c r="G523" s="18"/>
      <c r="H523" s="18"/>
      <c r="I523" s="18"/>
      <c r="J523" s="18"/>
      <c r="K523" s="18"/>
      <c r="L523" s="18"/>
      <c r="M523" s="18"/>
      <c r="N523" s="18"/>
      <c r="O523" s="18"/>
    </row>
    <row r="524" spans="6:15" x14ac:dyDescent="0.2">
      <c r="F524" s="18"/>
      <c r="G524" s="18"/>
      <c r="H524" s="18"/>
      <c r="I524" s="18"/>
      <c r="J524" s="18"/>
      <c r="K524" s="18"/>
      <c r="L524" s="18"/>
      <c r="M524" s="18"/>
      <c r="N524" s="18"/>
      <c r="O524" s="18"/>
    </row>
    <row r="525" spans="6:15" x14ac:dyDescent="0.2">
      <c r="F525" s="18"/>
      <c r="G525" s="18"/>
      <c r="H525" s="18"/>
      <c r="I525" s="18"/>
      <c r="J525" s="18"/>
      <c r="K525" s="18"/>
      <c r="L525" s="18"/>
      <c r="M525" s="18"/>
      <c r="N525" s="18"/>
      <c r="O525" s="18"/>
    </row>
    <row r="526" spans="6:15" x14ac:dyDescent="0.2">
      <c r="F526" s="18"/>
      <c r="G526" s="18"/>
      <c r="H526" s="18"/>
      <c r="I526" s="18"/>
      <c r="J526" s="18"/>
      <c r="K526" s="18"/>
      <c r="L526" s="18"/>
      <c r="M526" s="18"/>
      <c r="N526" s="18"/>
      <c r="O526" s="18"/>
    </row>
    <row r="527" spans="6:15" x14ac:dyDescent="0.2">
      <c r="F527" s="18"/>
      <c r="G527" s="18"/>
      <c r="H527" s="18"/>
      <c r="I527" s="18"/>
      <c r="J527" s="18"/>
      <c r="K527" s="18"/>
      <c r="L527" s="18"/>
      <c r="M527" s="18"/>
      <c r="N527" s="18"/>
      <c r="O527" s="18"/>
    </row>
    <row r="528" spans="6:15" x14ac:dyDescent="0.2">
      <c r="F528" s="18"/>
      <c r="G528" s="18"/>
      <c r="H528" s="18"/>
      <c r="I528" s="18"/>
      <c r="J528" s="18"/>
      <c r="K528" s="18"/>
      <c r="L528" s="18"/>
      <c r="M528" s="18"/>
      <c r="N528" s="18"/>
      <c r="O528" s="18"/>
    </row>
    <row r="529" spans="6:15" x14ac:dyDescent="0.2">
      <c r="F529" s="18"/>
      <c r="G529" s="18"/>
      <c r="H529" s="18"/>
      <c r="I529" s="18"/>
      <c r="J529" s="18"/>
      <c r="K529" s="18"/>
      <c r="L529" s="18"/>
      <c r="M529" s="18"/>
      <c r="N529" s="18"/>
      <c r="O529" s="18"/>
    </row>
    <row r="530" spans="6:15" x14ac:dyDescent="0.2">
      <c r="F530" s="18"/>
      <c r="G530" s="18"/>
      <c r="H530" s="18"/>
      <c r="I530" s="18"/>
      <c r="J530" s="18"/>
      <c r="K530" s="18"/>
      <c r="L530" s="18"/>
      <c r="M530" s="18"/>
      <c r="N530" s="18"/>
      <c r="O530" s="18"/>
    </row>
    <row r="531" spans="6:15" x14ac:dyDescent="0.2">
      <c r="F531" s="18"/>
      <c r="G531" s="18"/>
      <c r="H531" s="18"/>
      <c r="I531" s="18"/>
      <c r="J531" s="18"/>
      <c r="K531" s="18"/>
      <c r="L531" s="18"/>
      <c r="M531" s="18"/>
      <c r="N531" s="18"/>
      <c r="O531" s="18"/>
    </row>
    <row r="532" spans="6:15" x14ac:dyDescent="0.2">
      <c r="F532" s="18"/>
      <c r="G532" s="18"/>
      <c r="H532" s="18"/>
      <c r="I532" s="18"/>
      <c r="J532" s="18"/>
      <c r="K532" s="18"/>
      <c r="L532" s="18"/>
      <c r="M532" s="18"/>
      <c r="N532" s="18"/>
      <c r="O532" s="18"/>
    </row>
    <row r="533" spans="6:15" x14ac:dyDescent="0.2">
      <c r="F533" s="18"/>
      <c r="G533" s="18"/>
      <c r="H533" s="18"/>
      <c r="I533" s="18"/>
      <c r="J533" s="18"/>
      <c r="K533" s="18"/>
      <c r="L533" s="18"/>
      <c r="M533" s="18"/>
      <c r="N533" s="18"/>
      <c r="O533" s="18"/>
    </row>
    <row r="534" spans="6:15" x14ac:dyDescent="0.2">
      <c r="F534" s="18"/>
      <c r="G534" s="18"/>
      <c r="H534" s="18"/>
      <c r="I534" s="18"/>
      <c r="J534" s="18"/>
      <c r="K534" s="18"/>
      <c r="L534" s="18"/>
      <c r="M534" s="18"/>
      <c r="N534" s="18"/>
      <c r="O534" s="18"/>
    </row>
    <row r="535" spans="6:15" x14ac:dyDescent="0.2">
      <c r="F535" s="18"/>
      <c r="G535" s="18"/>
      <c r="H535" s="18"/>
      <c r="I535" s="18"/>
      <c r="J535" s="18"/>
      <c r="K535" s="18"/>
      <c r="L535" s="18"/>
      <c r="M535" s="18"/>
      <c r="N535" s="18"/>
      <c r="O535" s="18"/>
    </row>
    <row r="536" spans="6:15" x14ac:dyDescent="0.2">
      <c r="F536" s="18"/>
      <c r="G536" s="18"/>
      <c r="H536" s="18"/>
      <c r="I536" s="18"/>
      <c r="J536" s="18"/>
      <c r="K536" s="18"/>
      <c r="L536" s="18"/>
      <c r="M536" s="18"/>
      <c r="N536" s="18"/>
      <c r="O536" s="18"/>
    </row>
    <row r="537" spans="6:15" x14ac:dyDescent="0.2">
      <c r="F537" s="18"/>
      <c r="G537" s="18"/>
      <c r="H537" s="18"/>
      <c r="I537" s="18"/>
      <c r="J537" s="18"/>
      <c r="K537" s="18"/>
      <c r="L537" s="18"/>
      <c r="M537" s="18"/>
      <c r="N537" s="18"/>
      <c r="O537" s="18"/>
    </row>
    <row r="538" spans="6:15" x14ac:dyDescent="0.2">
      <c r="F538" s="18"/>
      <c r="G538" s="18"/>
      <c r="H538" s="18"/>
      <c r="I538" s="18"/>
      <c r="J538" s="18"/>
      <c r="K538" s="18"/>
      <c r="L538" s="18"/>
      <c r="M538" s="18"/>
      <c r="N538" s="18"/>
      <c r="O538" s="18"/>
    </row>
    <row r="539" spans="6:15" x14ac:dyDescent="0.2">
      <c r="F539" s="18"/>
      <c r="G539" s="18"/>
      <c r="H539" s="18"/>
      <c r="I539" s="18"/>
      <c r="J539" s="18"/>
      <c r="K539" s="18"/>
      <c r="L539" s="18"/>
      <c r="M539" s="18"/>
      <c r="N539" s="18"/>
      <c r="O539" s="18"/>
    </row>
    <row r="540" spans="6:15" x14ac:dyDescent="0.2">
      <c r="F540" s="18"/>
      <c r="G540" s="18"/>
      <c r="H540" s="18"/>
      <c r="I540" s="18"/>
      <c r="J540" s="18"/>
      <c r="K540" s="18"/>
      <c r="L540" s="18"/>
      <c r="M540" s="18"/>
      <c r="N540" s="18"/>
      <c r="O540" s="18"/>
    </row>
    <row r="541" spans="6:15" x14ac:dyDescent="0.2">
      <c r="F541" s="18"/>
      <c r="G541" s="18"/>
      <c r="H541" s="18"/>
      <c r="I541" s="18"/>
      <c r="J541" s="18"/>
      <c r="K541" s="18"/>
      <c r="L541" s="18"/>
      <c r="M541" s="18"/>
      <c r="N541" s="18"/>
      <c r="O541" s="18"/>
    </row>
    <row r="542" spans="6:15" x14ac:dyDescent="0.2">
      <c r="F542" s="18"/>
      <c r="G542" s="18"/>
      <c r="H542" s="18"/>
      <c r="I542" s="18"/>
      <c r="J542" s="18"/>
      <c r="K542" s="18"/>
      <c r="L542" s="18"/>
      <c r="M542" s="18"/>
      <c r="N542" s="18"/>
      <c r="O542" s="18"/>
    </row>
    <row r="543" spans="6:15" x14ac:dyDescent="0.2">
      <c r="F543" s="18"/>
      <c r="G543" s="18"/>
      <c r="H543" s="18"/>
      <c r="I543" s="18"/>
      <c r="J543" s="18"/>
      <c r="K543" s="18"/>
      <c r="L543" s="18"/>
      <c r="M543" s="18"/>
      <c r="N543" s="18"/>
      <c r="O543" s="18"/>
    </row>
    <row r="544" spans="6:15" x14ac:dyDescent="0.2">
      <c r="F544" s="18"/>
      <c r="G544" s="18"/>
      <c r="H544" s="18"/>
      <c r="I544" s="18"/>
      <c r="J544" s="18"/>
      <c r="K544" s="18"/>
      <c r="L544" s="18"/>
      <c r="M544" s="18"/>
      <c r="N544" s="18"/>
      <c r="O544" s="18"/>
    </row>
    <row r="545" spans="6:15" x14ac:dyDescent="0.2">
      <c r="F545" s="18"/>
      <c r="G545" s="18"/>
      <c r="H545" s="18"/>
      <c r="I545" s="18"/>
      <c r="J545" s="18"/>
      <c r="K545" s="18"/>
      <c r="L545" s="18"/>
      <c r="M545" s="18"/>
      <c r="N545" s="18"/>
      <c r="O545" s="18"/>
    </row>
    <row r="546" spans="6:15" x14ac:dyDescent="0.2">
      <c r="F546" s="18"/>
      <c r="G546" s="18"/>
      <c r="H546" s="18"/>
      <c r="I546" s="18"/>
      <c r="J546" s="18"/>
      <c r="K546" s="18"/>
      <c r="L546" s="18"/>
      <c r="M546" s="18"/>
      <c r="N546" s="18"/>
      <c r="O546" s="18"/>
    </row>
    <row r="547" spans="6:15" x14ac:dyDescent="0.2">
      <c r="F547" s="18"/>
      <c r="G547" s="18"/>
      <c r="H547" s="18"/>
      <c r="I547" s="18"/>
      <c r="J547" s="18"/>
      <c r="K547" s="18"/>
      <c r="L547" s="18"/>
      <c r="M547" s="18"/>
      <c r="N547" s="18"/>
      <c r="O547" s="18"/>
    </row>
    <row r="548" spans="6:15" x14ac:dyDescent="0.2">
      <c r="F548" s="18"/>
      <c r="G548" s="18"/>
      <c r="H548" s="18"/>
      <c r="I548" s="18"/>
      <c r="J548" s="18"/>
      <c r="K548" s="18"/>
      <c r="L548" s="18"/>
      <c r="M548" s="18"/>
      <c r="N548" s="18"/>
      <c r="O548" s="18"/>
    </row>
    <row r="549" spans="6:15" x14ac:dyDescent="0.2">
      <c r="F549" s="18"/>
      <c r="G549" s="18"/>
      <c r="H549" s="18"/>
      <c r="I549" s="18"/>
      <c r="J549" s="18"/>
      <c r="K549" s="18"/>
      <c r="L549" s="18"/>
      <c r="M549" s="18"/>
      <c r="N549" s="18"/>
      <c r="O549" s="18"/>
    </row>
    <row r="550" spans="6:15" x14ac:dyDescent="0.2">
      <c r="F550" s="18"/>
      <c r="G550" s="18"/>
      <c r="H550" s="18"/>
      <c r="I550" s="18"/>
      <c r="J550" s="18"/>
      <c r="K550" s="18"/>
      <c r="L550" s="18"/>
      <c r="M550" s="18"/>
      <c r="N550" s="18"/>
      <c r="O550" s="18"/>
    </row>
    <row r="551" spans="6:15" x14ac:dyDescent="0.2">
      <c r="F551" s="18"/>
      <c r="G551" s="18"/>
      <c r="H551" s="18"/>
      <c r="I551" s="18"/>
      <c r="J551" s="18"/>
      <c r="K551" s="18"/>
      <c r="L551" s="18"/>
      <c r="M551" s="18"/>
      <c r="N551" s="18"/>
      <c r="O551" s="18"/>
    </row>
    <row r="552" spans="6:15" x14ac:dyDescent="0.2">
      <c r="F552" s="18"/>
      <c r="G552" s="18"/>
      <c r="H552" s="18"/>
      <c r="I552" s="18"/>
      <c r="J552" s="18"/>
      <c r="K552" s="18"/>
      <c r="L552" s="18"/>
      <c r="M552" s="18"/>
      <c r="N552" s="18"/>
      <c r="O552" s="18"/>
    </row>
    <row r="553" spans="6:15" x14ac:dyDescent="0.2">
      <c r="F553" s="18"/>
      <c r="G553" s="18"/>
      <c r="H553" s="18"/>
      <c r="I553" s="18"/>
      <c r="J553" s="18"/>
      <c r="K553" s="18"/>
      <c r="L553" s="18"/>
      <c r="M553" s="18"/>
      <c r="N553" s="18"/>
      <c r="O553" s="18"/>
    </row>
    <row r="554" spans="6:15" x14ac:dyDescent="0.2">
      <c r="F554" s="18"/>
      <c r="G554" s="18"/>
      <c r="H554" s="18"/>
      <c r="I554" s="18"/>
      <c r="J554" s="18"/>
      <c r="K554" s="18"/>
      <c r="L554" s="18"/>
      <c r="M554" s="18"/>
      <c r="N554" s="18"/>
      <c r="O554" s="18"/>
    </row>
    <row r="555" spans="6:15" x14ac:dyDescent="0.2">
      <c r="F555" s="18"/>
      <c r="G555" s="18"/>
      <c r="H555" s="18"/>
      <c r="I555" s="18"/>
      <c r="J555" s="18"/>
      <c r="K555" s="18"/>
      <c r="L555" s="18"/>
      <c r="M555" s="18"/>
      <c r="N555" s="18"/>
      <c r="O555" s="18"/>
    </row>
    <row r="556" spans="6:15" x14ac:dyDescent="0.2">
      <c r="F556" s="18"/>
      <c r="G556" s="18"/>
      <c r="H556" s="18"/>
      <c r="I556" s="18"/>
      <c r="J556" s="18"/>
      <c r="K556" s="18"/>
      <c r="L556" s="18"/>
      <c r="M556" s="18"/>
      <c r="N556" s="18"/>
      <c r="O556" s="18"/>
    </row>
    <row r="557" spans="6:15" x14ac:dyDescent="0.2">
      <c r="F557" s="18"/>
      <c r="G557" s="18"/>
      <c r="H557" s="18"/>
      <c r="I557" s="18"/>
      <c r="J557" s="18"/>
      <c r="K557" s="18"/>
      <c r="L557" s="18"/>
      <c r="M557" s="18"/>
      <c r="N557" s="18"/>
      <c r="O557" s="18"/>
    </row>
    <row r="558" spans="6:15" x14ac:dyDescent="0.2">
      <c r="F558" s="18"/>
      <c r="G558" s="18"/>
      <c r="H558" s="18"/>
      <c r="I558" s="18"/>
      <c r="J558" s="18"/>
      <c r="K558" s="18"/>
      <c r="L558" s="18"/>
      <c r="M558" s="18"/>
      <c r="N558" s="18"/>
      <c r="O558" s="18"/>
    </row>
    <row r="559" spans="6:15" x14ac:dyDescent="0.2">
      <c r="F559" s="18"/>
      <c r="G559" s="18"/>
      <c r="H559" s="18"/>
      <c r="I559" s="18"/>
      <c r="J559" s="18"/>
      <c r="K559" s="18"/>
      <c r="L559" s="18"/>
      <c r="M559" s="18"/>
      <c r="N559" s="18"/>
      <c r="O559" s="18"/>
    </row>
    <row r="560" spans="6:15" x14ac:dyDescent="0.2">
      <c r="F560" s="18"/>
      <c r="G560" s="18"/>
      <c r="H560" s="18"/>
      <c r="I560" s="18"/>
      <c r="J560" s="18"/>
      <c r="K560" s="18"/>
      <c r="L560" s="18"/>
      <c r="M560" s="18"/>
      <c r="N560" s="18"/>
      <c r="O560" s="18"/>
    </row>
    <row r="561" spans="6:15" x14ac:dyDescent="0.2">
      <c r="F561" s="18"/>
      <c r="G561" s="18"/>
      <c r="H561" s="18"/>
      <c r="I561" s="18"/>
      <c r="J561" s="18"/>
      <c r="K561" s="18"/>
      <c r="L561" s="18"/>
      <c r="M561" s="18"/>
      <c r="N561" s="18"/>
      <c r="O561" s="18"/>
    </row>
    <row r="562" spans="6:15" x14ac:dyDescent="0.2">
      <c r="F562" s="18"/>
      <c r="G562" s="18"/>
      <c r="H562" s="18"/>
      <c r="I562" s="18"/>
      <c r="J562" s="18"/>
      <c r="K562" s="18"/>
      <c r="L562" s="18"/>
      <c r="M562" s="18"/>
      <c r="N562" s="18"/>
      <c r="O562" s="18"/>
    </row>
    <row r="563" spans="6:15" x14ac:dyDescent="0.2">
      <c r="F563" s="18"/>
      <c r="G563" s="18"/>
      <c r="H563" s="18"/>
      <c r="I563" s="18"/>
      <c r="J563" s="18"/>
      <c r="K563" s="18"/>
      <c r="L563" s="18"/>
      <c r="M563" s="18"/>
      <c r="N563" s="18"/>
      <c r="O563" s="18"/>
    </row>
    <row r="564" spans="6:15" x14ac:dyDescent="0.2">
      <c r="F564" s="18"/>
      <c r="G564" s="18"/>
      <c r="H564" s="18"/>
      <c r="I564" s="18"/>
      <c r="J564" s="18"/>
      <c r="K564" s="18"/>
      <c r="L564" s="18"/>
      <c r="M564" s="18"/>
      <c r="N564" s="18"/>
      <c r="O564" s="18"/>
    </row>
    <row r="565" spans="6:15" x14ac:dyDescent="0.2">
      <c r="F565" s="18"/>
      <c r="G565" s="18"/>
      <c r="H565" s="18"/>
      <c r="I565" s="18"/>
      <c r="J565" s="18"/>
      <c r="K565" s="18"/>
      <c r="L565" s="18"/>
      <c r="M565" s="18"/>
      <c r="N565" s="18"/>
      <c r="O565" s="18"/>
    </row>
    <row r="566" spans="6:15" x14ac:dyDescent="0.2">
      <c r="F566" s="18"/>
      <c r="G566" s="18"/>
      <c r="H566" s="18"/>
      <c r="I566" s="18"/>
      <c r="J566" s="18"/>
      <c r="K566" s="18"/>
      <c r="L566" s="18"/>
      <c r="M566" s="18"/>
      <c r="N566" s="18"/>
      <c r="O566" s="18"/>
    </row>
    <row r="567" spans="6:15" x14ac:dyDescent="0.2">
      <c r="F567" s="18"/>
      <c r="G567" s="18"/>
      <c r="H567" s="18"/>
      <c r="I567" s="18"/>
      <c r="J567" s="18"/>
      <c r="K567" s="18"/>
      <c r="L567" s="18"/>
      <c r="M567" s="18"/>
      <c r="N567" s="18"/>
      <c r="O567" s="18"/>
    </row>
    <row r="568" spans="6:15" x14ac:dyDescent="0.2">
      <c r="F568" s="18"/>
      <c r="G568" s="18"/>
      <c r="H568" s="18"/>
      <c r="I568" s="18"/>
      <c r="J568" s="18"/>
      <c r="K568" s="18"/>
      <c r="L568" s="18"/>
      <c r="M568" s="18"/>
      <c r="N568" s="18"/>
      <c r="O568" s="18"/>
    </row>
    <row r="569" spans="6:15" x14ac:dyDescent="0.2">
      <c r="F569" s="18"/>
      <c r="G569" s="18"/>
      <c r="H569" s="18"/>
      <c r="I569" s="18"/>
      <c r="J569" s="18"/>
      <c r="K569" s="18"/>
      <c r="L569" s="18"/>
      <c r="M569" s="18"/>
      <c r="N569" s="18"/>
      <c r="O569" s="18"/>
    </row>
    <row r="570" spans="6:15" x14ac:dyDescent="0.2">
      <c r="F570" s="18"/>
      <c r="G570" s="18"/>
      <c r="H570" s="18"/>
      <c r="I570" s="18"/>
      <c r="J570" s="18"/>
      <c r="K570" s="18"/>
      <c r="L570" s="18"/>
      <c r="M570" s="18"/>
      <c r="N570" s="18"/>
      <c r="O570" s="18"/>
    </row>
    <row r="571" spans="6:15" x14ac:dyDescent="0.2">
      <c r="F571" s="18"/>
      <c r="G571" s="18"/>
      <c r="H571" s="18"/>
      <c r="I571" s="18"/>
      <c r="J571" s="18"/>
      <c r="K571" s="18"/>
      <c r="L571" s="18"/>
      <c r="M571" s="18"/>
      <c r="N571" s="18"/>
      <c r="O571" s="18"/>
    </row>
    <row r="572" spans="6:15" x14ac:dyDescent="0.2">
      <c r="F572" s="18"/>
      <c r="G572" s="18"/>
      <c r="H572" s="18"/>
      <c r="I572" s="18"/>
      <c r="J572" s="18"/>
      <c r="K572" s="18"/>
      <c r="L572" s="18"/>
      <c r="M572" s="18"/>
      <c r="N572" s="18"/>
      <c r="O572" s="18"/>
    </row>
    <row r="573" spans="6:15" x14ac:dyDescent="0.2">
      <c r="F573" s="18"/>
      <c r="G573" s="18"/>
      <c r="H573" s="18"/>
      <c r="I573" s="18"/>
      <c r="J573" s="18"/>
      <c r="K573" s="18"/>
      <c r="L573" s="18"/>
      <c r="M573" s="18"/>
      <c r="N573" s="18"/>
      <c r="O573" s="18"/>
    </row>
    <row r="574" spans="6:15" x14ac:dyDescent="0.2">
      <c r="F574" s="18"/>
      <c r="G574" s="18"/>
      <c r="H574" s="18"/>
      <c r="I574" s="18"/>
      <c r="J574" s="18"/>
      <c r="K574" s="18"/>
      <c r="L574" s="18"/>
      <c r="M574" s="18"/>
      <c r="N574" s="18"/>
      <c r="O574" s="18"/>
    </row>
    <row r="575" spans="6:15" x14ac:dyDescent="0.2">
      <c r="F575" s="18"/>
      <c r="G575" s="18"/>
      <c r="H575" s="18"/>
      <c r="I575" s="18"/>
      <c r="J575" s="18"/>
      <c r="K575" s="18"/>
      <c r="L575" s="18"/>
      <c r="M575" s="18"/>
      <c r="N575" s="18"/>
      <c r="O575" s="18"/>
    </row>
    <row r="576" spans="6:15" x14ac:dyDescent="0.2">
      <c r="F576" s="18"/>
      <c r="G576" s="18"/>
      <c r="H576" s="18"/>
      <c r="I576" s="18"/>
      <c r="J576" s="18"/>
      <c r="K576" s="18"/>
      <c r="L576" s="18"/>
      <c r="M576" s="18"/>
      <c r="N576" s="18"/>
      <c r="O576" s="18"/>
    </row>
    <row r="577" spans="6:15" x14ac:dyDescent="0.2">
      <c r="F577" s="18"/>
      <c r="G577" s="18"/>
      <c r="H577" s="18"/>
      <c r="I577" s="18"/>
      <c r="J577" s="18"/>
      <c r="K577" s="18"/>
      <c r="L577" s="18"/>
      <c r="M577" s="18"/>
      <c r="N577" s="18"/>
      <c r="O577" s="18"/>
    </row>
    <row r="578" spans="6:15" x14ac:dyDescent="0.2">
      <c r="F578" s="18"/>
      <c r="G578" s="18"/>
      <c r="H578" s="18"/>
      <c r="I578" s="18"/>
      <c r="J578" s="18"/>
      <c r="K578" s="18"/>
      <c r="L578" s="18"/>
      <c r="M578" s="18"/>
      <c r="N578" s="18"/>
      <c r="O578" s="18"/>
    </row>
    <row r="579" spans="6:15" x14ac:dyDescent="0.2">
      <c r="F579" s="18"/>
      <c r="G579" s="18"/>
      <c r="H579" s="18"/>
      <c r="I579" s="18"/>
      <c r="J579" s="18"/>
      <c r="K579" s="18"/>
      <c r="L579" s="18"/>
      <c r="M579" s="18"/>
      <c r="N579" s="18"/>
      <c r="O579" s="18"/>
    </row>
    <row r="580" spans="6:15" x14ac:dyDescent="0.2">
      <c r="F580" s="18"/>
      <c r="G580" s="18"/>
      <c r="H580" s="18"/>
      <c r="I580" s="18"/>
      <c r="J580" s="18"/>
      <c r="K580" s="18"/>
      <c r="L580" s="18"/>
      <c r="M580" s="18"/>
      <c r="N580" s="18"/>
      <c r="O580" s="18"/>
    </row>
    <row r="581" spans="6:15" x14ac:dyDescent="0.2">
      <c r="F581" s="18"/>
      <c r="G581" s="18"/>
      <c r="H581" s="18"/>
      <c r="I581" s="18"/>
      <c r="J581" s="18"/>
      <c r="K581" s="18"/>
      <c r="L581" s="18"/>
      <c r="M581" s="18"/>
      <c r="N581" s="18"/>
      <c r="O581" s="18"/>
    </row>
    <row r="582" spans="6:15" x14ac:dyDescent="0.2">
      <c r="F582" s="18"/>
      <c r="G582" s="18"/>
      <c r="H582" s="18"/>
      <c r="I582" s="18"/>
      <c r="J582" s="18"/>
      <c r="K582" s="18"/>
      <c r="L582" s="18"/>
      <c r="M582" s="18"/>
      <c r="N582" s="18"/>
      <c r="O582" s="18"/>
    </row>
    <row r="583" spans="6:15" x14ac:dyDescent="0.2">
      <c r="F583" s="18"/>
      <c r="G583" s="18"/>
      <c r="H583" s="18"/>
      <c r="I583" s="18"/>
      <c r="J583" s="18"/>
      <c r="K583" s="18"/>
      <c r="L583" s="18"/>
      <c r="M583" s="18"/>
      <c r="N583" s="18"/>
      <c r="O583" s="18"/>
    </row>
    <row r="584" spans="6:15" x14ac:dyDescent="0.2">
      <c r="F584" s="18"/>
      <c r="G584" s="18"/>
      <c r="H584" s="18"/>
      <c r="I584" s="18"/>
      <c r="J584" s="18"/>
      <c r="K584" s="18"/>
      <c r="L584" s="18"/>
      <c r="M584" s="18"/>
      <c r="N584" s="18"/>
      <c r="O584" s="18"/>
    </row>
    <row r="585" spans="6:15" x14ac:dyDescent="0.2">
      <c r="F585" s="18"/>
      <c r="G585" s="18"/>
      <c r="H585" s="18"/>
      <c r="I585" s="18"/>
      <c r="J585" s="18"/>
      <c r="K585" s="18"/>
      <c r="L585" s="18"/>
      <c r="M585" s="18"/>
      <c r="N585" s="18"/>
      <c r="O585" s="18"/>
    </row>
    <row r="586" spans="6:15" x14ac:dyDescent="0.2">
      <c r="F586" s="18"/>
      <c r="G586" s="18"/>
      <c r="H586" s="18"/>
      <c r="I586" s="18"/>
      <c r="J586" s="18"/>
      <c r="K586" s="18"/>
      <c r="L586" s="18"/>
      <c r="M586" s="18"/>
      <c r="N586" s="18"/>
      <c r="O586" s="18"/>
    </row>
    <row r="587" spans="6:15" x14ac:dyDescent="0.2">
      <c r="F587" s="18"/>
      <c r="G587" s="18"/>
      <c r="H587" s="18"/>
      <c r="I587" s="18"/>
      <c r="J587" s="18"/>
      <c r="K587" s="18"/>
      <c r="L587" s="18"/>
      <c r="M587" s="18"/>
      <c r="N587" s="18"/>
      <c r="O587" s="18"/>
    </row>
    <row r="588" spans="6:15" x14ac:dyDescent="0.2">
      <c r="F588" s="18"/>
      <c r="G588" s="18"/>
      <c r="H588" s="18"/>
      <c r="I588" s="18"/>
      <c r="J588" s="18"/>
      <c r="K588" s="18"/>
      <c r="L588" s="18"/>
      <c r="M588" s="18"/>
      <c r="N588" s="18"/>
      <c r="O588" s="18"/>
    </row>
    <row r="589" spans="6:15" x14ac:dyDescent="0.2">
      <c r="F589" s="18"/>
      <c r="G589" s="18"/>
      <c r="H589" s="18"/>
      <c r="I589" s="18"/>
      <c r="J589" s="18"/>
      <c r="K589" s="18"/>
      <c r="L589" s="18"/>
      <c r="M589" s="18"/>
      <c r="N589" s="18"/>
      <c r="O589" s="18"/>
    </row>
    <row r="590" spans="6:15" x14ac:dyDescent="0.2">
      <c r="F590" s="18"/>
      <c r="G590" s="18"/>
      <c r="H590" s="18"/>
      <c r="I590" s="18"/>
      <c r="J590" s="18"/>
      <c r="K590" s="18"/>
      <c r="L590" s="18"/>
      <c r="M590" s="18"/>
      <c r="N590" s="18"/>
      <c r="O590" s="18"/>
    </row>
    <row r="591" spans="6:15" x14ac:dyDescent="0.2">
      <c r="F591" s="18"/>
      <c r="G591" s="18"/>
      <c r="H591" s="18"/>
      <c r="I591" s="18"/>
      <c r="J591" s="18"/>
      <c r="K591" s="18"/>
      <c r="L591" s="18"/>
      <c r="M591" s="18"/>
      <c r="N591" s="18"/>
      <c r="O591" s="18"/>
    </row>
    <row r="592" spans="6:15" x14ac:dyDescent="0.2">
      <c r="F592" s="18"/>
      <c r="G592" s="18"/>
      <c r="H592" s="18"/>
      <c r="I592" s="18"/>
      <c r="J592" s="18"/>
      <c r="K592" s="18"/>
      <c r="L592" s="18"/>
      <c r="M592" s="18"/>
      <c r="N592" s="18"/>
      <c r="O592" s="18"/>
    </row>
    <row r="593" spans="6:15" x14ac:dyDescent="0.2">
      <c r="F593" s="18"/>
      <c r="G593" s="18"/>
      <c r="H593" s="18"/>
      <c r="I593" s="18"/>
      <c r="J593" s="18"/>
      <c r="K593" s="18"/>
      <c r="L593" s="18"/>
      <c r="M593" s="18"/>
      <c r="N593" s="18"/>
      <c r="O593" s="18"/>
    </row>
    <row r="594" spans="6:15" x14ac:dyDescent="0.2">
      <c r="F594" s="18"/>
      <c r="G594" s="18"/>
      <c r="H594" s="18"/>
      <c r="I594" s="18"/>
      <c r="J594" s="18"/>
      <c r="K594" s="18"/>
      <c r="L594" s="18"/>
      <c r="M594" s="18"/>
      <c r="N594" s="18"/>
      <c r="O594" s="18"/>
    </row>
    <row r="595" spans="6:15" x14ac:dyDescent="0.2">
      <c r="F595" s="18"/>
      <c r="G595" s="18"/>
      <c r="H595" s="18"/>
      <c r="I595" s="18"/>
      <c r="J595" s="18"/>
      <c r="K595" s="18"/>
      <c r="L595" s="18"/>
      <c r="M595" s="18"/>
      <c r="N595" s="18"/>
      <c r="O595" s="18"/>
    </row>
    <row r="596" spans="6:15" x14ac:dyDescent="0.2">
      <c r="F596" s="18"/>
      <c r="G596" s="18"/>
      <c r="H596" s="18"/>
      <c r="I596" s="18"/>
      <c r="J596" s="18"/>
      <c r="K596" s="18"/>
      <c r="L596" s="18"/>
      <c r="M596" s="18"/>
      <c r="N596" s="18"/>
      <c r="O596" s="18"/>
    </row>
    <row r="597" spans="6:15" x14ac:dyDescent="0.2">
      <c r="F597" s="18"/>
      <c r="G597" s="18"/>
      <c r="H597" s="18"/>
      <c r="I597" s="18"/>
      <c r="J597" s="18"/>
      <c r="K597" s="18"/>
      <c r="L597" s="18"/>
      <c r="M597" s="18"/>
      <c r="N597" s="18"/>
      <c r="O597" s="18"/>
    </row>
    <row r="598" spans="6:15" x14ac:dyDescent="0.2">
      <c r="F598" s="18"/>
      <c r="G598" s="18"/>
      <c r="H598" s="18"/>
      <c r="I598" s="18"/>
      <c r="J598" s="18"/>
      <c r="K598" s="18"/>
      <c r="L598" s="18"/>
      <c r="M598" s="18"/>
      <c r="N598" s="18"/>
      <c r="O598" s="18"/>
    </row>
    <row r="599" spans="6:15" x14ac:dyDescent="0.2">
      <c r="F599" s="18"/>
      <c r="G599" s="18"/>
      <c r="H599" s="18"/>
      <c r="I599" s="18"/>
      <c r="J599" s="18"/>
      <c r="K599" s="18"/>
      <c r="L599" s="18"/>
      <c r="M599" s="18"/>
      <c r="N599" s="18"/>
      <c r="O599" s="18"/>
    </row>
    <row r="600" spans="6:15" x14ac:dyDescent="0.2">
      <c r="F600" s="18"/>
      <c r="G600" s="18"/>
      <c r="H600" s="18"/>
      <c r="I600" s="18"/>
      <c r="J600" s="18"/>
      <c r="K600" s="18"/>
      <c r="L600" s="18"/>
      <c r="M600" s="18"/>
      <c r="N600" s="18"/>
      <c r="O600" s="18"/>
    </row>
    <row r="601" spans="6:15" x14ac:dyDescent="0.2">
      <c r="F601" s="18"/>
      <c r="G601" s="18"/>
      <c r="H601" s="18"/>
      <c r="I601" s="18"/>
      <c r="J601" s="18"/>
      <c r="K601" s="18"/>
      <c r="L601" s="18"/>
      <c r="M601" s="18"/>
      <c r="N601" s="18"/>
      <c r="O601" s="18"/>
    </row>
    <row r="602" spans="6:15" x14ac:dyDescent="0.2">
      <c r="F602" s="18"/>
      <c r="G602" s="18"/>
      <c r="H602" s="18"/>
      <c r="I602" s="18"/>
      <c r="J602" s="18"/>
      <c r="K602" s="18"/>
      <c r="L602" s="18"/>
      <c r="M602" s="18"/>
      <c r="N602" s="18"/>
      <c r="O602" s="18"/>
    </row>
    <row r="603" spans="6:15" x14ac:dyDescent="0.2">
      <c r="F603" s="18"/>
      <c r="G603" s="18"/>
      <c r="H603" s="18"/>
      <c r="I603" s="18"/>
      <c r="J603" s="18"/>
      <c r="K603" s="18"/>
      <c r="L603" s="18"/>
      <c r="M603" s="18"/>
      <c r="N603" s="18"/>
      <c r="O603" s="18"/>
    </row>
    <row r="604" spans="6:15" x14ac:dyDescent="0.2">
      <c r="F604" s="18"/>
      <c r="G604" s="18"/>
      <c r="H604" s="18"/>
      <c r="I604" s="18"/>
      <c r="J604" s="18"/>
      <c r="K604" s="18"/>
      <c r="L604" s="18"/>
      <c r="M604" s="18"/>
      <c r="N604" s="18"/>
      <c r="O604" s="18"/>
    </row>
    <row r="605" spans="6:15" x14ac:dyDescent="0.2">
      <c r="F605" s="18"/>
      <c r="G605" s="18"/>
      <c r="H605" s="18"/>
      <c r="I605" s="18"/>
      <c r="J605" s="18"/>
      <c r="K605" s="18"/>
      <c r="L605" s="18"/>
      <c r="M605" s="18"/>
      <c r="N605" s="18"/>
      <c r="O605" s="18"/>
    </row>
    <row r="606" spans="6:15" x14ac:dyDescent="0.2">
      <c r="F606" s="18"/>
      <c r="G606" s="18"/>
      <c r="H606" s="18"/>
      <c r="I606" s="18"/>
      <c r="J606" s="18"/>
      <c r="K606" s="18"/>
      <c r="L606" s="18"/>
      <c r="M606" s="18"/>
      <c r="N606" s="18"/>
      <c r="O606" s="18"/>
    </row>
    <row r="607" spans="6:15" x14ac:dyDescent="0.2">
      <c r="F607" s="18"/>
      <c r="G607" s="18"/>
      <c r="H607" s="18"/>
      <c r="I607" s="18"/>
      <c r="J607" s="18"/>
      <c r="K607" s="18"/>
      <c r="L607" s="18"/>
      <c r="M607" s="18"/>
      <c r="N607" s="18"/>
      <c r="O607" s="18"/>
    </row>
    <row r="608" spans="6:15" x14ac:dyDescent="0.2">
      <c r="F608" s="18"/>
      <c r="G608" s="18"/>
      <c r="H608" s="18"/>
      <c r="I608" s="18"/>
      <c r="J608" s="18"/>
      <c r="K608" s="18"/>
      <c r="L608" s="18"/>
      <c r="M608" s="18"/>
      <c r="N608" s="18"/>
      <c r="O608" s="18"/>
    </row>
    <row r="609" spans="6:15" x14ac:dyDescent="0.2">
      <c r="F609" s="18"/>
      <c r="G609" s="18"/>
      <c r="H609" s="18"/>
      <c r="I609" s="18"/>
      <c r="J609" s="18"/>
      <c r="K609" s="18"/>
      <c r="L609" s="18"/>
      <c r="M609" s="18"/>
      <c r="N609" s="18"/>
      <c r="O609" s="18"/>
    </row>
    <row r="610" spans="6:15" x14ac:dyDescent="0.2">
      <c r="F610" s="18"/>
      <c r="G610" s="18"/>
      <c r="H610" s="18"/>
      <c r="I610" s="18"/>
      <c r="J610" s="18"/>
      <c r="K610" s="18"/>
      <c r="L610" s="18"/>
      <c r="M610" s="18"/>
      <c r="N610" s="18"/>
      <c r="O610" s="18"/>
    </row>
    <row r="611" spans="6:15" x14ac:dyDescent="0.2">
      <c r="F611" s="18"/>
      <c r="G611" s="18"/>
      <c r="H611" s="18"/>
      <c r="I611" s="18"/>
      <c r="J611" s="18"/>
      <c r="K611" s="18"/>
      <c r="L611" s="18"/>
      <c r="M611" s="18"/>
      <c r="N611" s="18"/>
      <c r="O611" s="18"/>
    </row>
    <row r="612" spans="6:15" x14ac:dyDescent="0.2">
      <c r="F612" s="18"/>
      <c r="G612" s="18"/>
      <c r="H612" s="18"/>
      <c r="I612" s="18"/>
      <c r="J612" s="18"/>
      <c r="K612" s="18"/>
      <c r="L612" s="18"/>
      <c r="M612" s="18"/>
      <c r="N612" s="18"/>
      <c r="O612" s="18"/>
    </row>
    <row r="613" spans="6:15" x14ac:dyDescent="0.2">
      <c r="F613" s="18"/>
      <c r="G613" s="18"/>
      <c r="H613" s="18"/>
      <c r="I613" s="18"/>
      <c r="J613" s="18"/>
      <c r="K613" s="18"/>
      <c r="L613" s="18"/>
      <c r="M613" s="18"/>
      <c r="N613" s="18"/>
      <c r="O613" s="18"/>
    </row>
    <row r="614" spans="6:15" x14ac:dyDescent="0.2">
      <c r="F614" s="18"/>
      <c r="G614" s="18"/>
      <c r="H614" s="18"/>
      <c r="I614" s="18"/>
      <c r="J614" s="18"/>
      <c r="K614" s="18"/>
      <c r="L614" s="18"/>
      <c r="M614" s="18"/>
      <c r="N614" s="18"/>
      <c r="O614" s="18"/>
    </row>
    <row r="615" spans="6:15" x14ac:dyDescent="0.2">
      <c r="F615" s="18"/>
      <c r="G615" s="18"/>
      <c r="H615" s="18"/>
      <c r="I615" s="18"/>
      <c r="J615" s="18"/>
      <c r="K615" s="18"/>
      <c r="L615" s="18"/>
      <c r="M615" s="18"/>
      <c r="N615" s="18"/>
      <c r="O615" s="18"/>
    </row>
    <row r="616" spans="6:15" x14ac:dyDescent="0.2">
      <c r="F616" s="18"/>
      <c r="G616" s="18"/>
      <c r="H616" s="18"/>
      <c r="I616" s="18"/>
      <c r="J616" s="18"/>
      <c r="K616" s="18"/>
      <c r="L616" s="18"/>
      <c r="M616" s="18"/>
      <c r="N616" s="18"/>
      <c r="O616" s="18"/>
    </row>
    <row r="617" spans="6:15" x14ac:dyDescent="0.2">
      <c r="F617" s="18"/>
      <c r="G617" s="18"/>
      <c r="H617" s="18"/>
      <c r="I617" s="18"/>
      <c r="J617" s="18"/>
      <c r="K617" s="18"/>
      <c r="L617" s="18"/>
      <c r="M617" s="18"/>
      <c r="N617" s="18"/>
      <c r="O617" s="18"/>
    </row>
    <row r="618" spans="6:15" x14ac:dyDescent="0.2">
      <c r="F618" s="18"/>
      <c r="G618" s="18"/>
      <c r="H618" s="18"/>
      <c r="I618" s="18"/>
      <c r="J618" s="18"/>
      <c r="K618" s="18"/>
      <c r="L618" s="18"/>
      <c r="M618" s="18"/>
      <c r="N618" s="18"/>
      <c r="O618" s="18"/>
    </row>
    <row r="619" spans="6:15" x14ac:dyDescent="0.2">
      <c r="F619" s="18"/>
      <c r="G619" s="18"/>
      <c r="H619" s="18"/>
      <c r="I619" s="18"/>
      <c r="J619" s="18"/>
      <c r="K619" s="18"/>
      <c r="L619" s="18"/>
      <c r="M619" s="18"/>
      <c r="N619" s="18"/>
      <c r="O619" s="18"/>
    </row>
    <row r="620" spans="6:15" x14ac:dyDescent="0.2">
      <c r="F620" s="18"/>
      <c r="G620" s="18"/>
      <c r="H620" s="18"/>
      <c r="I620" s="18"/>
      <c r="J620" s="18"/>
      <c r="K620" s="18"/>
      <c r="L620" s="18"/>
      <c r="M620" s="18"/>
      <c r="N620" s="18"/>
      <c r="O620" s="18"/>
    </row>
    <row r="621" spans="6:15" x14ac:dyDescent="0.2">
      <c r="F621" s="18"/>
      <c r="G621" s="18"/>
      <c r="H621" s="18"/>
      <c r="I621" s="18"/>
      <c r="J621" s="18"/>
      <c r="K621" s="18"/>
      <c r="L621" s="18"/>
      <c r="M621" s="18"/>
      <c r="N621" s="18"/>
      <c r="O621" s="18"/>
    </row>
    <row r="622" spans="6:15" x14ac:dyDescent="0.2">
      <c r="F622" s="18"/>
      <c r="G622" s="18"/>
      <c r="H622" s="18"/>
      <c r="I622" s="18"/>
      <c r="J622" s="18"/>
      <c r="K622" s="18"/>
      <c r="L622" s="18"/>
      <c r="M622" s="18"/>
      <c r="N622" s="18"/>
      <c r="O622" s="18"/>
    </row>
    <row r="623" spans="6:15" x14ac:dyDescent="0.2">
      <c r="F623" s="18"/>
      <c r="G623" s="18"/>
      <c r="H623" s="18"/>
      <c r="I623" s="18"/>
      <c r="J623" s="18"/>
      <c r="K623" s="18"/>
      <c r="L623" s="18"/>
      <c r="M623" s="18"/>
      <c r="N623" s="18"/>
      <c r="O623" s="18"/>
    </row>
    <row r="624" spans="6:15" x14ac:dyDescent="0.2">
      <c r="F624" s="18"/>
      <c r="G624" s="18"/>
      <c r="H624" s="18"/>
      <c r="I624" s="18"/>
      <c r="J624" s="18"/>
      <c r="K624" s="18"/>
      <c r="L624" s="18"/>
      <c r="M624" s="18"/>
      <c r="N624" s="18"/>
      <c r="O624" s="18"/>
    </row>
    <row r="625" spans="6:15" x14ac:dyDescent="0.2">
      <c r="F625" s="18"/>
      <c r="G625" s="18"/>
      <c r="H625" s="18"/>
      <c r="I625" s="18"/>
      <c r="J625" s="18"/>
      <c r="K625" s="18"/>
      <c r="L625" s="18"/>
      <c r="M625" s="18"/>
      <c r="N625" s="18"/>
      <c r="O625" s="18"/>
    </row>
    <row r="626" spans="6:15" x14ac:dyDescent="0.2">
      <c r="F626" s="18"/>
      <c r="G626" s="18"/>
      <c r="H626" s="18"/>
      <c r="I626" s="18"/>
      <c r="J626" s="18"/>
      <c r="K626" s="18"/>
      <c r="L626" s="18"/>
      <c r="M626" s="18"/>
      <c r="N626" s="18"/>
      <c r="O626" s="18"/>
    </row>
    <row r="627" spans="6:15" x14ac:dyDescent="0.2">
      <c r="F627" s="18"/>
      <c r="G627" s="18"/>
      <c r="H627" s="18"/>
      <c r="I627" s="18"/>
      <c r="J627" s="18"/>
      <c r="K627" s="18"/>
      <c r="L627" s="18"/>
      <c r="M627" s="18"/>
      <c r="N627" s="18"/>
      <c r="O627" s="18"/>
    </row>
    <row r="628" spans="6:15" x14ac:dyDescent="0.2">
      <c r="F628" s="18"/>
      <c r="G628" s="18"/>
      <c r="H628" s="18"/>
      <c r="I628" s="18"/>
      <c r="J628" s="18"/>
      <c r="K628" s="18"/>
      <c r="L628" s="18"/>
      <c r="M628" s="18"/>
      <c r="N628" s="18"/>
      <c r="O628" s="18"/>
    </row>
    <row r="629" spans="6:15" x14ac:dyDescent="0.2">
      <c r="F629" s="18"/>
      <c r="G629" s="18"/>
      <c r="H629" s="18"/>
      <c r="I629" s="18"/>
      <c r="J629" s="18"/>
      <c r="K629" s="18"/>
      <c r="L629" s="18"/>
      <c r="M629" s="18"/>
      <c r="N629" s="18"/>
      <c r="O629" s="18"/>
    </row>
    <row r="630" spans="6:15" x14ac:dyDescent="0.2">
      <c r="F630" s="18"/>
      <c r="G630" s="18"/>
      <c r="H630" s="18"/>
      <c r="I630" s="18"/>
      <c r="J630" s="18"/>
      <c r="K630" s="18"/>
      <c r="L630" s="18"/>
      <c r="M630" s="18"/>
      <c r="N630" s="18"/>
      <c r="O630" s="18"/>
    </row>
    <row r="631" spans="6:15" x14ac:dyDescent="0.2">
      <c r="F631" s="18"/>
      <c r="G631" s="18"/>
      <c r="H631" s="18"/>
      <c r="I631" s="18"/>
      <c r="J631" s="18"/>
      <c r="K631" s="18"/>
      <c r="L631" s="18"/>
      <c r="M631" s="18"/>
      <c r="N631" s="18"/>
      <c r="O631" s="18"/>
    </row>
    <row r="632" spans="6:15" x14ac:dyDescent="0.2">
      <c r="F632" s="18"/>
      <c r="G632" s="18"/>
      <c r="H632" s="18"/>
      <c r="I632" s="18"/>
      <c r="J632" s="18"/>
      <c r="K632" s="18"/>
      <c r="L632" s="18"/>
      <c r="M632" s="18"/>
      <c r="N632" s="18"/>
      <c r="O632" s="18"/>
    </row>
    <row r="633" spans="6:15" x14ac:dyDescent="0.2">
      <c r="F633" s="18"/>
      <c r="G633" s="18"/>
      <c r="H633" s="18"/>
      <c r="I633" s="18"/>
      <c r="J633" s="18"/>
      <c r="K633" s="18"/>
      <c r="L633" s="18"/>
      <c r="M633" s="18"/>
      <c r="N633" s="18"/>
      <c r="O633" s="18"/>
    </row>
    <row r="634" spans="6:15" x14ac:dyDescent="0.2">
      <c r="F634" s="18"/>
      <c r="G634" s="18"/>
      <c r="H634" s="18"/>
      <c r="I634" s="18"/>
      <c r="J634" s="18"/>
      <c r="K634" s="18"/>
      <c r="L634" s="18"/>
      <c r="M634" s="18"/>
      <c r="N634" s="18"/>
      <c r="O634" s="18"/>
    </row>
    <row r="635" spans="6:15" x14ac:dyDescent="0.2">
      <c r="F635" s="18"/>
      <c r="G635" s="18"/>
      <c r="H635" s="18"/>
      <c r="I635" s="18"/>
      <c r="J635" s="18"/>
      <c r="K635" s="18"/>
      <c r="L635" s="18"/>
      <c r="M635" s="18"/>
      <c r="N635" s="18"/>
      <c r="O635" s="18"/>
    </row>
    <row r="636" spans="6:15" x14ac:dyDescent="0.2">
      <c r="F636" s="18"/>
      <c r="G636" s="18"/>
      <c r="H636" s="18"/>
      <c r="I636" s="18"/>
      <c r="J636" s="18"/>
      <c r="K636" s="18"/>
      <c r="L636" s="18"/>
      <c r="M636" s="18"/>
      <c r="N636" s="18"/>
      <c r="O636" s="18"/>
    </row>
    <row r="637" spans="6:15" x14ac:dyDescent="0.2">
      <c r="F637" s="18"/>
      <c r="G637" s="18"/>
      <c r="H637" s="18"/>
      <c r="I637" s="18"/>
      <c r="J637" s="18"/>
      <c r="K637" s="18"/>
      <c r="L637" s="18"/>
      <c r="M637" s="18"/>
      <c r="N637" s="18"/>
      <c r="O637" s="18"/>
    </row>
    <row r="638" spans="6:15" x14ac:dyDescent="0.2">
      <c r="F638" s="18"/>
      <c r="G638" s="18"/>
      <c r="H638" s="18"/>
      <c r="I638" s="18"/>
      <c r="J638" s="18"/>
      <c r="K638" s="18"/>
      <c r="L638" s="18"/>
      <c r="M638" s="18"/>
      <c r="N638" s="18"/>
      <c r="O638" s="18"/>
    </row>
    <row r="639" spans="6:15" x14ac:dyDescent="0.2">
      <c r="F639" s="18"/>
      <c r="G639" s="18"/>
      <c r="H639" s="18"/>
      <c r="I639" s="18"/>
      <c r="J639" s="18"/>
      <c r="K639" s="18"/>
      <c r="L639" s="18"/>
      <c r="M639" s="18"/>
      <c r="N639" s="18"/>
      <c r="O639" s="18"/>
    </row>
    <row r="640" spans="6:15" x14ac:dyDescent="0.2">
      <c r="F640" s="18"/>
      <c r="G640" s="18"/>
      <c r="H640" s="18"/>
      <c r="I640" s="18"/>
      <c r="J640" s="18"/>
      <c r="K640" s="18"/>
      <c r="L640" s="18"/>
      <c r="M640" s="18"/>
      <c r="N640" s="18"/>
      <c r="O640" s="18"/>
    </row>
    <row r="641" spans="6:15" x14ac:dyDescent="0.2">
      <c r="F641" s="18"/>
      <c r="G641" s="18"/>
      <c r="H641" s="18"/>
      <c r="I641" s="18"/>
      <c r="J641" s="18"/>
      <c r="K641" s="18"/>
      <c r="L641" s="18"/>
      <c r="M641" s="18"/>
      <c r="N641" s="18"/>
      <c r="O641" s="18"/>
    </row>
    <row r="642" spans="6:15" x14ac:dyDescent="0.2">
      <c r="F642" s="18"/>
      <c r="G642" s="18"/>
      <c r="H642" s="18"/>
      <c r="I642" s="18"/>
      <c r="J642" s="18"/>
      <c r="K642" s="18"/>
      <c r="L642" s="18"/>
      <c r="M642" s="18"/>
      <c r="N642" s="18"/>
      <c r="O642" s="18"/>
    </row>
    <row r="643" spans="6:15" x14ac:dyDescent="0.2">
      <c r="F643" s="18"/>
      <c r="G643" s="18"/>
      <c r="H643" s="18"/>
      <c r="I643" s="18"/>
      <c r="J643" s="18"/>
      <c r="K643" s="18"/>
      <c r="L643" s="18"/>
      <c r="M643" s="18"/>
      <c r="N643" s="18"/>
      <c r="O643" s="18"/>
    </row>
    <row r="644" spans="6:15" x14ac:dyDescent="0.2">
      <c r="F644" s="18"/>
      <c r="G644" s="18"/>
      <c r="H644" s="18"/>
      <c r="I644" s="18"/>
      <c r="J644" s="18"/>
      <c r="K644" s="18"/>
      <c r="L644" s="18"/>
      <c r="M644" s="18"/>
      <c r="N644" s="18"/>
      <c r="O644" s="18"/>
    </row>
    <row r="645" spans="6:15" x14ac:dyDescent="0.2">
      <c r="F645" s="18"/>
      <c r="G645" s="18"/>
      <c r="H645" s="18"/>
      <c r="I645" s="18"/>
      <c r="J645" s="18"/>
      <c r="K645" s="18"/>
      <c r="L645" s="18"/>
      <c r="M645" s="18"/>
      <c r="N645" s="18"/>
      <c r="O645" s="18"/>
    </row>
    <row r="646" spans="6:15" x14ac:dyDescent="0.2">
      <c r="F646" s="18"/>
      <c r="G646" s="18"/>
      <c r="H646" s="18"/>
      <c r="I646" s="18"/>
      <c r="J646" s="18"/>
      <c r="K646" s="18"/>
      <c r="L646" s="18"/>
      <c r="M646" s="18"/>
      <c r="N646" s="18"/>
      <c r="O646" s="18"/>
    </row>
    <row r="647" spans="6:15" x14ac:dyDescent="0.2">
      <c r="F647" s="18"/>
      <c r="G647" s="18"/>
      <c r="H647" s="18"/>
      <c r="I647" s="18"/>
      <c r="J647" s="18"/>
      <c r="K647" s="18"/>
      <c r="L647" s="18"/>
      <c r="M647" s="18"/>
      <c r="N647" s="18"/>
      <c r="O647" s="18"/>
    </row>
    <row r="648" spans="6:15" x14ac:dyDescent="0.2">
      <c r="F648" s="18"/>
      <c r="G648" s="18"/>
      <c r="H648" s="18"/>
      <c r="I648" s="18"/>
      <c r="J648" s="18"/>
      <c r="K648" s="18"/>
      <c r="L648" s="18"/>
      <c r="M648" s="18"/>
      <c r="N648" s="18"/>
      <c r="O648" s="18"/>
    </row>
    <row r="649" spans="6:15" x14ac:dyDescent="0.2">
      <c r="F649" s="18"/>
      <c r="G649" s="18"/>
      <c r="H649" s="18"/>
      <c r="I649" s="18"/>
      <c r="J649" s="18"/>
      <c r="K649" s="18"/>
      <c r="L649" s="18"/>
      <c r="M649" s="18"/>
      <c r="N649" s="18"/>
      <c r="O649" s="18"/>
    </row>
    <row r="650" spans="6:15" x14ac:dyDescent="0.2">
      <c r="F650" s="18"/>
      <c r="G650" s="18"/>
      <c r="H650" s="18"/>
      <c r="I650" s="18"/>
      <c r="J650" s="18"/>
      <c r="K650" s="18"/>
      <c r="L650" s="18"/>
      <c r="M650" s="18"/>
      <c r="N650" s="18"/>
      <c r="O650" s="18"/>
    </row>
    <row r="651" spans="6:15" x14ac:dyDescent="0.2">
      <c r="F651" s="18"/>
      <c r="G651" s="18"/>
      <c r="H651" s="18"/>
      <c r="I651" s="18"/>
      <c r="J651" s="18"/>
      <c r="K651" s="18"/>
      <c r="L651" s="18"/>
      <c r="M651" s="18"/>
      <c r="N651" s="18"/>
      <c r="O651" s="18"/>
    </row>
    <row r="652" spans="6:15" x14ac:dyDescent="0.2">
      <c r="F652" s="18"/>
      <c r="G652" s="18"/>
      <c r="H652" s="18"/>
      <c r="I652" s="18"/>
      <c r="J652" s="18"/>
      <c r="K652" s="18"/>
      <c r="L652" s="18"/>
      <c r="M652" s="18"/>
      <c r="N652" s="18"/>
      <c r="O652" s="18"/>
    </row>
    <row r="653" spans="6:15" x14ac:dyDescent="0.2">
      <c r="F653" s="18"/>
      <c r="G653" s="18"/>
      <c r="H653" s="18"/>
      <c r="I653" s="18"/>
      <c r="J653" s="18"/>
      <c r="K653" s="18"/>
      <c r="L653" s="18"/>
      <c r="M653" s="18"/>
      <c r="N653" s="18"/>
      <c r="O653" s="18"/>
    </row>
    <row r="654" spans="6:15" x14ac:dyDescent="0.2">
      <c r="F654" s="18"/>
      <c r="G654" s="18"/>
      <c r="H654" s="18"/>
      <c r="I654" s="18"/>
      <c r="J654" s="18"/>
      <c r="K654" s="18"/>
      <c r="L654" s="18"/>
      <c r="M654" s="18"/>
      <c r="N654" s="18"/>
      <c r="O654" s="18"/>
    </row>
    <row r="655" spans="6:15" x14ac:dyDescent="0.2">
      <c r="F655" s="18"/>
      <c r="G655" s="18"/>
      <c r="H655" s="18"/>
      <c r="I655" s="18"/>
      <c r="J655" s="18"/>
      <c r="K655" s="18"/>
      <c r="L655" s="18"/>
      <c r="M655" s="18"/>
      <c r="N655" s="18"/>
      <c r="O655" s="18"/>
    </row>
    <row r="656" spans="6:15" x14ac:dyDescent="0.2">
      <c r="F656" s="18"/>
      <c r="G656" s="18"/>
      <c r="H656" s="18"/>
      <c r="I656" s="18"/>
      <c r="J656" s="18"/>
      <c r="K656" s="18"/>
      <c r="L656" s="18"/>
      <c r="M656" s="18"/>
      <c r="N656" s="18"/>
      <c r="O656" s="18"/>
    </row>
    <row r="657" spans="6:15" x14ac:dyDescent="0.2">
      <c r="F657" s="18"/>
      <c r="G657" s="18"/>
      <c r="H657" s="18"/>
      <c r="I657" s="18"/>
      <c r="J657" s="18"/>
      <c r="K657" s="18"/>
      <c r="L657" s="18"/>
      <c r="M657" s="18"/>
      <c r="N657" s="18"/>
      <c r="O657" s="18"/>
    </row>
    <row r="658" spans="6:15" x14ac:dyDescent="0.2">
      <c r="F658" s="18"/>
      <c r="G658" s="18"/>
      <c r="H658" s="18"/>
      <c r="I658" s="18"/>
      <c r="J658" s="18"/>
      <c r="K658" s="18"/>
      <c r="L658" s="18"/>
      <c r="M658" s="18"/>
      <c r="N658" s="18"/>
      <c r="O658" s="18"/>
    </row>
    <row r="659" spans="6:15" x14ac:dyDescent="0.2">
      <c r="F659" s="18"/>
      <c r="G659" s="18"/>
      <c r="H659" s="18"/>
      <c r="I659" s="18"/>
      <c r="J659" s="18"/>
      <c r="K659" s="18"/>
      <c r="L659" s="18"/>
      <c r="M659" s="18"/>
      <c r="N659" s="18"/>
      <c r="O659" s="18"/>
    </row>
    <row r="660" spans="6:15" x14ac:dyDescent="0.2">
      <c r="F660" s="18"/>
      <c r="G660" s="18"/>
      <c r="H660" s="18"/>
      <c r="I660" s="18"/>
      <c r="J660" s="18"/>
      <c r="K660" s="18"/>
      <c r="L660" s="18"/>
      <c r="M660" s="18"/>
      <c r="N660" s="18"/>
      <c r="O660" s="18"/>
    </row>
    <row r="661" spans="6:15" x14ac:dyDescent="0.2">
      <c r="F661" s="18"/>
      <c r="G661" s="18"/>
      <c r="H661" s="18"/>
      <c r="I661" s="18"/>
      <c r="J661" s="18"/>
      <c r="K661" s="18"/>
      <c r="L661" s="18"/>
      <c r="M661" s="18"/>
      <c r="N661" s="18"/>
      <c r="O661" s="18"/>
    </row>
    <row r="662" spans="6:15" x14ac:dyDescent="0.2">
      <c r="F662" s="18"/>
      <c r="G662" s="18"/>
      <c r="H662" s="18"/>
      <c r="I662" s="18"/>
      <c r="J662" s="18"/>
      <c r="K662" s="18"/>
      <c r="L662" s="18"/>
      <c r="M662" s="18"/>
      <c r="N662" s="18"/>
      <c r="O662" s="18"/>
    </row>
    <row r="663" spans="6:15" x14ac:dyDescent="0.2">
      <c r="F663" s="18"/>
      <c r="G663" s="18"/>
      <c r="H663" s="18"/>
      <c r="I663" s="18"/>
      <c r="J663" s="18"/>
      <c r="K663" s="18"/>
      <c r="L663" s="18"/>
      <c r="M663" s="18"/>
      <c r="N663" s="18"/>
      <c r="O663" s="18"/>
    </row>
    <row r="664" spans="6:15" x14ac:dyDescent="0.2">
      <c r="F664" s="18"/>
      <c r="G664" s="18"/>
      <c r="H664" s="18"/>
      <c r="I664" s="18"/>
      <c r="J664" s="18"/>
      <c r="K664" s="18"/>
      <c r="L664" s="18"/>
      <c r="M664" s="18"/>
      <c r="N664" s="18"/>
      <c r="O664" s="18"/>
    </row>
    <row r="665" spans="6:15" x14ac:dyDescent="0.2">
      <c r="F665" s="18"/>
      <c r="G665" s="18"/>
      <c r="H665" s="18"/>
      <c r="I665" s="18"/>
      <c r="J665" s="18"/>
      <c r="K665" s="18"/>
      <c r="L665" s="18"/>
      <c r="M665" s="18"/>
      <c r="N665" s="18"/>
      <c r="O665" s="18"/>
    </row>
    <row r="666" spans="6:15" x14ac:dyDescent="0.2">
      <c r="F666" s="18"/>
      <c r="G666" s="18"/>
      <c r="H666" s="18"/>
      <c r="I666" s="18"/>
      <c r="J666" s="18"/>
      <c r="K666" s="18"/>
      <c r="L666" s="18"/>
      <c r="M666" s="18"/>
      <c r="N666" s="18"/>
      <c r="O666" s="18"/>
    </row>
    <row r="667" spans="6:15" x14ac:dyDescent="0.2">
      <c r="F667" s="18"/>
      <c r="G667" s="18"/>
      <c r="H667" s="18"/>
      <c r="I667" s="18"/>
      <c r="J667" s="18"/>
      <c r="K667" s="18"/>
      <c r="L667" s="18"/>
      <c r="M667" s="18"/>
      <c r="N667" s="18"/>
      <c r="O667" s="18"/>
    </row>
    <row r="668" spans="6:15" x14ac:dyDescent="0.2">
      <c r="F668" s="18"/>
      <c r="G668" s="18"/>
      <c r="H668" s="18"/>
      <c r="I668" s="18"/>
      <c r="J668" s="18"/>
      <c r="K668" s="18"/>
      <c r="L668" s="18"/>
      <c r="M668" s="18"/>
      <c r="N668" s="18"/>
      <c r="O668" s="18"/>
    </row>
    <row r="669" spans="6:15" x14ac:dyDescent="0.2">
      <c r="F669" s="18"/>
      <c r="G669" s="18"/>
      <c r="H669" s="18"/>
      <c r="I669" s="18"/>
      <c r="J669" s="18"/>
      <c r="K669" s="18"/>
      <c r="L669" s="18"/>
      <c r="M669" s="18"/>
      <c r="N669" s="18"/>
      <c r="O669" s="18"/>
    </row>
    <row r="670" spans="6:15" x14ac:dyDescent="0.2">
      <c r="F670" s="18"/>
      <c r="G670" s="18"/>
      <c r="H670" s="18"/>
      <c r="I670" s="18"/>
      <c r="J670" s="18"/>
      <c r="K670" s="18"/>
      <c r="L670" s="18"/>
      <c r="M670" s="18"/>
      <c r="N670" s="18"/>
      <c r="O670" s="18"/>
    </row>
    <row r="671" spans="6:15" x14ac:dyDescent="0.2">
      <c r="F671" s="18"/>
      <c r="G671" s="18"/>
      <c r="H671" s="18"/>
      <c r="I671" s="18"/>
      <c r="J671" s="18"/>
      <c r="K671" s="18"/>
      <c r="L671" s="18"/>
      <c r="M671" s="18"/>
      <c r="N671" s="18"/>
      <c r="O671" s="18"/>
    </row>
    <row r="672" spans="6:15" x14ac:dyDescent="0.2">
      <c r="F672" s="18"/>
      <c r="G672" s="18"/>
      <c r="H672" s="18"/>
      <c r="I672" s="18"/>
      <c r="J672" s="18"/>
      <c r="K672" s="18"/>
      <c r="L672" s="18"/>
      <c r="M672" s="18"/>
      <c r="N672" s="18"/>
      <c r="O672" s="18"/>
    </row>
    <row r="673" spans="6:15" x14ac:dyDescent="0.2">
      <c r="F673" s="18"/>
      <c r="G673" s="18"/>
      <c r="H673" s="18"/>
      <c r="I673" s="18"/>
      <c r="J673" s="18"/>
      <c r="K673" s="18"/>
      <c r="L673" s="18"/>
      <c r="M673" s="18"/>
      <c r="N673" s="18"/>
      <c r="O673" s="18"/>
    </row>
    <row r="674" spans="6:15" x14ac:dyDescent="0.2">
      <c r="F674" s="18"/>
      <c r="G674" s="18"/>
      <c r="H674" s="18"/>
      <c r="I674" s="18"/>
      <c r="J674" s="18"/>
      <c r="K674" s="18"/>
      <c r="L674" s="18"/>
      <c r="M674" s="18"/>
      <c r="N674" s="18"/>
      <c r="O674" s="18"/>
    </row>
    <row r="675" spans="6:15" x14ac:dyDescent="0.2">
      <c r="F675" s="18"/>
      <c r="G675" s="18"/>
      <c r="H675" s="18"/>
      <c r="I675" s="18"/>
      <c r="J675" s="18"/>
      <c r="K675" s="18"/>
      <c r="L675" s="18"/>
      <c r="M675" s="18"/>
      <c r="N675" s="18"/>
      <c r="O675" s="18"/>
    </row>
    <row r="676" spans="6:15" x14ac:dyDescent="0.2">
      <c r="F676" s="18"/>
      <c r="G676" s="18"/>
      <c r="H676" s="18"/>
      <c r="I676" s="18"/>
      <c r="J676" s="18"/>
      <c r="K676" s="18"/>
      <c r="L676" s="18"/>
      <c r="M676" s="18"/>
      <c r="N676" s="18"/>
      <c r="O676" s="18"/>
    </row>
    <row r="677" spans="6:15" x14ac:dyDescent="0.2">
      <c r="F677" s="18"/>
      <c r="G677" s="18"/>
      <c r="H677" s="18"/>
      <c r="I677" s="18"/>
      <c r="J677" s="18"/>
      <c r="K677" s="18"/>
      <c r="L677" s="18"/>
      <c r="M677" s="18"/>
      <c r="N677" s="18"/>
      <c r="O677" s="18"/>
    </row>
    <row r="678" spans="6:15" x14ac:dyDescent="0.2">
      <c r="F678" s="18"/>
      <c r="G678" s="18"/>
      <c r="H678" s="18"/>
      <c r="I678" s="18"/>
      <c r="J678" s="18"/>
      <c r="K678" s="18"/>
      <c r="L678" s="18"/>
      <c r="M678" s="18"/>
      <c r="N678" s="18"/>
      <c r="O678" s="18"/>
    </row>
    <row r="679" spans="6:15" x14ac:dyDescent="0.2">
      <c r="F679" s="18"/>
      <c r="G679" s="18"/>
      <c r="H679" s="18"/>
      <c r="I679" s="18"/>
      <c r="J679" s="18"/>
      <c r="K679" s="18"/>
      <c r="L679" s="18"/>
      <c r="M679" s="18"/>
      <c r="N679" s="18"/>
      <c r="O679" s="18"/>
    </row>
    <row r="680" spans="6:15" x14ac:dyDescent="0.2">
      <c r="F680" s="18"/>
      <c r="G680" s="18"/>
      <c r="H680" s="18"/>
      <c r="I680" s="18"/>
      <c r="J680" s="18"/>
      <c r="K680" s="18"/>
      <c r="L680" s="18"/>
      <c r="M680" s="18"/>
      <c r="N680" s="18"/>
      <c r="O680" s="18"/>
    </row>
    <row r="681" spans="6:15" x14ac:dyDescent="0.2">
      <c r="F681" s="18"/>
      <c r="G681" s="18"/>
      <c r="H681" s="18"/>
      <c r="I681" s="18"/>
      <c r="J681" s="18"/>
      <c r="K681" s="18"/>
      <c r="L681" s="18"/>
      <c r="M681" s="18"/>
      <c r="N681" s="18"/>
      <c r="O681" s="18"/>
    </row>
    <row r="682" spans="6:15" x14ac:dyDescent="0.2">
      <c r="F682" s="18"/>
      <c r="G682" s="18"/>
      <c r="H682" s="18"/>
      <c r="I682" s="18"/>
      <c r="J682" s="18"/>
      <c r="K682" s="18"/>
      <c r="L682" s="18"/>
      <c r="M682" s="18"/>
      <c r="N682" s="18"/>
      <c r="O682" s="18"/>
    </row>
    <row r="683" spans="6:15" x14ac:dyDescent="0.2">
      <c r="F683" s="18"/>
      <c r="G683" s="18"/>
      <c r="H683" s="18"/>
      <c r="I683" s="18"/>
      <c r="J683" s="18"/>
      <c r="K683" s="18"/>
      <c r="L683" s="18"/>
      <c r="M683" s="18"/>
      <c r="N683" s="18"/>
      <c r="O683" s="18"/>
    </row>
    <row r="684" spans="6:15" x14ac:dyDescent="0.2">
      <c r="F684" s="18"/>
      <c r="G684" s="18"/>
      <c r="H684" s="18"/>
      <c r="I684" s="18"/>
      <c r="J684" s="18"/>
      <c r="K684" s="18"/>
      <c r="L684" s="18"/>
      <c r="M684" s="18"/>
      <c r="N684" s="18"/>
      <c r="O684" s="18"/>
    </row>
    <row r="685" spans="6:15" x14ac:dyDescent="0.2">
      <c r="F685" s="18"/>
      <c r="G685" s="18"/>
      <c r="H685" s="18"/>
      <c r="I685" s="18"/>
      <c r="J685" s="18"/>
      <c r="K685" s="18"/>
      <c r="L685" s="18"/>
      <c r="M685" s="18"/>
      <c r="N685" s="18"/>
      <c r="O685" s="18"/>
    </row>
    <row r="686" spans="6:15" x14ac:dyDescent="0.2">
      <c r="F686" s="18"/>
      <c r="G686" s="18"/>
      <c r="H686" s="18"/>
      <c r="I686" s="18"/>
      <c r="J686" s="18"/>
      <c r="K686" s="18"/>
      <c r="L686" s="18"/>
      <c r="M686" s="18"/>
      <c r="N686" s="18"/>
      <c r="O686" s="18"/>
    </row>
    <row r="687" spans="6:15" x14ac:dyDescent="0.2">
      <c r="F687" s="18"/>
      <c r="G687" s="18"/>
      <c r="H687" s="18"/>
      <c r="I687" s="18"/>
      <c r="J687" s="18"/>
      <c r="K687" s="18"/>
      <c r="L687" s="18"/>
      <c r="M687" s="18"/>
      <c r="N687" s="18"/>
      <c r="O687" s="18"/>
    </row>
    <row r="688" spans="6:15" x14ac:dyDescent="0.2">
      <c r="F688" s="18"/>
      <c r="G688" s="18"/>
      <c r="H688" s="18"/>
      <c r="I688" s="18"/>
      <c r="J688" s="18"/>
      <c r="K688" s="18"/>
      <c r="L688" s="18"/>
      <c r="M688" s="18"/>
      <c r="N688" s="18"/>
      <c r="O688" s="18"/>
    </row>
    <row r="689" spans="6:15" x14ac:dyDescent="0.2">
      <c r="F689" s="18"/>
      <c r="G689" s="18"/>
      <c r="H689" s="18"/>
      <c r="I689" s="18"/>
      <c r="J689" s="18"/>
      <c r="K689" s="18"/>
      <c r="L689" s="18"/>
      <c r="M689" s="18"/>
      <c r="N689" s="18"/>
      <c r="O689" s="18"/>
    </row>
    <row r="690" spans="6:15" x14ac:dyDescent="0.2">
      <c r="F690" s="18"/>
      <c r="G690" s="18"/>
      <c r="H690" s="18"/>
      <c r="I690" s="18"/>
      <c r="J690" s="18"/>
      <c r="K690" s="18"/>
      <c r="L690" s="18"/>
      <c r="M690" s="18"/>
      <c r="N690" s="18"/>
      <c r="O690" s="18"/>
    </row>
    <row r="691" spans="6:15" x14ac:dyDescent="0.2">
      <c r="F691" s="18"/>
      <c r="G691" s="18"/>
      <c r="H691" s="18"/>
      <c r="I691" s="18"/>
      <c r="J691" s="18"/>
      <c r="K691" s="18"/>
      <c r="L691" s="18"/>
      <c r="M691" s="18"/>
      <c r="N691" s="18"/>
      <c r="O691" s="18"/>
    </row>
    <row r="692" spans="6:15" x14ac:dyDescent="0.2">
      <c r="F692" s="18"/>
      <c r="G692" s="18"/>
      <c r="H692" s="18"/>
      <c r="I692" s="18"/>
      <c r="J692" s="18"/>
      <c r="K692" s="18"/>
      <c r="L692" s="18"/>
      <c r="M692" s="18"/>
      <c r="N692" s="18"/>
      <c r="O692" s="18"/>
    </row>
    <row r="693" spans="6:15" x14ac:dyDescent="0.2">
      <c r="F693" s="18"/>
      <c r="G693" s="18"/>
      <c r="H693" s="18"/>
      <c r="I693" s="18"/>
      <c r="J693" s="18"/>
      <c r="K693" s="18"/>
      <c r="L693" s="18"/>
      <c r="M693" s="18"/>
      <c r="N693" s="18"/>
      <c r="O693" s="18"/>
    </row>
    <row r="694" spans="6:15" x14ac:dyDescent="0.2">
      <c r="F694" s="18"/>
      <c r="G694" s="18"/>
      <c r="H694" s="18"/>
      <c r="I694" s="18"/>
      <c r="J694" s="18"/>
      <c r="K694" s="18"/>
      <c r="L694" s="18"/>
      <c r="M694" s="18"/>
      <c r="N694" s="18"/>
      <c r="O694" s="18"/>
    </row>
    <row r="695" spans="6:15" x14ac:dyDescent="0.2">
      <c r="F695" s="18"/>
      <c r="G695" s="18"/>
      <c r="H695" s="18"/>
      <c r="I695" s="18"/>
      <c r="J695" s="18"/>
      <c r="K695" s="18"/>
      <c r="L695" s="18"/>
      <c r="M695" s="18"/>
      <c r="N695" s="18"/>
      <c r="O695" s="18"/>
    </row>
    <row r="696" spans="6:15" x14ac:dyDescent="0.2">
      <c r="F696" s="18"/>
      <c r="G696" s="18"/>
      <c r="H696" s="18"/>
      <c r="I696" s="18"/>
      <c r="J696" s="18"/>
      <c r="K696" s="18"/>
      <c r="L696" s="18"/>
      <c r="M696" s="18"/>
      <c r="N696" s="18"/>
      <c r="O696" s="18"/>
    </row>
    <row r="697" spans="6:15" x14ac:dyDescent="0.2">
      <c r="F697" s="18"/>
      <c r="G697" s="18"/>
      <c r="H697" s="18"/>
      <c r="I697" s="18"/>
      <c r="J697" s="18"/>
      <c r="K697" s="18"/>
      <c r="L697" s="18"/>
      <c r="M697" s="18"/>
      <c r="N697" s="18"/>
      <c r="O697" s="18"/>
    </row>
    <row r="698" spans="6:15" x14ac:dyDescent="0.2">
      <c r="F698" s="18"/>
      <c r="G698" s="18"/>
      <c r="H698" s="18"/>
      <c r="I698" s="18"/>
      <c r="J698" s="18"/>
      <c r="K698" s="18"/>
      <c r="L698" s="18"/>
      <c r="M698" s="18"/>
      <c r="N698" s="18"/>
      <c r="O698" s="18"/>
    </row>
    <row r="699" spans="6:15" x14ac:dyDescent="0.2">
      <c r="F699" s="18"/>
      <c r="G699" s="18"/>
      <c r="H699" s="18"/>
      <c r="I699" s="18"/>
      <c r="J699" s="18"/>
      <c r="K699" s="18"/>
      <c r="L699" s="18"/>
      <c r="M699" s="18"/>
      <c r="N699" s="18"/>
      <c r="O699" s="18"/>
    </row>
    <row r="700" spans="6:15" x14ac:dyDescent="0.2">
      <c r="F700" s="18"/>
      <c r="G700" s="18"/>
      <c r="H700" s="18"/>
      <c r="I700" s="18"/>
      <c r="J700" s="18"/>
      <c r="K700" s="18"/>
      <c r="L700" s="18"/>
      <c r="M700" s="18"/>
      <c r="N700" s="18"/>
      <c r="O700" s="18"/>
    </row>
    <row r="701" spans="6:15" x14ac:dyDescent="0.2">
      <c r="F701" s="18"/>
      <c r="G701" s="18"/>
      <c r="H701" s="18"/>
      <c r="I701" s="18"/>
      <c r="J701" s="18"/>
      <c r="K701" s="18"/>
      <c r="L701" s="18"/>
      <c r="M701" s="18"/>
      <c r="N701" s="18"/>
      <c r="O701" s="18"/>
    </row>
    <row r="702" spans="6:15" x14ac:dyDescent="0.2">
      <c r="F702" s="18"/>
      <c r="G702" s="18"/>
      <c r="H702" s="18"/>
      <c r="I702" s="18"/>
      <c r="J702" s="18"/>
      <c r="K702" s="18"/>
      <c r="L702" s="18"/>
      <c r="M702" s="18"/>
      <c r="N702" s="18"/>
      <c r="O702" s="18"/>
    </row>
    <row r="703" spans="6:15" x14ac:dyDescent="0.2">
      <c r="F703" s="18"/>
      <c r="G703" s="18"/>
      <c r="H703" s="18"/>
      <c r="I703" s="18"/>
      <c r="J703" s="18"/>
      <c r="K703" s="18"/>
      <c r="L703" s="18"/>
      <c r="M703" s="18"/>
      <c r="N703" s="18"/>
      <c r="O703" s="18"/>
    </row>
    <row r="704" spans="6:15" x14ac:dyDescent="0.2">
      <c r="F704" s="18"/>
      <c r="G704" s="18"/>
      <c r="H704" s="18"/>
      <c r="I704" s="18"/>
      <c r="J704" s="18"/>
      <c r="K704" s="18"/>
      <c r="L704" s="18"/>
      <c r="M704" s="18"/>
      <c r="N704" s="18"/>
      <c r="O704" s="18"/>
    </row>
    <row r="705" spans="6:15" x14ac:dyDescent="0.2">
      <c r="F705" s="18"/>
      <c r="G705" s="18"/>
      <c r="H705" s="18"/>
      <c r="I705" s="18"/>
      <c r="J705" s="18"/>
      <c r="K705" s="18"/>
      <c r="L705" s="18"/>
      <c r="M705" s="18"/>
      <c r="N705" s="18"/>
      <c r="O705" s="18"/>
    </row>
    <row r="706" spans="6:15" x14ac:dyDescent="0.2">
      <c r="F706" s="18"/>
      <c r="G706" s="18"/>
      <c r="H706" s="18"/>
      <c r="I706" s="18"/>
      <c r="J706" s="18"/>
      <c r="K706" s="18"/>
      <c r="L706" s="18"/>
      <c r="M706" s="18"/>
      <c r="N706" s="18"/>
      <c r="O706" s="18"/>
    </row>
    <row r="707" spans="6:15" x14ac:dyDescent="0.2">
      <c r="F707" s="18"/>
      <c r="G707" s="18"/>
      <c r="H707" s="18"/>
      <c r="I707" s="18"/>
      <c r="J707" s="18"/>
      <c r="K707" s="18"/>
      <c r="L707" s="18"/>
      <c r="M707" s="18"/>
      <c r="N707" s="18"/>
      <c r="O707" s="18"/>
    </row>
    <row r="708" spans="6:15" x14ac:dyDescent="0.2">
      <c r="F708" s="18"/>
      <c r="G708" s="18"/>
      <c r="H708" s="18"/>
      <c r="I708" s="18"/>
      <c r="J708" s="18"/>
      <c r="K708" s="18"/>
      <c r="L708" s="18"/>
      <c r="M708" s="18"/>
      <c r="N708" s="18"/>
      <c r="O708" s="18"/>
    </row>
    <row r="709" spans="6:15" x14ac:dyDescent="0.2">
      <c r="F709" s="18"/>
      <c r="G709" s="18"/>
      <c r="H709" s="18"/>
      <c r="I709" s="18"/>
      <c r="J709" s="18"/>
      <c r="K709" s="18"/>
      <c r="L709" s="18"/>
      <c r="M709" s="18"/>
      <c r="N709" s="18"/>
      <c r="O709" s="18"/>
    </row>
    <row r="710" spans="6:15" x14ac:dyDescent="0.2">
      <c r="F710" s="18"/>
      <c r="G710" s="18"/>
      <c r="H710" s="18"/>
      <c r="I710" s="18"/>
      <c r="J710" s="18"/>
      <c r="K710" s="18"/>
      <c r="L710" s="18"/>
      <c r="M710" s="18"/>
      <c r="N710" s="18"/>
      <c r="O710" s="18"/>
    </row>
    <row r="711" spans="6:15" x14ac:dyDescent="0.2">
      <c r="F711" s="18"/>
      <c r="G711" s="18"/>
      <c r="H711" s="18"/>
      <c r="I711" s="18"/>
      <c r="J711" s="18"/>
      <c r="K711" s="18"/>
      <c r="L711" s="18"/>
      <c r="M711" s="18"/>
      <c r="N711" s="18"/>
      <c r="O711" s="18"/>
    </row>
    <row r="712" spans="6:15" x14ac:dyDescent="0.2">
      <c r="F712" s="18"/>
      <c r="G712" s="18"/>
      <c r="H712" s="18"/>
      <c r="I712" s="18"/>
      <c r="J712" s="18"/>
      <c r="K712" s="18"/>
      <c r="L712" s="18"/>
      <c r="M712" s="18"/>
      <c r="N712" s="18"/>
      <c r="O712" s="18"/>
    </row>
    <row r="713" spans="6:15" x14ac:dyDescent="0.2">
      <c r="F713" s="18"/>
      <c r="G713" s="18"/>
      <c r="H713" s="18"/>
      <c r="I713" s="18"/>
      <c r="J713" s="18"/>
      <c r="K713" s="18"/>
      <c r="L713" s="18"/>
      <c r="M713" s="18"/>
      <c r="N713" s="18"/>
      <c r="O713" s="18"/>
    </row>
    <row r="714" spans="6:15" x14ac:dyDescent="0.2">
      <c r="F714" s="18"/>
      <c r="G714" s="18"/>
      <c r="H714" s="18"/>
      <c r="I714" s="18"/>
      <c r="J714" s="18"/>
      <c r="K714" s="18"/>
      <c r="L714" s="18"/>
      <c r="M714" s="18"/>
      <c r="N714" s="18"/>
      <c r="O714" s="18"/>
    </row>
    <row r="715" spans="6:15" x14ac:dyDescent="0.2">
      <c r="F715" s="18"/>
      <c r="G715" s="18"/>
      <c r="H715" s="18"/>
      <c r="I715" s="18"/>
      <c r="J715" s="18"/>
      <c r="K715" s="18"/>
      <c r="L715" s="18"/>
      <c r="M715" s="18"/>
      <c r="N715" s="18"/>
      <c r="O715" s="18"/>
    </row>
    <row r="716" spans="6:15" x14ac:dyDescent="0.2">
      <c r="F716" s="18"/>
      <c r="G716" s="18"/>
      <c r="H716" s="18"/>
      <c r="I716" s="18"/>
      <c r="J716" s="18"/>
      <c r="K716" s="18"/>
      <c r="L716" s="18"/>
      <c r="M716" s="18"/>
      <c r="N716" s="18"/>
      <c r="O716" s="18"/>
    </row>
    <row r="717" spans="6:15" x14ac:dyDescent="0.2">
      <c r="F717" s="18"/>
      <c r="G717" s="18"/>
      <c r="H717" s="18"/>
      <c r="I717" s="18"/>
      <c r="J717" s="18"/>
      <c r="K717" s="18"/>
      <c r="L717" s="18"/>
      <c r="M717" s="18"/>
      <c r="N717" s="18"/>
      <c r="O717" s="18"/>
    </row>
    <row r="718" spans="6:15" x14ac:dyDescent="0.2">
      <c r="F718" s="18"/>
      <c r="G718" s="18"/>
      <c r="H718" s="18"/>
      <c r="I718" s="18"/>
      <c r="J718" s="18"/>
      <c r="K718" s="18"/>
      <c r="L718" s="18"/>
      <c r="M718" s="18"/>
      <c r="N718" s="18"/>
      <c r="O718" s="18"/>
    </row>
    <row r="719" spans="6:15" x14ac:dyDescent="0.2">
      <c r="F719" s="18"/>
      <c r="G719" s="18"/>
      <c r="H719" s="18"/>
      <c r="I719" s="18"/>
      <c r="J719" s="18"/>
      <c r="K719" s="18"/>
      <c r="L719" s="18"/>
      <c r="M719" s="18"/>
      <c r="N719" s="18"/>
      <c r="O719" s="18"/>
    </row>
    <row r="720" spans="6:15" x14ac:dyDescent="0.2">
      <c r="F720" s="18"/>
      <c r="G720" s="18"/>
      <c r="H720" s="18"/>
      <c r="I720" s="18"/>
      <c r="J720" s="18"/>
      <c r="K720" s="18"/>
      <c r="L720" s="18"/>
      <c r="M720" s="18"/>
      <c r="N720" s="18"/>
      <c r="O720" s="18"/>
    </row>
    <row r="721" spans="6:15" x14ac:dyDescent="0.2">
      <c r="F721" s="18"/>
      <c r="G721" s="18"/>
      <c r="H721" s="18"/>
      <c r="I721" s="18"/>
      <c r="J721" s="18"/>
      <c r="K721" s="18"/>
      <c r="L721" s="18"/>
      <c r="M721" s="18"/>
      <c r="N721" s="18"/>
      <c r="O721" s="18"/>
    </row>
    <row r="722" spans="6:15" x14ac:dyDescent="0.2">
      <c r="F722" s="18"/>
      <c r="G722" s="18"/>
      <c r="H722" s="18"/>
      <c r="I722" s="18"/>
      <c r="J722" s="18"/>
      <c r="K722" s="18"/>
      <c r="L722" s="18"/>
      <c r="M722" s="18"/>
      <c r="N722" s="18"/>
      <c r="O722" s="18"/>
    </row>
    <row r="723" spans="6:15" x14ac:dyDescent="0.2">
      <c r="F723" s="18"/>
      <c r="G723" s="18"/>
      <c r="H723" s="18"/>
      <c r="I723" s="18"/>
      <c r="J723" s="18"/>
      <c r="K723" s="18"/>
      <c r="L723" s="18"/>
      <c r="M723" s="18"/>
      <c r="N723" s="18"/>
      <c r="O723" s="18"/>
    </row>
    <row r="724" spans="6:15" x14ac:dyDescent="0.2">
      <c r="F724" s="18"/>
      <c r="G724" s="18"/>
      <c r="H724" s="18"/>
      <c r="I724" s="18"/>
      <c r="J724" s="18"/>
      <c r="K724" s="18"/>
      <c r="L724" s="18"/>
      <c r="M724" s="18"/>
      <c r="N724" s="18"/>
      <c r="O724" s="18"/>
    </row>
    <row r="725" spans="6:15" x14ac:dyDescent="0.2">
      <c r="F725" s="18"/>
      <c r="G725" s="18"/>
      <c r="H725" s="18"/>
      <c r="I725" s="18"/>
      <c r="J725" s="18"/>
      <c r="K725" s="18"/>
      <c r="L725" s="18"/>
      <c r="M725" s="18"/>
      <c r="N725" s="18"/>
      <c r="O725" s="18"/>
    </row>
    <row r="726" spans="6:15" x14ac:dyDescent="0.2">
      <c r="F726" s="18"/>
      <c r="G726" s="18"/>
      <c r="H726" s="18"/>
      <c r="I726" s="18"/>
      <c r="J726" s="18"/>
      <c r="K726" s="18"/>
      <c r="L726" s="18"/>
      <c r="M726" s="18"/>
      <c r="N726" s="18"/>
      <c r="O726" s="18"/>
    </row>
    <row r="727" spans="6:15" x14ac:dyDescent="0.2">
      <c r="F727" s="18"/>
      <c r="G727" s="18"/>
      <c r="H727" s="18"/>
      <c r="I727" s="18"/>
      <c r="J727" s="18"/>
      <c r="K727" s="18"/>
      <c r="L727" s="18"/>
      <c r="M727" s="18"/>
      <c r="N727" s="18"/>
      <c r="O727" s="18"/>
    </row>
    <row r="728" spans="6:15" x14ac:dyDescent="0.2">
      <c r="F728" s="18"/>
      <c r="G728" s="18"/>
      <c r="H728" s="18"/>
      <c r="I728" s="18"/>
      <c r="J728" s="18"/>
      <c r="K728" s="18"/>
      <c r="L728" s="18"/>
      <c r="M728" s="18"/>
      <c r="N728" s="18"/>
      <c r="O728" s="18"/>
    </row>
    <row r="729" spans="6:15" x14ac:dyDescent="0.2">
      <c r="F729" s="18"/>
      <c r="G729" s="18"/>
      <c r="H729" s="18"/>
      <c r="I729" s="18"/>
      <c r="J729" s="18"/>
      <c r="K729" s="18"/>
      <c r="L729" s="18"/>
      <c r="M729" s="18"/>
      <c r="N729" s="18"/>
      <c r="O729" s="18"/>
    </row>
    <row r="730" spans="6:15" x14ac:dyDescent="0.2">
      <c r="F730" s="18"/>
      <c r="G730" s="18"/>
      <c r="H730" s="18"/>
      <c r="I730" s="18"/>
      <c r="J730" s="18"/>
      <c r="K730" s="18"/>
      <c r="L730" s="18"/>
      <c r="M730" s="18"/>
      <c r="N730" s="18"/>
      <c r="O730" s="18"/>
    </row>
    <row r="731" spans="6:15" x14ac:dyDescent="0.2">
      <c r="F731" s="18"/>
      <c r="G731" s="18"/>
      <c r="H731" s="18"/>
      <c r="I731" s="18"/>
      <c r="J731" s="18"/>
      <c r="K731" s="18"/>
      <c r="L731" s="18"/>
      <c r="M731" s="18"/>
      <c r="N731" s="18"/>
      <c r="O731" s="18"/>
    </row>
    <row r="732" spans="6:15" x14ac:dyDescent="0.2">
      <c r="F732" s="18"/>
      <c r="G732" s="18"/>
      <c r="H732" s="18"/>
      <c r="I732" s="18"/>
      <c r="J732" s="18"/>
      <c r="K732" s="18"/>
      <c r="L732" s="18"/>
      <c r="M732" s="18"/>
      <c r="N732" s="18"/>
      <c r="O732" s="18"/>
    </row>
    <row r="733" spans="6:15" x14ac:dyDescent="0.2">
      <c r="F733" s="18"/>
      <c r="G733" s="18"/>
      <c r="H733" s="18"/>
      <c r="I733" s="18"/>
      <c r="J733" s="18"/>
      <c r="K733" s="18"/>
      <c r="L733" s="18"/>
      <c r="M733" s="18"/>
      <c r="N733" s="18"/>
      <c r="O733" s="18"/>
    </row>
    <row r="734" spans="6:15" x14ac:dyDescent="0.2">
      <c r="F734" s="18"/>
      <c r="G734" s="18"/>
      <c r="H734" s="18"/>
      <c r="I734" s="18"/>
      <c r="J734" s="18"/>
      <c r="K734" s="18"/>
      <c r="L734" s="18"/>
      <c r="M734" s="18"/>
      <c r="N734" s="18"/>
      <c r="O734" s="18"/>
    </row>
    <row r="735" spans="6:15" x14ac:dyDescent="0.2">
      <c r="F735" s="18"/>
      <c r="G735" s="18"/>
      <c r="H735" s="18"/>
      <c r="I735" s="18"/>
      <c r="J735" s="18"/>
      <c r="K735" s="18"/>
      <c r="L735" s="18"/>
      <c r="M735" s="18"/>
      <c r="N735" s="18"/>
      <c r="O735" s="18"/>
    </row>
    <row r="736" spans="6:15" x14ac:dyDescent="0.2">
      <c r="F736" s="18"/>
      <c r="G736" s="18"/>
      <c r="H736" s="18"/>
      <c r="I736" s="18"/>
      <c r="J736" s="18"/>
      <c r="K736" s="18"/>
      <c r="L736" s="18"/>
      <c r="M736" s="18"/>
      <c r="N736" s="18"/>
      <c r="O736" s="18"/>
    </row>
    <row r="737" spans="6:15" x14ac:dyDescent="0.2">
      <c r="F737" s="18"/>
      <c r="G737" s="18"/>
      <c r="H737" s="18"/>
      <c r="I737" s="18"/>
      <c r="J737" s="18"/>
      <c r="K737" s="18"/>
      <c r="L737" s="18"/>
      <c r="M737" s="18"/>
      <c r="N737" s="18"/>
      <c r="O737" s="18"/>
    </row>
    <row r="738" spans="6:15" x14ac:dyDescent="0.2">
      <c r="F738" s="18"/>
      <c r="G738" s="18"/>
      <c r="H738" s="18"/>
      <c r="I738" s="18"/>
      <c r="J738" s="18"/>
      <c r="K738" s="18"/>
      <c r="L738" s="18"/>
      <c r="M738" s="18"/>
      <c r="N738" s="18"/>
      <c r="O738" s="18"/>
    </row>
    <row r="739" spans="6:15" x14ac:dyDescent="0.2">
      <c r="F739" s="18"/>
      <c r="G739" s="18"/>
      <c r="H739" s="18"/>
      <c r="I739" s="18"/>
      <c r="J739" s="18"/>
      <c r="K739" s="18"/>
      <c r="L739" s="18"/>
      <c r="M739" s="18"/>
      <c r="N739" s="18"/>
      <c r="O739" s="18"/>
    </row>
    <row r="740" spans="6:15" x14ac:dyDescent="0.2">
      <c r="F740" s="18"/>
      <c r="G740" s="18"/>
      <c r="H740" s="18"/>
      <c r="I740" s="18"/>
      <c r="J740" s="18"/>
      <c r="K740" s="18"/>
      <c r="L740" s="18"/>
      <c r="M740" s="18"/>
      <c r="N740" s="18"/>
      <c r="O740" s="18"/>
    </row>
    <row r="741" spans="6:15" x14ac:dyDescent="0.2">
      <c r="F741" s="18"/>
      <c r="G741" s="18"/>
      <c r="H741" s="18"/>
      <c r="I741" s="18"/>
      <c r="J741" s="18"/>
      <c r="K741" s="18"/>
      <c r="L741" s="18"/>
      <c r="M741" s="18"/>
      <c r="N741" s="18"/>
      <c r="O741" s="18"/>
    </row>
    <row r="742" spans="6:15" x14ac:dyDescent="0.2">
      <c r="F742" s="18"/>
      <c r="G742" s="18"/>
      <c r="H742" s="18"/>
      <c r="I742" s="18"/>
      <c r="J742" s="18"/>
      <c r="K742" s="18"/>
      <c r="L742" s="18"/>
      <c r="M742" s="18"/>
      <c r="N742" s="18"/>
      <c r="O742" s="18"/>
    </row>
    <row r="743" spans="6:15" x14ac:dyDescent="0.2">
      <c r="F743" s="18"/>
      <c r="G743" s="18"/>
      <c r="H743" s="18"/>
      <c r="I743" s="18"/>
      <c r="J743" s="18"/>
      <c r="K743" s="18"/>
      <c r="L743" s="18"/>
      <c r="M743" s="18"/>
      <c r="N743" s="18"/>
      <c r="O743" s="18"/>
    </row>
    <row r="744" spans="6:15" x14ac:dyDescent="0.2">
      <c r="F744" s="18"/>
      <c r="G744" s="18"/>
      <c r="H744" s="18"/>
      <c r="I744" s="18"/>
      <c r="J744" s="18"/>
      <c r="K744" s="18"/>
      <c r="L744" s="18"/>
      <c r="M744" s="18"/>
      <c r="N744" s="18"/>
      <c r="O744" s="18"/>
    </row>
    <row r="745" spans="6:15" x14ac:dyDescent="0.2">
      <c r="F745" s="18"/>
      <c r="G745" s="18"/>
      <c r="H745" s="18"/>
      <c r="I745" s="18"/>
      <c r="J745" s="18"/>
      <c r="K745" s="18"/>
      <c r="L745" s="18"/>
      <c r="M745" s="18"/>
      <c r="N745" s="18"/>
      <c r="O745" s="18"/>
    </row>
    <row r="746" spans="6:15" x14ac:dyDescent="0.2">
      <c r="F746" s="18"/>
      <c r="G746" s="18"/>
      <c r="H746" s="18"/>
      <c r="I746" s="18"/>
      <c r="J746" s="18"/>
      <c r="K746" s="18"/>
      <c r="L746" s="18"/>
      <c r="M746" s="18"/>
      <c r="N746" s="18"/>
      <c r="O746" s="18"/>
    </row>
    <row r="747" spans="6:15" x14ac:dyDescent="0.2">
      <c r="F747" s="18"/>
      <c r="G747" s="18"/>
      <c r="H747" s="18"/>
      <c r="I747" s="18"/>
      <c r="J747" s="18"/>
      <c r="K747" s="18"/>
      <c r="L747" s="18"/>
      <c r="M747" s="18"/>
      <c r="N747" s="18"/>
      <c r="O747" s="18"/>
    </row>
    <row r="748" spans="6:15" x14ac:dyDescent="0.2">
      <c r="F748" s="18"/>
      <c r="G748" s="18"/>
      <c r="H748" s="18"/>
      <c r="I748" s="18"/>
      <c r="J748" s="18"/>
      <c r="K748" s="18"/>
      <c r="L748" s="18"/>
      <c r="M748" s="18"/>
      <c r="N748" s="18"/>
      <c r="O748" s="18"/>
    </row>
    <row r="749" spans="6:15" x14ac:dyDescent="0.2">
      <c r="F749" s="18"/>
      <c r="G749" s="18"/>
      <c r="H749" s="18"/>
      <c r="I749" s="18"/>
      <c r="J749" s="18"/>
      <c r="K749" s="18"/>
      <c r="L749" s="18"/>
      <c r="M749" s="18"/>
      <c r="N749" s="18"/>
      <c r="O749" s="18"/>
    </row>
    <row r="750" spans="6:15" x14ac:dyDescent="0.2">
      <c r="F750" s="18"/>
      <c r="G750" s="18"/>
      <c r="H750" s="18"/>
      <c r="I750" s="18"/>
      <c r="J750" s="18"/>
      <c r="K750" s="18"/>
      <c r="L750" s="18"/>
      <c r="M750" s="18"/>
      <c r="N750" s="18"/>
      <c r="O750" s="18"/>
    </row>
    <row r="751" spans="6:15" x14ac:dyDescent="0.2">
      <c r="F751" s="18"/>
      <c r="G751" s="18"/>
      <c r="H751" s="18"/>
      <c r="I751" s="18"/>
      <c r="J751" s="18"/>
      <c r="K751" s="18"/>
      <c r="L751" s="18"/>
      <c r="M751" s="18"/>
      <c r="N751" s="18"/>
      <c r="O751" s="18"/>
    </row>
    <row r="752" spans="6:15" x14ac:dyDescent="0.2">
      <c r="F752" s="18"/>
      <c r="G752" s="18"/>
      <c r="H752" s="18"/>
      <c r="I752" s="18"/>
      <c r="J752" s="18"/>
      <c r="K752" s="18"/>
      <c r="L752" s="18"/>
      <c r="M752" s="18"/>
      <c r="N752" s="18"/>
      <c r="O752" s="18"/>
    </row>
    <row r="753" spans="6:15" x14ac:dyDescent="0.2">
      <c r="F753" s="18"/>
      <c r="G753" s="18"/>
      <c r="H753" s="18"/>
      <c r="I753" s="18"/>
      <c r="J753" s="18"/>
      <c r="K753" s="18"/>
      <c r="L753" s="18"/>
      <c r="M753" s="18"/>
      <c r="N753" s="18"/>
      <c r="O753" s="18"/>
    </row>
    <row r="754" spans="6:15" x14ac:dyDescent="0.2">
      <c r="F754" s="18"/>
      <c r="G754" s="18"/>
      <c r="H754" s="18"/>
      <c r="I754" s="18"/>
      <c r="J754" s="18"/>
      <c r="K754" s="18"/>
      <c r="L754" s="18"/>
      <c r="M754" s="18"/>
      <c r="N754" s="18"/>
      <c r="O754" s="18"/>
    </row>
    <row r="755" spans="6:15" x14ac:dyDescent="0.2">
      <c r="F755" s="18"/>
      <c r="G755" s="18"/>
      <c r="H755" s="18"/>
      <c r="I755" s="18"/>
      <c r="J755" s="18"/>
      <c r="K755" s="18"/>
      <c r="L755" s="18"/>
      <c r="M755" s="18"/>
      <c r="N755" s="18"/>
      <c r="O755" s="18"/>
    </row>
    <row r="756" spans="6:15" x14ac:dyDescent="0.2">
      <c r="F756" s="18"/>
      <c r="G756" s="18"/>
      <c r="H756" s="18"/>
      <c r="I756" s="18"/>
      <c r="J756" s="18"/>
      <c r="K756" s="18"/>
      <c r="L756" s="18"/>
      <c r="M756" s="18"/>
      <c r="N756" s="18"/>
      <c r="O756" s="18"/>
    </row>
    <row r="757" spans="6:15" x14ac:dyDescent="0.2">
      <c r="F757" s="18"/>
      <c r="G757" s="18"/>
      <c r="H757" s="18"/>
      <c r="I757" s="18"/>
      <c r="J757" s="18"/>
      <c r="K757" s="18"/>
      <c r="L757" s="18"/>
      <c r="M757" s="18"/>
      <c r="N757" s="18"/>
      <c r="O757" s="18"/>
    </row>
    <row r="758" spans="6:15" x14ac:dyDescent="0.2">
      <c r="F758" s="18"/>
      <c r="G758" s="18"/>
      <c r="H758" s="18"/>
      <c r="I758" s="18"/>
      <c r="J758" s="18"/>
      <c r="K758" s="18"/>
      <c r="L758" s="18"/>
      <c r="M758" s="18"/>
      <c r="N758" s="18"/>
      <c r="O758" s="18"/>
    </row>
    <row r="759" spans="6:15" x14ac:dyDescent="0.2">
      <c r="F759" s="18"/>
      <c r="G759" s="18"/>
      <c r="H759" s="18"/>
      <c r="I759" s="18"/>
      <c r="J759" s="18"/>
      <c r="K759" s="18"/>
      <c r="L759" s="18"/>
      <c r="M759" s="18"/>
      <c r="N759" s="18"/>
      <c r="O759" s="18"/>
    </row>
    <row r="760" spans="6:15" x14ac:dyDescent="0.2">
      <c r="F760" s="18"/>
      <c r="G760" s="18"/>
      <c r="H760" s="18"/>
      <c r="I760" s="18"/>
      <c r="J760" s="18"/>
      <c r="K760" s="18"/>
      <c r="L760" s="18"/>
      <c r="M760" s="18"/>
      <c r="N760" s="18"/>
      <c r="O760" s="18"/>
    </row>
    <row r="761" spans="6:15" x14ac:dyDescent="0.2">
      <c r="F761" s="18"/>
      <c r="G761" s="18"/>
      <c r="H761" s="18"/>
      <c r="I761" s="18"/>
      <c r="J761" s="18"/>
      <c r="K761" s="18"/>
      <c r="L761" s="18"/>
      <c r="M761" s="18"/>
      <c r="N761" s="18"/>
      <c r="O761" s="18"/>
    </row>
    <row r="762" spans="6:15" x14ac:dyDescent="0.2">
      <c r="F762" s="18"/>
      <c r="G762" s="18"/>
      <c r="H762" s="18"/>
      <c r="I762" s="18"/>
      <c r="J762" s="18"/>
      <c r="K762" s="18"/>
      <c r="L762" s="18"/>
      <c r="M762" s="18"/>
      <c r="N762" s="18"/>
      <c r="O762" s="18"/>
    </row>
    <row r="763" spans="6:15" x14ac:dyDescent="0.2">
      <c r="F763" s="18"/>
      <c r="G763" s="18"/>
      <c r="H763" s="18"/>
      <c r="I763" s="18"/>
      <c r="J763" s="18"/>
      <c r="K763" s="18"/>
      <c r="L763" s="18"/>
      <c r="M763" s="18"/>
      <c r="N763" s="18"/>
      <c r="O763" s="18"/>
    </row>
    <row r="764" spans="6:15" x14ac:dyDescent="0.2">
      <c r="F764" s="18"/>
      <c r="G764" s="18"/>
      <c r="H764" s="18"/>
      <c r="I764" s="18"/>
      <c r="J764" s="18"/>
      <c r="K764" s="18"/>
      <c r="L764" s="18"/>
      <c r="M764" s="18"/>
      <c r="N764" s="18"/>
      <c r="O764" s="18"/>
    </row>
    <row r="765" spans="6:15" x14ac:dyDescent="0.2">
      <c r="F765" s="18"/>
      <c r="G765" s="18"/>
      <c r="H765" s="18"/>
      <c r="I765" s="18"/>
      <c r="J765" s="18"/>
      <c r="K765" s="18"/>
      <c r="L765" s="18"/>
      <c r="M765" s="18"/>
      <c r="N765" s="18"/>
      <c r="O765" s="18"/>
    </row>
    <row r="766" spans="6:15" x14ac:dyDescent="0.2">
      <c r="F766" s="18"/>
      <c r="G766" s="18"/>
      <c r="H766" s="18"/>
      <c r="I766" s="18"/>
      <c r="J766" s="18"/>
      <c r="K766" s="18"/>
      <c r="L766" s="18"/>
      <c r="M766" s="18"/>
      <c r="N766" s="18"/>
      <c r="O766" s="18"/>
    </row>
    <row r="767" spans="6:15" x14ac:dyDescent="0.2">
      <c r="F767" s="18"/>
      <c r="G767" s="18"/>
      <c r="H767" s="18"/>
      <c r="I767" s="18"/>
      <c r="J767" s="18"/>
      <c r="K767" s="18"/>
      <c r="L767" s="18"/>
      <c r="M767" s="18"/>
      <c r="N767" s="18"/>
      <c r="O767" s="18"/>
    </row>
    <row r="768" spans="6:15" x14ac:dyDescent="0.2">
      <c r="F768" s="18"/>
      <c r="G768" s="18"/>
      <c r="H768" s="18"/>
      <c r="I768" s="18"/>
      <c r="J768" s="18"/>
      <c r="K768" s="18"/>
      <c r="L768" s="18"/>
      <c r="M768" s="18"/>
      <c r="N768" s="18"/>
      <c r="O768" s="18"/>
    </row>
    <row r="769" spans="6:15" x14ac:dyDescent="0.2">
      <c r="F769" s="18"/>
      <c r="G769" s="18"/>
      <c r="H769" s="18"/>
      <c r="I769" s="18"/>
      <c r="J769" s="18"/>
      <c r="K769" s="18"/>
      <c r="L769" s="18"/>
      <c r="M769" s="18"/>
      <c r="N769" s="18"/>
      <c r="O769" s="18"/>
    </row>
    <row r="770" spans="6:15" x14ac:dyDescent="0.2">
      <c r="F770" s="18"/>
      <c r="G770" s="18"/>
      <c r="H770" s="18"/>
      <c r="I770" s="18"/>
      <c r="J770" s="18"/>
      <c r="K770" s="18"/>
      <c r="L770" s="18"/>
      <c r="M770" s="18"/>
      <c r="N770" s="18"/>
      <c r="O770" s="18"/>
    </row>
    <row r="771" spans="6:15" x14ac:dyDescent="0.2">
      <c r="F771" s="18"/>
      <c r="G771" s="18"/>
      <c r="H771" s="18"/>
      <c r="I771" s="18"/>
      <c r="J771" s="18"/>
      <c r="K771" s="18"/>
      <c r="L771" s="18"/>
      <c r="M771" s="18"/>
      <c r="N771" s="18"/>
      <c r="O771" s="18"/>
    </row>
    <row r="772" spans="6:15" x14ac:dyDescent="0.2">
      <c r="F772" s="18"/>
      <c r="G772" s="18"/>
      <c r="H772" s="18"/>
      <c r="I772" s="18"/>
      <c r="J772" s="18"/>
      <c r="K772" s="18"/>
      <c r="L772" s="18"/>
      <c r="M772" s="18"/>
      <c r="N772" s="18"/>
      <c r="O772" s="18"/>
    </row>
    <row r="773" spans="6:15" x14ac:dyDescent="0.2">
      <c r="F773" s="18"/>
      <c r="G773" s="18"/>
      <c r="H773" s="18"/>
      <c r="I773" s="18"/>
      <c r="J773" s="18"/>
      <c r="K773" s="18"/>
      <c r="L773" s="18"/>
      <c r="M773" s="18"/>
      <c r="N773" s="18"/>
      <c r="O773" s="18"/>
    </row>
    <row r="774" spans="6:15" x14ac:dyDescent="0.2">
      <c r="F774" s="18"/>
      <c r="G774" s="18"/>
      <c r="H774" s="18"/>
      <c r="I774" s="18"/>
      <c r="J774" s="18"/>
      <c r="K774" s="18"/>
      <c r="L774" s="18"/>
      <c r="M774" s="18"/>
      <c r="N774" s="18"/>
      <c r="O774" s="18"/>
    </row>
    <row r="775" spans="6:15" x14ac:dyDescent="0.2">
      <c r="F775" s="18"/>
      <c r="G775" s="18"/>
      <c r="H775" s="18"/>
      <c r="I775" s="18"/>
      <c r="J775" s="18"/>
      <c r="K775" s="18"/>
      <c r="L775" s="18"/>
      <c r="M775" s="18"/>
      <c r="N775" s="18"/>
      <c r="O775" s="18"/>
    </row>
    <row r="776" spans="6:15" x14ac:dyDescent="0.2">
      <c r="F776" s="18"/>
      <c r="G776" s="18"/>
      <c r="H776" s="18"/>
      <c r="I776" s="18"/>
      <c r="J776" s="18"/>
      <c r="K776" s="18"/>
      <c r="L776" s="18"/>
      <c r="M776" s="18"/>
      <c r="N776" s="18"/>
      <c r="O776" s="18"/>
    </row>
    <row r="777" spans="6:15" x14ac:dyDescent="0.2">
      <c r="F777" s="18"/>
      <c r="G777" s="18"/>
      <c r="H777" s="18"/>
      <c r="I777" s="18"/>
      <c r="J777" s="18"/>
      <c r="K777" s="18"/>
      <c r="L777" s="18"/>
      <c r="M777" s="18"/>
      <c r="N777" s="18"/>
      <c r="O777" s="18"/>
    </row>
    <row r="778" spans="6:15" x14ac:dyDescent="0.2">
      <c r="F778" s="18"/>
      <c r="G778" s="18"/>
      <c r="H778" s="18"/>
      <c r="I778" s="18"/>
      <c r="J778" s="18"/>
      <c r="K778" s="18"/>
      <c r="L778" s="18"/>
      <c r="M778" s="18"/>
      <c r="N778" s="18"/>
      <c r="O778" s="18"/>
    </row>
    <row r="779" spans="6:15" x14ac:dyDescent="0.2">
      <c r="F779" s="18"/>
      <c r="G779" s="18"/>
      <c r="H779" s="18"/>
      <c r="I779" s="18"/>
      <c r="J779" s="18"/>
      <c r="K779" s="18"/>
      <c r="L779" s="18"/>
      <c r="M779" s="18"/>
      <c r="N779" s="18"/>
      <c r="O779" s="18"/>
    </row>
    <row r="780" spans="6:15" x14ac:dyDescent="0.2">
      <c r="F780" s="18"/>
      <c r="G780" s="18"/>
      <c r="H780" s="18"/>
      <c r="I780" s="18"/>
      <c r="J780" s="18"/>
      <c r="K780" s="18"/>
      <c r="L780" s="18"/>
      <c r="M780" s="18"/>
      <c r="N780" s="18"/>
      <c r="O780" s="18"/>
    </row>
    <row r="781" spans="6:15" x14ac:dyDescent="0.2">
      <c r="F781" s="18"/>
      <c r="G781" s="18"/>
      <c r="H781" s="18"/>
      <c r="I781" s="18"/>
      <c r="J781" s="18"/>
      <c r="K781" s="18"/>
      <c r="L781" s="18"/>
      <c r="M781" s="18"/>
      <c r="N781" s="18"/>
      <c r="O781" s="18"/>
    </row>
    <row r="782" spans="6:15" x14ac:dyDescent="0.2">
      <c r="F782" s="18"/>
      <c r="G782" s="18"/>
      <c r="H782" s="18"/>
      <c r="I782" s="18"/>
      <c r="J782" s="18"/>
      <c r="K782" s="18"/>
      <c r="L782" s="18"/>
      <c r="M782" s="18"/>
      <c r="N782" s="18"/>
      <c r="O782" s="18"/>
    </row>
    <row r="783" spans="6:15" x14ac:dyDescent="0.2">
      <c r="F783" s="18"/>
      <c r="G783" s="18"/>
      <c r="H783" s="18"/>
      <c r="I783" s="18"/>
      <c r="J783" s="18"/>
      <c r="K783" s="18"/>
      <c r="L783" s="18"/>
      <c r="M783" s="18"/>
      <c r="N783" s="18"/>
      <c r="O783" s="18"/>
    </row>
    <row r="784" spans="6:15" x14ac:dyDescent="0.2">
      <c r="F784" s="18"/>
      <c r="G784" s="18"/>
      <c r="H784" s="18"/>
      <c r="I784" s="18"/>
      <c r="J784" s="18"/>
      <c r="K784" s="18"/>
      <c r="L784" s="18"/>
      <c r="M784" s="18"/>
      <c r="N784" s="18"/>
      <c r="O784" s="18"/>
    </row>
    <row r="785" spans="6:15" x14ac:dyDescent="0.2">
      <c r="F785" s="18"/>
      <c r="G785" s="18"/>
      <c r="H785" s="18"/>
      <c r="I785" s="18"/>
      <c r="J785" s="18"/>
      <c r="K785" s="18"/>
      <c r="L785" s="18"/>
      <c r="M785" s="18"/>
      <c r="N785" s="18"/>
      <c r="O785" s="18"/>
    </row>
    <row r="786" spans="6:15" x14ac:dyDescent="0.2">
      <c r="F786" s="18"/>
      <c r="G786" s="18"/>
      <c r="H786" s="18"/>
      <c r="I786" s="18"/>
      <c r="J786" s="18"/>
      <c r="K786" s="18"/>
      <c r="L786" s="18"/>
      <c r="M786" s="18"/>
      <c r="N786" s="18"/>
      <c r="O786" s="18"/>
    </row>
    <row r="787" spans="6:15" x14ac:dyDescent="0.2">
      <c r="F787" s="18"/>
      <c r="G787" s="18"/>
      <c r="H787" s="18"/>
      <c r="I787" s="18"/>
      <c r="J787" s="18"/>
      <c r="K787" s="18"/>
      <c r="L787" s="18"/>
      <c r="M787" s="18"/>
      <c r="N787" s="18"/>
      <c r="O787" s="18"/>
    </row>
    <row r="788" spans="6:15" x14ac:dyDescent="0.2">
      <c r="F788" s="18"/>
      <c r="G788" s="18"/>
      <c r="H788" s="18"/>
      <c r="I788" s="18"/>
      <c r="J788" s="18"/>
      <c r="K788" s="18"/>
      <c r="L788" s="18"/>
      <c r="M788" s="18"/>
      <c r="N788" s="18"/>
      <c r="O788" s="18"/>
    </row>
    <row r="789" spans="6:15" x14ac:dyDescent="0.2">
      <c r="F789" s="18"/>
      <c r="G789" s="18"/>
      <c r="H789" s="18"/>
      <c r="I789" s="18"/>
      <c r="J789" s="18"/>
      <c r="K789" s="18"/>
      <c r="L789" s="18"/>
      <c r="M789" s="18"/>
      <c r="N789" s="18"/>
      <c r="O789" s="18"/>
    </row>
    <row r="790" spans="6:15" x14ac:dyDescent="0.2">
      <c r="F790" s="18"/>
      <c r="G790" s="18"/>
      <c r="H790" s="18"/>
      <c r="I790" s="18"/>
      <c r="J790" s="18"/>
      <c r="K790" s="18"/>
      <c r="L790" s="18"/>
      <c r="M790" s="18"/>
      <c r="N790" s="18"/>
      <c r="O790" s="18"/>
    </row>
    <row r="791" spans="6:15" x14ac:dyDescent="0.2">
      <c r="F791" s="18"/>
      <c r="G791" s="18"/>
      <c r="H791" s="18"/>
      <c r="I791" s="18"/>
      <c r="J791" s="18"/>
      <c r="K791" s="18"/>
      <c r="L791" s="18"/>
      <c r="M791" s="18"/>
      <c r="N791" s="18"/>
      <c r="O791" s="18"/>
    </row>
    <row r="792" spans="6:15" x14ac:dyDescent="0.2">
      <c r="F792" s="18"/>
      <c r="G792" s="18"/>
      <c r="H792" s="18"/>
      <c r="I792" s="18"/>
      <c r="J792" s="18"/>
      <c r="K792" s="18"/>
      <c r="L792" s="18"/>
      <c r="M792" s="18"/>
      <c r="N792" s="18"/>
      <c r="O792" s="18"/>
    </row>
    <row r="793" spans="6:15" x14ac:dyDescent="0.2">
      <c r="F793" s="18"/>
      <c r="G793" s="18"/>
      <c r="H793" s="18"/>
      <c r="I793" s="18"/>
      <c r="J793" s="18"/>
      <c r="K793" s="18"/>
      <c r="L793" s="18"/>
      <c r="M793" s="18"/>
      <c r="N793" s="18"/>
      <c r="O793" s="18"/>
    </row>
    <row r="794" spans="6:15" x14ac:dyDescent="0.2">
      <c r="F794" s="18"/>
      <c r="G794" s="18"/>
      <c r="H794" s="18"/>
      <c r="I794" s="18"/>
      <c r="J794" s="18"/>
      <c r="K794" s="18"/>
      <c r="L794" s="18"/>
      <c r="M794" s="18"/>
      <c r="N794" s="18"/>
      <c r="O794" s="18"/>
    </row>
    <row r="795" spans="6:15" x14ac:dyDescent="0.2">
      <c r="F795" s="18"/>
      <c r="G795" s="18"/>
      <c r="H795" s="18"/>
      <c r="I795" s="18"/>
      <c r="J795" s="18"/>
      <c r="K795" s="18"/>
      <c r="L795" s="18"/>
      <c r="M795" s="18"/>
      <c r="N795" s="18"/>
      <c r="O795" s="18"/>
    </row>
    <row r="796" spans="6:15" x14ac:dyDescent="0.2">
      <c r="F796" s="18"/>
      <c r="G796" s="18"/>
      <c r="H796" s="18"/>
      <c r="I796" s="18"/>
      <c r="J796" s="18"/>
      <c r="K796" s="18"/>
      <c r="L796" s="18"/>
      <c r="M796" s="18"/>
      <c r="N796" s="18"/>
      <c r="O796" s="18"/>
    </row>
    <row r="797" spans="6:15" x14ac:dyDescent="0.2">
      <c r="F797" s="18"/>
      <c r="G797" s="18"/>
      <c r="H797" s="18"/>
      <c r="I797" s="18"/>
      <c r="J797" s="18"/>
      <c r="K797" s="18"/>
      <c r="L797" s="18"/>
      <c r="M797" s="18"/>
      <c r="N797" s="18"/>
      <c r="O797" s="18"/>
    </row>
    <row r="798" spans="6:15" x14ac:dyDescent="0.2">
      <c r="F798" s="18"/>
      <c r="G798" s="18"/>
      <c r="H798" s="18"/>
      <c r="I798" s="18"/>
      <c r="J798" s="18"/>
      <c r="K798" s="18"/>
      <c r="L798" s="18"/>
      <c r="M798" s="18"/>
      <c r="N798" s="18"/>
      <c r="O798" s="18"/>
    </row>
    <row r="799" spans="6:15" x14ac:dyDescent="0.2">
      <c r="F799" s="18"/>
      <c r="G799" s="18"/>
      <c r="H799" s="18"/>
      <c r="I799" s="18"/>
      <c r="J799" s="18"/>
      <c r="K799" s="18"/>
      <c r="L799" s="18"/>
      <c r="M799" s="18"/>
      <c r="N799" s="18"/>
      <c r="O799" s="18"/>
    </row>
    <row r="800" spans="6:15" x14ac:dyDescent="0.2">
      <c r="F800" s="18"/>
      <c r="G800" s="18"/>
      <c r="H800" s="18"/>
      <c r="I800" s="18"/>
      <c r="J800" s="18"/>
      <c r="K800" s="18"/>
      <c r="L800" s="18"/>
      <c r="M800" s="18"/>
      <c r="N800" s="18"/>
      <c r="O800" s="18"/>
    </row>
    <row r="801" spans="6:15" x14ac:dyDescent="0.2">
      <c r="F801" s="18"/>
      <c r="G801" s="18"/>
      <c r="H801" s="18"/>
      <c r="I801" s="18"/>
      <c r="J801" s="18"/>
      <c r="K801" s="18"/>
      <c r="L801" s="18"/>
      <c r="M801" s="18"/>
      <c r="N801" s="18"/>
      <c r="O801" s="18"/>
    </row>
    <row r="802" spans="6:15" x14ac:dyDescent="0.2">
      <c r="F802" s="18"/>
      <c r="G802" s="18"/>
      <c r="H802" s="18"/>
      <c r="I802" s="18"/>
      <c r="J802" s="18"/>
      <c r="K802" s="18"/>
      <c r="L802" s="18"/>
      <c r="M802" s="18"/>
      <c r="N802" s="18"/>
      <c r="O802" s="18"/>
    </row>
    <row r="803" spans="6:15" x14ac:dyDescent="0.2">
      <c r="F803" s="18"/>
      <c r="G803" s="18"/>
      <c r="H803" s="18"/>
      <c r="I803" s="18"/>
      <c r="J803" s="18"/>
      <c r="K803" s="18"/>
      <c r="L803" s="18"/>
      <c r="M803" s="18"/>
      <c r="N803" s="18"/>
      <c r="O803" s="18"/>
    </row>
    <row r="804" spans="6:15" x14ac:dyDescent="0.2">
      <c r="F804" s="18"/>
      <c r="G804" s="18"/>
      <c r="H804" s="18"/>
      <c r="I804" s="18"/>
      <c r="J804" s="18"/>
      <c r="K804" s="18"/>
      <c r="L804" s="18"/>
      <c r="M804" s="18"/>
      <c r="N804" s="18"/>
      <c r="O804" s="18"/>
    </row>
    <row r="805" spans="6:15" x14ac:dyDescent="0.2">
      <c r="F805" s="18"/>
      <c r="G805" s="18"/>
      <c r="H805" s="18"/>
      <c r="I805" s="18"/>
      <c r="J805" s="18"/>
      <c r="K805" s="18"/>
      <c r="L805" s="18"/>
      <c r="M805" s="18"/>
      <c r="N805" s="18"/>
      <c r="O805" s="18"/>
    </row>
    <row r="806" spans="6:15" x14ac:dyDescent="0.2">
      <c r="F806" s="18"/>
      <c r="G806" s="18"/>
      <c r="H806" s="18"/>
      <c r="I806" s="18"/>
      <c r="J806" s="18"/>
      <c r="K806" s="18"/>
      <c r="L806" s="18"/>
      <c r="M806" s="18"/>
      <c r="N806" s="18"/>
      <c r="O806" s="18"/>
    </row>
    <row r="807" spans="6:15" x14ac:dyDescent="0.2">
      <c r="F807" s="18"/>
      <c r="G807" s="18"/>
      <c r="H807" s="18"/>
      <c r="I807" s="18"/>
      <c r="J807" s="18"/>
      <c r="K807" s="18"/>
      <c r="L807" s="18"/>
      <c r="M807" s="18"/>
      <c r="N807" s="18"/>
      <c r="O807" s="18"/>
    </row>
    <row r="808" spans="6:15" x14ac:dyDescent="0.2">
      <c r="F808" s="18"/>
      <c r="G808" s="18"/>
      <c r="H808" s="18"/>
      <c r="I808" s="18"/>
      <c r="J808" s="18"/>
      <c r="K808" s="18"/>
      <c r="L808" s="18"/>
      <c r="M808" s="18"/>
      <c r="N808" s="18"/>
      <c r="O808" s="18"/>
    </row>
    <row r="809" spans="6:15" x14ac:dyDescent="0.2">
      <c r="F809" s="18"/>
      <c r="G809" s="18"/>
      <c r="H809" s="18"/>
      <c r="I809" s="18"/>
      <c r="J809" s="18"/>
      <c r="K809" s="18"/>
      <c r="L809" s="18"/>
      <c r="M809" s="18"/>
      <c r="N809" s="18"/>
      <c r="O809" s="18"/>
    </row>
    <row r="810" spans="6:15" x14ac:dyDescent="0.2">
      <c r="F810" s="18"/>
      <c r="G810" s="18"/>
      <c r="H810" s="18"/>
      <c r="I810" s="18"/>
      <c r="J810" s="18"/>
      <c r="K810" s="18"/>
      <c r="L810" s="18"/>
      <c r="M810" s="18"/>
      <c r="N810" s="18"/>
      <c r="O810" s="18"/>
    </row>
    <row r="811" spans="6:15" x14ac:dyDescent="0.2">
      <c r="F811" s="18"/>
      <c r="G811" s="18"/>
      <c r="H811" s="18"/>
      <c r="I811" s="18"/>
      <c r="J811" s="18"/>
      <c r="K811" s="18"/>
      <c r="L811" s="18"/>
      <c r="M811" s="18"/>
      <c r="N811" s="18"/>
      <c r="O811" s="18"/>
    </row>
  </sheetData>
  <conditionalFormatting sqref="B2">
    <cfRule type="cellIs" dxfId="4" priority="6" operator="equal">
      <formula>TRUE</formula>
    </cfRule>
  </conditionalFormatting>
  <conditionalFormatting sqref="C32">
    <cfRule type="cellIs" dxfId="3" priority="9" operator="equal">
      <formula>TRUE</formula>
    </cfRule>
  </conditionalFormatting>
  <conditionalFormatting sqref="C65">
    <cfRule type="cellIs" dxfId="2" priority="4" operator="equal">
      <formula>TRUE</formula>
    </cfRule>
  </conditionalFormatting>
  <conditionalFormatting sqref="C88">
    <cfRule type="cellIs" dxfId="1" priority="1" operator="equal">
      <formula>TRUE</formula>
    </cfRule>
  </conditionalFormatting>
  <conditionalFormatting sqref="C104">
    <cfRule type="cellIs" dxfId="0" priority="2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Manual</vt:lpstr>
      <vt:lpstr>Disclaimer</vt:lpstr>
      <vt:lpstr>Input</vt:lpstr>
      <vt:lpstr>WORKINGS&gt;&gt;</vt:lpstr>
      <vt:lpstr>Valuation</vt:lpstr>
      <vt:lpstr>Model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2025-05-09T06:12:31Z</dcterms:modified>
</cp:coreProperties>
</file>