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Models\"/>
    </mc:Choice>
  </mc:AlternateContent>
  <xr:revisionPtr revIDLastSave="0" documentId="13_ncr:1_{F0B9FD2B-1607-4384-813C-F8DFE10C577C}" xr6:coauthVersionLast="47" xr6:coauthVersionMax="47" xr10:uidLastSave="{00000000-0000-0000-0000-000000000000}"/>
  <bookViews>
    <workbookView xWindow="-105" yWindow="0" windowWidth="26010" windowHeight="20985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1" r:id="rId6"/>
    <sheet name="Historical" sheetId="10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1" l="1"/>
  <c r="F16" i="11"/>
  <c r="F14" i="11"/>
  <c r="F13" i="11"/>
  <c r="O50" i="10"/>
  <c r="F12" i="11"/>
  <c r="E8" i="11"/>
  <c r="E9" i="11"/>
  <c r="D5" i="11"/>
  <c r="D4" i="11"/>
  <c r="D3" i="11"/>
  <c r="F100" i="10"/>
  <c r="F92" i="10"/>
  <c r="G100" i="10"/>
  <c r="H100" i="10"/>
  <c r="H101" i="10"/>
  <c r="H103" i="10" s="1"/>
  <c r="I100" i="10"/>
  <c r="I101" i="10" s="1"/>
  <c r="I103" i="10" s="1"/>
  <c r="G92" i="10"/>
  <c r="H92" i="10"/>
  <c r="I92" i="10"/>
  <c r="F53" i="10"/>
  <c r="F52" i="10"/>
  <c r="G49" i="10"/>
  <c r="G52" i="10"/>
  <c r="G53" i="10"/>
  <c r="F51" i="10"/>
  <c r="G51" i="10"/>
  <c r="F50" i="10"/>
  <c r="G50" i="10"/>
  <c r="F49" i="10"/>
  <c r="F42" i="10"/>
  <c r="G42" i="10"/>
  <c r="F37" i="10"/>
  <c r="G37" i="10"/>
  <c r="G38" i="10" s="1"/>
  <c r="H53" i="10"/>
  <c r="H51" i="10"/>
  <c r="I51" i="10"/>
  <c r="I53" i="10"/>
  <c r="H52" i="10"/>
  <c r="I52" i="10"/>
  <c r="H50" i="10"/>
  <c r="I50" i="10"/>
  <c r="H49" i="10"/>
  <c r="I49" i="10"/>
  <c r="H42" i="10"/>
  <c r="H43" i="10" s="1"/>
  <c r="I42" i="10"/>
  <c r="I43" i="10" s="1"/>
  <c r="H37" i="10"/>
  <c r="H38" i="10" s="1"/>
  <c r="I37" i="10"/>
  <c r="J53" i="10"/>
  <c r="K53" i="10"/>
  <c r="J52" i="10"/>
  <c r="K52" i="10"/>
  <c r="J51" i="10"/>
  <c r="K51" i="10"/>
  <c r="J50" i="10"/>
  <c r="K50" i="10"/>
  <c r="J49" i="10"/>
  <c r="K49" i="10"/>
  <c r="J42" i="10"/>
  <c r="K42" i="10"/>
  <c r="K43" i="10" s="1"/>
  <c r="J37" i="10"/>
  <c r="J38" i="10" s="1"/>
  <c r="K37" i="10"/>
  <c r="K38" i="10" s="1"/>
  <c r="Q14" i="10"/>
  <c r="Q94" i="10"/>
  <c r="R99" i="10"/>
  <c r="Q99" i="10"/>
  <c r="R98" i="10"/>
  <c r="Q98" i="10"/>
  <c r="R97" i="10"/>
  <c r="Q97" i="10"/>
  <c r="R96" i="10"/>
  <c r="Q96" i="10"/>
  <c r="R95" i="10"/>
  <c r="Q95" i="10"/>
  <c r="R94" i="10"/>
  <c r="R93" i="10"/>
  <c r="Q93" i="10"/>
  <c r="R84" i="10"/>
  <c r="Q84" i="10"/>
  <c r="R83" i="10"/>
  <c r="Q83" i="10"/>
  <c r="R82" i="10"/>
  <c r="Q82" i="10"/>
  <c r="R81" i="10"/>
  <c r="Q81" i="10"/>
  <c r="R72" i="10"/>
  <c r="Q72" i="10"/>
  <c r="R70" i="10"/>
  <c r="Q70" i="10"/>
  <c r="R47" i="10"/>
  <c r="Q47" i="10"/>
  <c r="R46" i="10"/>
  <c r="Q46" i="10"/>
  <c r="R45" i="10"/>
  <c r="Q45" i="10"/>
  <c r="R41" i="10"/>
  <c r="Q41" i="10"/>
  <c r="R40" i="10"/>
  <c r="Q40" i="10"/>
  <c r="R39" i="10"/>
  <c r="Q39" i="10"/>
  <c r="R80" i="10"/>
  <c r="Q80" i="10"/>
  <c r="R69" i="10"/>
  <c r="Q69" i="10"/>
  <c r="R36" i="10"/>
  <c r="Q36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101" i="10"/>
  <c r="F103" i="10" s="1"/>
  <c r="F85" i="10"/>
  <c r="F87" i="10" s="1"/>
  <c r="F71" i="10"/>
  <c r="F48" i="10"/>
  <c r="F43" i="10"/>
  <c r="F38" i="10"/>
  <c r="F18" i="10"/>
  <c r="F15" i="10"/>
  <c r="J100" i="10"/>
  <c r="K100" i="10"/>
  <c r="L100" i="10"/>
  <c r="J92" i="10"/>
  <c r="K92" i="10"/>
  <c r="L92" i="10"/>
  <c r="K85" i="10"/>
  <c r="K87" i="10" s="1"/>
  <c r="J85" i="10"/>
  <c r="J87" i="10" s="1"/>
  <c r="I85" i="10"/>
  <c r="I87" i="10" s="1"/>
  <c r="H85" i="10"/>
  <c r="H87" i="10" s="1"/>
  <c r="G85" i="10"/>
  <c r="G87" i="10" s="1"/>
  <c r="O85" i="10"/>
  <c r="O87" i="10" s="1"/>
  <c r="N85" i="10"/>
  <c r="N87" i="10" s="1"/>
  <c r="M85" i="10"/>
  <c r="M87" i="10" s="1"/>
  <c r="L85" i="10"/>
  <c r="L87" i="10" s="1"/>
  <c r="L53" i="10"/>
  <c r="M53" i="10"/>
  <c r="L52" i="10"/>
  <c r="M52" i="10"/>
  <c r="L51" i="10"/>
  <c r="M51" i="10"/>
  <c r="L50" i="10"/>
  <c r="M50" i="10"/>
  <c r="L42" i="10"/>
  <c r="L43" i="10" s="1"/>
  <c r="M42" i="10"/>
  <c r="M43" i="10" s="1"/>
  <c r="L37" i="10"/>
  <c r="L38" i="10" s="1"/>
  <c r="M37" i="10"/>
  <c r="M38" i="10" s="1"/>
  <c r="M100" i="10"/>
  <c r="N100" i="10"/>
  <c r="O100" i="10"/>
  <c r="Q100" i="10" s="1"/>
  <c r="M92" i="10"/>
  <c r="N92" i="10"/>
  <c r="O92" i="10"/>
  <c r="Q92" i="10" s="1"/>
  <c r="E89" i="10"/>
  <c r="E90" i="10"/>
  <c r="E77" i="10"/>
  <c r="E78" i="10"/>
  <c r="L15" i="10"/>
  <c r="L25" i="10" s="1"/>
  <c r="I15" i="10"/>
  <c r="I25" i="10" s="1"/>
  <c r="H15" i="10"/>
  <c r="H25" i="10" s="1"/>
  <c r="G15" i="10"/>
  <c r="G25" i="10" s="1"/>
  <c r="E67" i="10"/>
  <c r="E34" i="10"/>
  <c r="E9" i="10"/>
  <c r="N71" i="10"/>
  <c r="M71" i="10"/>
  <c r="L71" i="10"/>
  <c r="K71" i="10"/>
  <c r="J71" i="10"/>
  <c r="I71" i="10"/>
  <c r="H71" i="10"/>
  <c r="G71" i="10"/>
  <c r="O71" i="10"/>
  <c r="O24" i="10"/>
  <c r="N24" i="10"/>
  <c r="M24" i="10"/>
  <c r="L24" i="10"/>
  <c r="K24" i="10"/>
  <c r="J24" i="10"/>
  <c r="I24" i="10"/>
  <c r="H24" i="10"/>
  <c r="E66" i="10"/>
  <c r="N53" i="10"/>
  <c r="O53" i="10"/>
  <c r="Q53" i="10" s="1"/>
  <c r="N52" i="10"/>
  <c r="O52" i="10"/>
  <c r="R52" i="10" s="1"/>
  <c r="N51" i="10"/>
  <c r="O51" i="10"/>
  <c r="N50" i="10"/>
  <c r="R50" i="10"/>
  <c r="N49" i="10"/>
  <c r="O49" i="10"/>
  <c r="R49" i="10" s="1"/>
  <c r="M48" i="10"/>
  <c r="L48" i="10"/>
  <c r="K48" i="10"/>
  <c r="J48" i="10"/>
  <c r="I48" i="10"/>
  <c r="H48" i="10"/>
  <c r="G48" i="10"/>
  <c r="N48" i="10"/>
  <c r="O48" i="10"/>
  <c r="J43" i="10"/>
  <c r="G43" i="10"/>
  <c r="N42" i="10"/>
  <c r="N43" i="10" s="1"/>
  <c r="O42" i="10"/>
  <c r="O43" i="10" s="1"/>
  <c r="R43" i="10" s="1"/>
  <c r="I38" i="10"/>
  <c r="N37" i="10"/>
  <c r="N38" i="10" s="1"/>
  <c r="O37" i="10"/>
  <c r="O38" i="10" s="1"/>
  <c r="R38" i="10" s="1"/>
  <c r="E33" i="10"/>
  <c r="E8" i="10"/>
  <c r="N18" i="10"/>
  <c r="M18" i="10"/>
  <c r="L18" i="10"/>
  <c r="K18" i="10"/>
  <c r="J18" i="10"/>
  <c r="I18" i="10"/>
  <c r="H18" i="10"/>
  <c r="G18" i="10"/>
  <c r="O18" i="10"/>
  <c r="R18" i="10" s="1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G101" i="10" l="1"/>
  <c r="G103" i="10" s="1"/>
  <c r="R48" i="10"/>
  <c r="Q50" i="10"/>
  <c r="R53" i="10"/>
  <c r="Q18" i="10"/>
  <c r="R51" i="10"/>
  <c r="R100" i="10"/>
  <c r="R92" i="10"/>
  <c r="N57" i="10"/>
  <c r="Q38" i="10"/>
  <c r="Q85" i="10"/>
  <c r="K101" i="10"/>
  <c r="K103" i="10" s="1"/>
  <c r="Q43" i="10"/>
  <c r="R85" i="10"/>
  <c r="Q51" i="10"/>
  <c r="Q48" i="10"/>
  <c r="Q37" i="10"/>
  <c r="R37" i="10"/>
  <c r="Q42" i="10"/>
  <c r="Q52" i="10"/>
  <c r="Q71" i="10"/>
  <c r="R42" i="10"/>
  <c r="R71" i="10"/>
  <c r="F54" i="10"/>
  <c r="G54" i="10"/>
  <c r="G55" i="10" s="1"/>
  <c r="G57" i="10" s="1"/>
  <c r="Q49" i="10"/>
  <c r="I54" i="10"/>
  <c r="I55" i="10" s="1"/>
  <c r="I57" i="10" s="1"/>
  <c r="H54" i="10"/>
  <c r="H55" i="10" s="1"/>
  <c r="H57" i="10" s="1"/>
  <c r="J54" i="10"/>
  <c r="J55" i="10" s="1"/>
  <c r="J57" i="10" s="1"/>
  <c r="K54" i="10"/>
  <c r="J101" i="10"/>
  <c r="J103" i="10" s="1"/>
  <c r="F44" i="10"/>
  <c r="F19" i="10"/>
  <c r="F25" i="10"/>
  <c r="L101" i="10"/>
  <c r="L103" i="10" s="1"/>
  <c r="N101" i="10"/>
  <c r="N103" i="10" s="1"/>
  <c r="M101" i="10"/>
  <c r="M103" i="10" s="1"/>
  <c r="L54" i="10"/>
  <c r="L55" i="10" s="1"/>
  <c r="L57" i="10" s="1"/>
  <c r="M54" i="10"/>
  <c r="M55" i="10" s="1"/>
  <c r="M57" i="10" s="1"/>
  <c r="O101" i="10"/>
  <c r="C87" i="10" a="1"/>
  <c r="C87" i="10" s="1"/>
  <c r="O15" i="10"/>
  <c r="N54" i="10"/>
  <c r="N55" i="10" s="1"/>
  <c r="M44" i="10"/>
  <c r="I44" i="10"/>
  <c r="O54" i="10"/>
  <c r="G44" i="10"/>
  <c r="K55" i="10"/>
  <c r="K57" i="10" s="1"/>
  <c r="H44" i="10"/>
  <c r="J44" i="10"/>
  <c r="K44" i="10"/>
  <c r="L44" i="10"/>
  <c r="O44" i="10"/>
  <c r="R44" i="10" s="1"/>
  <c r="N44" i="10"/>
  <c r="G19" i="10"/>
  <c r="G22" i="10" s="1"/>
  <c r="H19" i="10"/>
  <c r="H22" i="10" s="1"/>
  <c r="J19" i="10"/>
  <c r="J22" i="10" s="1"/>
  <c r="L19" i="10"/>
  <c r="L22" i="10" s="1"/>
  <c r="I19" i="10"/>
  <c r="I22" i="10" s="1"/>
  <c r="K19" i="10"/>
  <c r="K22" i="10" s="1"/>
  <c r="K31" i="10" s="1"/>
  <c r="M19" i="10"/>
  <c r="M22" i="10" s="1"/>
  <c r="N19" i="10"/>
  <c r="N22" i="10" s="1"/>
  <c r="A2" i="4"/>
  <c r="D4" i="10"/>
  <c r="A2" i="1"/>
  <c r="A3" i="1"/>
  <c r="A1" i="3"/>
  <c r="O25" i="10" l="1"/>
  <c r="R15" i="10"/>
  <c r="O55" i="10"/>
  <c r="R54" i="10"/>
  <c r="O103" i="10"/>
  <c r="R101" i="10"/>
  <c r="Q101" i="10"/>
  <c r="Q44" i="10"/>
  <c r="Q54" i="10"/>
  <c r="Q15" i="10"/>
  <c r="F55" i="10"/>
  <c r="F64" i="10" s="1"/>
  <c r="F22" i="10"/>
  <c r="C103" i="10" a="1"/>
  <c r="C103" i="10" s="1"/>
  <c r="O19" i="10"/>
  <c r="R19" i="10" s="1"/>
  <c r="H64" i="10"/>
  <c r="G64" i="10"/>
  <c r="I64" i="10"/>
  <c r="M64" i="10"/>
  <c r="L64" i="10"/>
  <c r="K64" i="10"/>
  <c r="J64" i="10"/>
  <c r="N64" i="10"/>
  <c r="I31" i="10"/>
  <c r="I26" i="10"/>
  <c r="N31" i="10"/>
  <c r="N26" i="10"/>
  <c r="L31" i="10"/>
  <c r="L26" i="10"/>
  <c r="J31" i="10"/>
  <c r="J26" i="10"/>
  <c r="M31" i="10"/>
  <c r="M26" i="10"/>
  <c r="H31" i="10"/>
  <c r="H26" i="10"/>
  <c r="G31" i="10"/>
  <c r="K26" i="10"/>
  <c r="A1" i="1"/>
  <c r="B2" i="11" l="1"/>
  <c r="Q19" i="10"/>
  <c r="Q55" i="10"/>
  <c r="O64" i="10"/>
  <c r="F57" i="10"/>
  <c r="R55" i="10"/>
  <c r="O57" i="10"/>
  <c r="F31" i="10"/>
  <c r="F26" i="10"/>
  <c r="G26" i="10"/>
  <c r="O22" i="10"/>
  <c r="C64" i="10" a="1"/>
  <c r="C64" i="10" s="1"/>
  <c r="O26" i="10" l="1"/>
  <c r="R22" i="10"/>
  <c r="Q22" i="10"/>
  <c r="O31" i="10"/>
  <c r="C31" i="10" s="1" a="1"/>
  <c r="C31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<sst xmlns="http://schemas.openxmlformats.org/spreadsheetml/2006/main" count="177" uniqueCount="121">
  <si>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</si>
  <si>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</si>
  <si>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</si>
  <si>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</si>
  <si>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</si>
  <si>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</si>
  <si>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</si>
  <si>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</si>
  <si>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</si>
  <si>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</si>
  <si>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</si>
  <si>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</si>
  <si>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</si>
  <si>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</si>
  <si>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</si>
  <si>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</si>
  <si>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</si>
  <si>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</si>
  <si>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</si>
  <si>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</si>
  <si>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</si>
  <si>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</si>
  <si>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</si>
  <si>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</si>
  <si>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</si>
  <si>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</si>
  <si>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</si>
  <si>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</si>
  <si>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</si>
  <si>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</si>
  <si>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</si>
  <si>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</si>
  <si>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</si>
  <si>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</si>
  <si>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</si>
  <si>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</si>
  <si>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</si>
  <si>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</si>
  <si>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</si>
  <si>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</si>
  <si>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</si>
  <si>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</si>
  <si>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</si>
  <si>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</si>
  <si>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</si>
  <si>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</si>
  <si>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</si>
  <si>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</si>
  <si>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</si>
  <si>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</si>
  <si>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</si>
  <si>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</si>
  <si>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</si>
  <si>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</si>
  <si>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</si>
  <si>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</si>
  <si>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</si>
  <si>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</si>
  <si>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</si>
  <si>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</si>
  <si>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</si>
  <si>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</si>
  <si>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</si>
  <si>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</si>
  <si>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</si>
  <si>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</si>
  <si>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</si>
  <si>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</si>
  <si>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</si>
  <si>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</si>
  <si>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</si>
  <si>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</si>
  <si>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</si>
  <si>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</si>
  <si>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</si>
  <si>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</si>
  <si>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</si>
  <si>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</si>
  <si>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Personnel expenses</t>
  </si>
  <si>
    <t>Changes in inventory</t>
  </si>
  <si>
    <t>Raw materials used</t>
  </si>
  <si>
    <t>Transportation</t>
  </si>
  <si>
    <t>External services</t>
  </si>
  <si>
    <t>Commodity purchases (third party)</t>
  </si>
  <si>
    <t>Government royalties</t>
  </si>
  <si>
    <t>D&amp;A</t>
  </si>
  <si>
    <t>Total expenses</t>
  </si>
  <si>
    <t>Total revenues</t>
  </si>
  <si>
    <t>Copper</t>
  </si>
  <si>
    <t>Mining of copper, uranium, gold, zinc, molybdenum and silver</t>
  </si>
  <si>
    <t>Mining of iron ore</t>
  </si>
  <si>
    <t>Mining of steelmaking coal and energy coal</t>
  </si>
  <si>
    <t>Notes</t>
  </si>
  <si>
    <t>Iron Ore</t>
  </si>
  <si>
    <t>Coal</t>
  </si>
  <si>
    <t>Unallocated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</si>
  <si>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</si>
  <si>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</si>
  <si>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</si>
  <si>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</si>
  <si>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</si>
  <si>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</si>
  <si>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</si>
  <si>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</si>
  <si>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</si>
  <si>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</si>
  <si>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Petroleum</t>
  </si>
  <si>
    <t>n/a</t>
  </si>
  <si>
    <t>Exploration, development and production of oil and gas</t>
  </si>
  <si>
    <t>FY15</t>
  </si>
  <si>
    <t>Jun 15</t>
  </si>
  <si>
    <t>CAGR</t>
  </si>
  <si>
    <t>FY15-24</t>
  </si>
  <si>
    <t>FY21-24</t>
  </si>
  <si>
    <t>Equity ratio</t>
  </si>
  <si>
    <t>2019: Proceeds from disinvestment (c.10bn)</t>
  </si>
  <si>
    <t>MCap</t>
  </si>
  <si>
    <t>Debt</t>
  </si>
  <si>
    <t>EV</t>
  </si>
  <si>
    <t>P/E</t>
  </si>
  <si>
    <t>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</si>
</sst>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8" formatCode="0.0%;\(0.0%\)"/>
    <numFmt numFmtId="170" formatCode="[$-409]d\-mmm\-yy;@"/>
    <numFmt numFmtId="172" formatCode="#,###.0\x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0" fontId="0" fillId="0" borderId="5" xfId="0" applyBorder="1"/>
    <xf numFmtId="168" fontId="6" fillId="0" borderId="6" xfId="1" applyNumberFormat="1" applyFont="1" applyBorder="1" applyAlignment="1">
      <alignment horizontal="right"/>
    </xf>
    <xf numFmtId="168" fontId="6" fillId="0" borderId="7" xfId="1" applyNumberFormat="1" applyFont="1" applyBorder="1" applyAlignment="1">
      <alignment horizontal="right"/>
    </xf>
    <xf numFmtId="0" fontId="0" fillId="0" borderId="8" xfId="0" applyBorder="1"/>
    <xf numFmtId="168" fontId="6" fillId="0" borderId="0" xfId="1" applyNumberFormat="1" applyFont="1" applyBorder="1" applyAlignment="1">
      <alignment horizontal="right"/>
    </xf>
    <xf numFmtId="168" fontId="6" fillId="0" borderId="9" xfId="1" applyNumberFormat="1" applyFont="1" applyBorder="1" applyAlignment="1">
      <alignment horizontal="right"/>
    </xf>
    <xf numFmtId="0" fontId="0" fillId="0" borderId="10" xfId="0" applyBorder="1"/>
    <xf numFmtId="168" fontId="6" fillId="0" borderId="2" xfId="1" applyNumberFormat="1" applyFont="1" applyBorder="1" applyAlignment="1">
      <alignment horizontal="right"/>
    </xf>
    <xf numFmtId="168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0" borderId="0" xfId="0" applyFont="1"/>
    <xf numFmtId="41" fontId="0" fillId="0" borderId="0" xfId="0" applyNumberFormat="1" applyFont="1"/>
    <xf numFmtId="0" fontId="0" fillId="0" borderId="0" xfId="0" applyFont="1" applyAlignment="1">
      <alignment horizontal="left" indent="1"/>
    </xf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41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8" fontId="7" fillId="0" borderId="0" xfId="1" applyNumberFormat="1" applyFont="1" applyBorder="1" applyAlignment="1">
      <alignment horizontal="right"/>
    </xf>
    <xf numFmtId="0" fontId="0" fillId="2" borderId="0" xfId="0" applyFont="1" applyFill="1"/>
    <xf numFmtId="168" fontId="0" fillId="0" borderId="0" xfId="0" applyNumberFormat="1"/>
    <xf numFmtId="170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72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B5" sqref="B5"/>
    </sheetView>
  </sheetViews>
  <sheetFormatPr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BHP Group Limited: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5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BHP Group Limited: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E13"/>
  <sheetViews>
    <sheetView showGridLines="0" workbookViewId="0">
      <selection activeCell="A2" sqref="A2"/>
    </sheetView>
  </sheetViews>
  <sheetFormatPr defaultRowHeight="12.75" x14ac:dyDescent="0.2"/>
  <cols>
    <col min="5" max="5" width="17.28515625" bestFit="1" customWidth="1"/>
  </cols>
  <sheetData>
    <row r="1" spans="1:5" x14ac:dyDescent="0.2">
      <c r="A1" s="5" t="str">
        <f ca="1">MID(CELL("filename",A1),FIND("]",CELL("filename",A1))+1,256)</f>
        <v>Input</v>
      </c>
    </row>
    <row r="2" spans="1:5" x14ac:dyDescent="0.2">
      <c r="A2" s="6" t="str">
        <f>Cover!$A$2</f>
        <v>Indicative valuation of BHP Group Limited: Public information</v>
      </c>
    </row>
    <row r="3" spans="1:5" x14ac:dyDescent="0.2">
      <c r="A3" s="6" t="str">
        <f>Cover!$A$3</f>
        <v>Educational purposes only, no financial advice</v>
      </c>
    </row>
    <row r="7" spans="1:5" x14ac:dyDescent="0.2">
      <c r="B7" t="s">
        <v>16</v>
      </c>
      <c r="E7" s="11" t="s">
        <v>40</v>
      </c>
    </row>
    <row r="8" spans="1:5" x14ac:dyDescent="0.2">
      <c r="B8" t="s">
        <v>17</v>
      </c>
      <c r="E8" s="11" t="s">
        <v>21</v>
      </c>
    </row>
    <row r="9" spans="1:5" x14ac:dyDescent="0.2">
      <c r="B9" t="s">
        <v>22</v>
      </c>
      <c r="E9" s="11" t="s">
        <v>23</v>
      </c>
    </row>
    <row r="10" spans="1:5" x14ac:dyDescent="0.2">
      <c r="B10" t="s">
        <v>24</v>
      </c>
      <c r="E10" s="11" t="s">
        <v>25</v>
      </c>
    </row>
    <row r="11" spans="1:5" x14ac:dyDescent="0.2">
      <c r="B11" t="s">
        <v>18</v>
      </c>
      <c r="E11" s="11" t="s">
        <v>21</v>
      </c>
    </row>
    <row r="12" spans="1:5" x14ac:dyDescent="0.2">
      <c r="B12" t="s">
        <v>20</v>
      </c>
      <c r="E12" s="12">
        <v>45473</v>
      </c>
    </row>
    <row r="13" spans="1:5" x14ac:dyDescent="0.2">
      <c r="B13" t="s">
        <v>77</v>
      </c>
      <c r="E13" s="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5287-6464-476C-B5E9-1C2B399B7557}">
  <sheetPr>
    <tabColor rgb="FF0070C0"/>
  </sheetPr>
  <dimension ref="A1:P704"/>
  <sheetViews>
    <sheetView showGridLines="0" workbookViewId="0">
      <selection activeCell="F13" sqref="F13"/>
    </sheetView>
  </sheetViews>
  <sheetFormatPr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7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Cover!$A$2</f>
        <v>Indicative valuation of BHP Group Limited: Public information</v>
      </c>
    </row>
    <row r="5" spans="2:16" x14ac:dyDescent="0.2">
      <c r="D5" s="6" t="str">
        <f>Cover!$A$3</f>
        <v>Educational purposes only, no financial advice</v>
      </c>
    </row>
    <row r="8" spans="2:16" x14ac:dyDescent="0.2">
      <c r="E8" s="5" t="str">
        <f>Input!$E$8</f>
        <v>BHP</v>
      </c>
      <c r="P8" s="9"/>
    </row>
    <row r="9" spans="2:16" x14ac:dyDescent="0.2">
      <c r="E9" s="10" t="str">
        <f>+Input!$E$13</f>
        <v>USDmn</v>
      </c>
      <c r="F9" s="41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ht="3" customHeight="1" x14ac:dyDescent="0.2"/>
    <row r="11" spans="2:16" x14ac:dyDescent="0.2">
      <c r="E11" s="5" t="s">
        <v>116</v>
      </c>
      <c r="F11" s="19">
        <v>122248</v>
      </c>
      <c r="G11" s="48"/>
      <c r="H11" s="48">
        <v>45750</v>
      </c>
      <c r="I11" s="18"/>
      <c r="J11" s="18"/>
      <c r="K11" s="18"/>
      <c r="L11" s="18"/>
      <c r="M11" s="18"/>
      <c r="N11" s="18"/>
      <c r="O11" s="18"/>
      <c r="P11" s="18"/>
    </row>
    <row r="12" spans="2:16" x14ac:dyDescent="0.2">
      <c r="E12" s="13" t="s">
        <v>50</v>
      </c>
      <c r="F12" s="18">
        <f>+Historical!O39</f>
        <v>12501</v>
      </c>
      <c r="G12" s="49"/>
      <c r="H12" s="49" t="s">
        <v>49</v>
      </c>
      <c r="I12" s="18"/>
      <c r="J12" s="18"/>
      <c r="K12" s="18"/>
      <c r="L12" s="18"/>
      <c r="M12" s="18"/>
      <c r="N12" s="18"/>
      <c r="O12" s="18"/>
      <c r="P12" s="18"/>
    </row>
    <row r="13" spans="2:16" x14ac:dyDescent="0.2">
      <c r="E13" s="13" t="s">
        <v>117</v>
      </c>
      <c r="F13" s="18">
        <f>+Historical!O50</f>
        <v>20718</v>
      </c>
      <c r="G13" s="49"/>
      <c r="H13" s="49" t="s">
        <v>49</v>
      </c>
      <c r="I13" s="18"/>
      <c r="J13" s="18"/>
      <c r="K13" s="18"/>
      <c r="L13" s="18"/>
      <c r="M13" s="18"/>
      <c r="N13" s="18"/>
      <c r="O13" s="18"/>
      <c r="P13" s="18"/>
    </row>
    <row r="14" spans="2:16" x14ac:dyDescent="0.2">
      <c r="E14" s="5" t="s">
        <v>118</v>
      </c>
      <c r="F14" s="19">
        <f>+F11-F12+F13</f>
        <v>130465</v>
      </c>
      <c r="G14" s="49"/>
      <c r="H14" s="49"/>
      <c r="I14" s="18"/>
      <c r="J14" s="18"/>
      <c r="K14" s="18"/>
      <c r="L14" s="18"/>
      <c r="M14" s="18"/>
      <c r="N14" s="18"/>
      <c r="O14" s="18"/>
      <c r="P14" s="18"/>
    </row>
    <row r="15" spans="2:16" x14ac:dyDescent="0.2"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2">
      <c r="E16" t="s">
        <v>119</v>
      </c>
      <c r="F16" s="50">
        <f>+$F$11/Historical!O22</f>
        <v>12.732840329132381</v>
      </c>
      <c r="G16" s="49"/>
      <c r="H16" s="49"/>
      <c r="I16" s="18"/>
      <c r="J16" s="18"/>
      <c r="K16" s="18"/>
      <c r="L16" s="18"/>
      <c r="M16" s="18"/>
      <c r="N16" s="18"/>
      <c r="O16" s="18"/>
      <c r="P16" s="18"/>
    </row>
    <row r="17" spans="5:16" x14ac:dyDescent="0.2">
      <c r="E17" t="s">
        <v>120</v>
      </c>
      <c r="F17" s="50">
        <f>F11/Historical!O48</f>
        <v>2.4887622149837134</v>
      </c>
      <c r="G17" s="49"/>
      <c r="H17" s="49"/>
      <c r="I17" s="18"/>
      <c r="J17" s="18"/>
      <c r="K17" s="18"/>
      <c r="L17" s="18"/>
      <c r="M17" s="18"/>
      <c r="N17" s="18"/>
      <c r="O17" s="18"/>
      <c r="P17" s="18"/>
    </row>
    <row r="18" spans="5:16" x14ac:dyDescent="0.2"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5:16" x14ac:dyDescent="0.2"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5:16" x14ac:dyDescent="0.2"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5:16" x14ac:dyDescent="0.2"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5:16" x14ac:dyDescent="0.2"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5:16" x14ac:dyDescent="0.2"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5:16" x14ac:dyDescent="0.2"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5:16" x14ac:dyDescent="0.2"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5:16" x14ac:dyDescent="0.2"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5:16" x14ac:dyDescent="0.2"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5:16" x14ac:dyDescent="0.2"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5:16" x14ac:dyDescent="0.2"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5:16" x14ac:dyDescent="0.2"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5:16" x14ac:dyDescent="0.2"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5:16" x14ac:dyDescent="0.2"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6:16" x14ac:dyDescent="0.2"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6:16" x14ac:dyDescent="0.2"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6:16" x14ac:dyDescent="0.2"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6:16" x14ac:dyDescent="0.2"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6:16" x14ac:dyDescent="0.2"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6:16" x14ac:dyDescent="0.2"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6:16" x14ac:dyDescent="0.2"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6:16" x14ac:dyDescent="0.2"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6:16" x14ac:dyDescent="0.2"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6:16" x14ac:dyDescent="0.2"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6:16" x14ac:dyDescent="0.2"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6:16" x14ac:dyDescent="0.2"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6:16" x14ac:dyDescent="0.2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6:16" x14ac:dyDescent="0.2"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6:16" x14ac:dyDescent="0.2"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6:16" x14ac:dyDescent="0.2"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6:16" x14ac:dyDescent="0.2"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6:16" x14ac:dyDescent="0.2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6:16" x14ac:dyDescent="0.2"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6:16" x14ac:dyDescent="0.2"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6:16" x14ac:dyDescent="0.2"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6:16" x14ac:dyDescent="0.2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6:16" x14ac:dyDescent="0.2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6:16" x14ac:dyDescent="0.2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6:16" x14ac:dyDescent="0.2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6:16" x14ac:dyDescent="0.2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6:16" x14ac:dyDescent="0.2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6:16" x14ac:dyDescent="0.2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6:16" x14ac:dyDescent="0.2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6:16" x14ac:dyDescent="0.2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6:16" x14ac:dyDescent="0.2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6:16" x14ac:dyDescent="0.2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6:16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6:16" x14ac:dyDescent="0.2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6:16" x14ac:dyDescent="0.2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6:16" x14ac:dyDescent="0.2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6:16" x14ac:dyDescent="0.2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6:16" x14ac:dyDescent="0.2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6:16" x14ac:dyDescent="0.2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6:16" x14ac:dyDescent="0.2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6:16" x14ac:dyDescent="0.2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6:16" x14ac:dyDescent="0.2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6:16" x14ac:dyDescent="0.2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6:16" x14ac:dyDescent="0.2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6:16" x14ac:dyDescent="0.2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6:16" x14ac:dyDescent="0.2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6:16" x14ac:dyDescent="0.2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6:16" x14ac:dyDescent="0.2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6:16" x14ac:dyDescent="0.2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6:16" x14ac:dyDescent="0.2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6:16" x14ac:dyDescent="0.2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6:16" x14ac:dyDescent="0.2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6:16" x14ac:dyDescent="0.2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6:16" x14ac:dyDescent="0.2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6:16" x14ac:dyDescent="0.2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6:16" x14ac:dyDescent="0.2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6:16" x14ac:dyDescent="0.2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6:16" x14ac:dyDescent="0.2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6:16" x14ac:dyDescent="0.2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6:16" x14ac:dyDescent="0.2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6:16" x14ac:dyDescent="0.2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6:16" x14ac:dyDescent="0.2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6:16" x14ac:dyDescent="0.2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6:16" x14ac:dyDescent="0.2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6:16" x14ac:dyDescent="0.2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6:16" x14ac:dyDescent="0.2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6:16" x14ac:dyDescent="0.2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6:16" x14ac:dyDescent="0.2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6:16" x14ac:dyDescent="0.2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6:16" x14ac:dyDescent="0.2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6:16" x14ac:dyDescent="0.2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6:16" x14ac:dyDescent="0.2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6:16" x14ac:dyDescent="0.2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6:16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6:16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6:16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6:16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6:16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6:16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6:16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6:16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6:16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6:16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6:16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6:16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6:16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6:16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6:16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6:16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6:16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6:16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6:16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6:16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6:16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6:16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6:16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6:16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6:16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6:16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6:16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6:16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6:16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6:16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6:16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6:16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6:16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6:16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6:16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6:16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6:16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6:16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6:16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6:16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6:16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6:16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6:16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6:16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6:16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6:16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6:16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6:16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6:16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6:16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6:16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6:16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6:16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6:16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6:16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6:16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6:16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6:16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6:16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6:16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6:16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6:16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6:16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6:16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6:16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6:16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6:16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6:16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6:16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6:16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6:16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6:16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6:16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6:16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6:16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6:16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6:16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6:16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6:16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6:16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6:16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6:16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6:16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6:16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6:16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6:16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6:16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6:16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6:16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6:16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6:16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6:16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6:16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6:16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6:16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6:16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6:16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6:16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6:16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6:16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6:16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6:16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6:16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6:16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6:16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6:16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6:16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6:16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6:16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6:16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6:16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6:16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6:16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6:16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6:16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6:16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6:16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6:16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6:16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6:16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6:16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6:16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6:16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6:16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6:16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6:16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6:16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6:16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6:16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6:16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6:16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6:16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6:16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6:16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6:16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6:16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6:16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6:16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6:16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6:16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6:16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6:16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6:16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6:16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6:16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6:16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6:16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6:16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6:16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6:16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6:16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6:16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6:16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6:16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6:16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6:16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6:16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6:16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6:16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6:16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6:16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6:16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6:16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6:16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6:16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6:16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6:16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6:16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6:16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6:16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6:16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6:16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6:16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6:16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6:16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6:16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6:16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6:16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6:16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6:16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6:16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6:16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6:16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6:16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6:16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6:16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6:16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6:16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6:16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6:16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6:16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6:16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6:16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6:16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6:16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6:16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6:16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6:16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6:16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6:16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6:16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6:16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6:16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6:16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6:16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6:16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6:16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6:16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6:16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6:16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6:16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6:16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6:16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6:16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6:16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6:16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6:16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6:16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6:16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6:16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6:16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6:16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6:16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6:16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6:16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6:16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6:16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6:16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6:16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6:16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6:16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6:16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6:16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6:16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6:16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6:16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6:16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6:16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6:16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6:16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6:16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6:16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6:16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6:16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6:16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6:16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6:16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6:16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6:16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6:16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6:16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6:16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6:16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6:16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6:16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6:16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6:16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6:16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6:16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6:16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6:16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6:16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6:16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6:16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6:16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6:16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6:16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6:16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6:16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6:16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6:16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6:16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6:16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6:16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6:16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6:16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6:16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6:16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6:16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6:16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6:16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6:16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6:16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6:16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6:16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6:16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6:16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6:16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6:16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6:16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6:16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6:16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6:16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6:16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6:16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6:16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6:16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6:16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6:16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6:16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6:16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6:16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6:16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6:16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6:16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6:16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6:16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6:16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6:16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6:16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6:16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6:16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6:16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6:16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6:16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6:16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6:16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6:16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6:16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6:16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6:16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6:16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6:16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6:16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6:16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6:16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6:16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6:16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6:16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6:16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6:16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6:16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6:16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6:16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6:16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6:16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6:16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6:16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6:16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6:16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6:16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6:16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6:16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6:16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6:16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6:16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6:16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6:16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6:16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6:16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6:16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6:16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6:16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6:16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6:16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6:16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6:16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6:16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6:16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6:16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6:16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6:16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6:16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6:16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6:16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6:16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6:16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6:16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6:16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6:16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6:16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6:16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6:16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6:16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6:16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6:16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6:16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6:16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6:16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6:16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6:16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6:16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6:16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6:16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6:16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6:16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6:16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6:16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6:16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6:16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6:16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6:16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6:16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6:16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6:16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6:16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6:16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6:16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6:16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6:16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6:16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6:16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6:16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6:16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6:16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6:16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6:16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6:16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6:16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6:16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6:16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6:16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6:16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6:16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6:16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6:16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6:16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6:16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6:16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6:16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6:16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6:16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6:16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6:16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6:16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6:16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6:16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6:16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6:16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6:16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6:16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6:16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6:16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6:16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6:16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6:16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6:16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6:16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6:16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6:16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6:16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6:16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6:16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6:16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6:16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6:16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6:16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6:16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6:16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6:16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6:16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6:16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6:16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6:16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6:16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6:16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6:16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6:16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6:16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6:16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6:16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6:16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6:16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6:16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6:16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6:16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6:16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6:16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6:16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6:16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6:16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6:16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6:16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6:16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6:16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6:16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6:16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6:16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6:16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6:16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6:16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6:16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6:16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6:16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6:16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6:16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6:16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6:16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6:16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6:16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6:16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6:16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6:16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6:16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6:16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6:16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6:16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6:16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6:16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6:16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6:16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6:16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6:16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6:16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6:16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6:16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6:16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6:16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6:16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6:16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6:16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6:16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6:16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6:16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6:16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6:16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6:16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6:16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6:16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6:16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6:16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6:16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6:16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6:16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6:16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6:16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6:16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6:16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6:16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6:16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6:16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6:16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6:16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6:16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6:16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6:16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6:16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6:16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6:16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6:16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6:16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6:16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6:16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6:16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6:16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6:16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6:16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6:16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6:16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6:16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6:16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6:16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6:16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6:16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6:16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6:16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6:16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6:16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6:16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6:16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6:16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6:16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6:16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6:16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6:16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6:16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6:16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6:16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6:16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6:16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6:16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6:16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6:16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6:16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6:16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6:16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6:16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6:16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6:16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6:16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6:16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6:16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6:16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6:16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6:16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6:16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6:16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6:16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6:16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6:16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6:16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6:16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6:16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6:16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6:16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6:16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6:16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6:16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</sheetData>
  <conditionalFormatting sqref="B2">
    <cfRule type="cellIs" dxfId="5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0"/>
  <sheetViews>
    <sheetView showGridLines="0" tabSelected="1" zoomScale="130" zoomScaleNormal="130" workbookViewId="0">
      <selection activeCell="H5" sqref="H5"/>
    </sheetView>
  </sheetViews>
  <sheetFormatPr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20" max="20" width="52.85546875" style="39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7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BHP Group Limited: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P&amp;L"</f>
        <v>BHP P&amp;L</v>
      </c>
      <c r="O8" s="9"/>
      <c r="Q8" s="44" t="s">
        <v>111</v>
      </c>
      <c r="R8" s="43"/>
      <c r="T8" s="40" t="s">
        <v>92</v>
      </c>
    </row>
    <row r="9" spans="2:20" x14ac:dyDescent="0.2">
      <c r="E9" s="10" t="str">
        <f>+Input!$E$13</f>
        <v>USDmn</v>
      </c>
      <c r="F9" s="41" t="s">
        <v>109</v>
      </c>
      <c r="G9" s="41" t="s">
        <v>104</v>
      </c>
      <c r="H9" s="41" t="s">
        <v>103</v>
      </c>
      <c r="I9" s="41" t="s">
        <v>102</v>
      </c>
      <c r="J9" s="41" t="s">
        <v>101</v>
      </c>
      <c r="K9" s="41" t="s">
        <v>100</v>
      </c>
      <c r="L9" s="41" t="s">
        <v>99</v>
      </c>
      <c r="M9" s="41" t="s">
        <v>98</v>
      </c>
      <c r="N9" s="41" t="s">
        <v>97</v>
      </c>
      <c r="O9" s="41" t="s">
        <v>96</v>
      </c>
      <c r="Q9" s="46" t="s">
        <v>112</v>
      </c>
      <c r="R9" s="43" t="s">
        <v>113</v>
      </c>
    </row>
    <row r="10" spans="2:20" ht="3" customHeight="1" x14ac:dyDescent="0.2"/>
    <row r="11" spans="2:20" x14ac:dyDescent="0.2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Q11" s="30">
        <f>IFERROR((O11/F11)^(1/9)-1,"n/a")</f>
        <v>2.4823669769025392E-2</v>
      </c>
      <c r="R11" s="30">
        <f>IFERROR((O11/L11)^(1/3)-1,"n/a")</f>
        <v>-2.9115574512328934E-2</v>
      </c>
    </row>
    <row r="12" spans="2:20" x14ac:dyDescent="0.2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Q12" s="30">
        <f t="shared" ref="Q12:Q22" si="0">IFERROR((O12/F12)^(1/9)-1,"n/a")</f>
        <v>0.11156718365981</v>
      </c>
      <c r="R12" s="30">
        <f t="shared" ref="R12:R22" si="1">IFERROR((O12/L12)^(1/3)-1,"n/a")</f>
        <v>0.36074783033775892</v>
      </c>
    </row>
    <row r="13" spans="2:20" x14ac:dyDescent="0.2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Q13" s="30">
        <f t="shared" si="0"/>
        <v>-7.8301780801481868E-4</v>
      </c>
      <c r="R13" s="30">
        <f t="shared" si="1"/>
        <v>2.1282952880393058E-2</v>
      </c>
    </row>
    <row r="14" spans="2:20" x14ac:dyDescent="0.2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Q14" s="30">
        <f>IFERROR((O14/F14)^(1/9)-1,"n/a")</f>
        <v>-2.1916832490021325</v>
      </c>
      <c r="R14" s="30">
        <f t="shared" si="1"/>
        <v>0.42338640502534819</v>
      </c>
    </row>
    <row r="15" spans="2:20" x14ac:dyDescent="0.2">
      <c r="E15" s="5" t="s">
        <v>34</v>
      </c>
      <c r="F15" s="19">
        <f>SUM(F11:F14)</f>
        <v>8670</v>
      </c>
      <c r="G15" s="19">
        <f>SUM(G11:G14)</f>
        <v>2804</v>
      </c>
      <c r="H15" s="19">
        <f>SUM(H11:H14)</f>
        <v>12554</v>
      </c>
      <c r="I15" s="19">
        <f>SUM(I11:I14)</f>
        <v>15996</v>
      </c>
      <c r="J15" s="19">
        <f>SUM(J11:J14)</f>
        <v>16113</v>
      </c>
      <c r="K15" s="19">
        <f>SUM(K11:K14)</f>
        <v>14421</v>
      </c>
      <c r="L15" s="19">
        <f>SUM(L11:L14)</f>
        <v>25906</v>
      </c>
      <c r="M15" s="19">
        <f>SUM(M11:M14)</f>
        <v>34106</v>
      </c>
      <c r="N15" s="19">
        <f>SUM(N11:N14)</f>
        <v>22932</v>
      </c>
      <c r="O15" s="19">
        <f>SUM(O11:O14)</f>
        <v>17537</v>
      </c>
      <c r="Q15" s="45">
        <f t="shared" si="0"/>
        <v>8.1416300690199561E-2</v>
      </c>
      <c r="R15" s="45">
        <f t="shared" si="1"/>
        <v>-0.12195188761232589</v>
      </c>
    </row>
    <row r="16" spans="2:20" x14ac:dyDescent="0.2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Q16" s="30">
        <f t="shared" si="0"/>
        <v>0.13521136582617932</v>
      </c>
      <c r="R16" s="30">
        <f t="shared" si="1"/>
        <v>0.16840343073730279</v>
      </c>
    </row>
    <row r="17" spans="3:18" x14ac:dyDescent="0.2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Q17" s="30">
        <f t="shared" si="0"/>
        <v>0.26091218130279215</v>
      </c>
      <c r="R17" s="30">
        <f t="shared" si="1"/>
        <v>1.1335743996040399</v>
      </c>
    </row>
    <row r="18" spans="3:18" x14ac:dyDescent="0.2">
      <c r="E18" s="14" t="s">
        <v>33</v>
      </c>
      <c r="F18" s="22">
        <f t="shared" ref="F18" si="2">SUM(F16:F17)</f>
        <v>-614</v>
      </c>
      <c r="G18" s="22">
        <f t="shared" ref="G18:N18" si="3">SUM(G16:G17)</f>
        <v>-1013</v>
      </c>
      <c r="H18" s="22">
        <f t="shared" si="3"/>
        <v>-1417</v>
      </c>
      <c r="I18" s="22">
        <f t="shared" si="3"/>
        <v>-1245</v>
      </c>
      <c r="J18" s="22">
        <f t="shared" si="3"/>
        <v>-1064</v>
      </c>
      <c r="K18" s="22">
        <f t="shared" si="3"/>
        <v>-911</v>
      </c>
      <c r="L18" s="22">
        <f t="shared" si="3"/>
        <v>-1305</v>
      </c>
      <c r="M18" s="22">
        <f t="shared" si="3"/>
        <v>-969</v>
      </c>
      <c r="N18" s="22">
        <f t="shared" si="3"/>
        <v>-1531</v>
      </c>
      <c r="O18" s="22">
        <f>SUM(O16:O17)</f>
        <v>-1489</v>
      </c>
      <c r="Q18" s="45">
        <f t="shared" si="0"/>
        <v>0.10343656088580055</v>
      </c>
      <c r="R18" s="45">
        <f t="shared" si="1"/>
        <v>4.4948119363673822E-2</v>
      </c>
    </row>
    <row r="19" spans="3:18" x14ac:dyDescent="0.2">
      <c r="E19" s="15" t="s">
        <v>35</v>
      </c>
      <c r="F19" s="19">
        <f t="shared" ref="F19" si="4">+F15+F18</f>
        <v>8056</v>
      </c>
      <c r="G19" s="19">
        <f t="shared" ref="G19:N19" si="5">+G15+G18</f>
        <v>1791</v>
      </c>
      <c r="H19" s="19">
        <f t="shared" si="5"/>
        <v>11137</v>
      </c>
      <c r="I19" s="19">
        <f t="shared" si="5"/>
        <v>14751</v>
      </c>
      <c r="J19" s="19">
        <f t="shared" si="5"/>
        <v>15049</v>
      </c>
      <c r="K19" s="19">
        <f t="shared" si="5"/>
        <v>13510</v>
      </c>
      <c r="L19" s="19">
        <f t="shared" si="5"/>
        <v>24601</v>
      </c>
      <c r="M19" s="19">
        <f t="shared" si="5"/>
        <v>33137</v>
      </c>
      <c r="N19" s="19">
        <f t="shared" si="5"/>
        <v>21401</v>
      </c>
      <c r="O19" s="19">
        <f>+O15+O18</f>
        <v>16048</v>
      </c>
      <c r="Q19" s="45">
        <f t="shared" si="0"/>
        <v>7.9582205501450343E-2</v>
      </c>
      <c r="R19" s="45">
        <f t="shared" si="1"/>
        <v>-0.13272654979285703</v>
      </c>
    </row>
    <row r="20" spans="3:18" x14ac:dyDescent="0.2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Q20" s="30">
        <f t="shared" si="0"/>
        <v>6.4732667019081092E-2</v>
      </c>
      <c r="R20" s="30">
        <f t="shared" si="1"/>
        <v>-0.16690549943429955</v>
      </c>
    </row>
    <row r="21" spans="3:18" x14ac:dyDescent="0.2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Q21" s="30">
        <f t="shared" si="0"/>
        <v>-1</v>
      </c>
      <c r="R21" s="30" t="str">
        <f t="shared" si="1"/>
        <v>n/a</v>
      </c>
    </row>
    <row r="22" spans="3:18" ht="13.5" thickBot="1" x14ac:dyDescent="0.25">
      <c r="E22" s="5" t="s">
        <v>37</v>
      </c>
      <c r="F22" s="23">
        <f t="shared" ref="F22:G22" si="6">SUM(F19:F21)</f>
        <v>2878</v>
      </c>
      <c r="G22" s="23">
        <f t="shared" si="6"/>
        <v>-6207</v>
      </c>
      <c r="H22" s="23">
        <f t="shared" ref="H22" si="7">SUM(H19:H21)</f>
        <v>6222</v>
      </c>
      <c r="I22" s="23">
        <f t="shared" ref="I22" si="8">SUM(I19:I21)</f>
        <v>4823</v>
      </c>
      <c r="J22" s="23">
        <f t="shared" ref="J22" si="9">SUM(J19:J21)</f>
        <v>9185</v>
      </c>
      <c r="K22" s="23">
        <f t="shared" ref="K22:O22" si="10">SUM(K19:K21)</f>
        <v>8736</v>
      </c>
      <c r="L22" s="23">
        <f t="shared" si="10"/>
        <v>13451</v>
      </c>
      <c r="M22" s="23">
        <f t="shared" si="10"/>
        <v>22400</v>
      </c>
      <c r="N22" s="23">
        <f t="shared" si="10"/>
        <v>14324</v>
      </c>
      <c r="O22" s="23">
        <f t="shared" si="10"/>
        <v>9601</v>
      </c>
      <c r="Q22" s="45">
        <f t="shared" si="0"/>
        <v>0.14323677638903964</v>
      </c>
      <c r="R22" s="45">
        <f t="shared" si="1"/>
        <v>-0.10630917563829623</v>
      </c>
    </row>
    <row r="23" spans="3:18" ht="3" customHeight="1" x14ac:dyDescent="0.2"/>
    <row r="24" spans="3:18" x14ac:dyDescent="0.2">
      <c r="E24" s="26" t="s">
        <v>72</v>
      </c>
      <c r="F24" s="27" t="str">
        <f>IFERROR(+F11/E11-1,"n/a")</f>
        <v>n/a</v>
      </c>
      <c r="G24" s="27">
        <f>IFERROR(+G11/F11-1,"n/a")</f>
        <v>-0.36000089613764674</v>
      </c>
      <c r="H24" s="27">
        <f>IFERROR(+H11/G11-1,"n/a")</f>
        <v>0.26492106276472849</v>
      </c>
      <c r="I24" s="27">
        <f>IFERROR(+I11/H11-1,"n/a")</f>
        <v>0.20763802407638021</v>
      </c>
      <c r="J24" s="27">
        <f>IFERROR(+J11/I11-1,"n/a")</f>
        <v>1.4895274760529764E-2</v>
      </c>
      <c r="K24" s="27">
        <f>IFERROR(+K11/J11-1,"n/a")</f>
        <v>-3.0640354046242768E-2</v>
      </c>
      <c r="L24" s="27">
        <f>IFERROR(+L11/K11-1,"n/a")</f>
        <v>0.41662202138314974</v>
      </c>
      <c r="M24" s="27">
        <f>IFERROR(+M11/L11-1,"n/a")</f>
        <v>7.0391502375980464E-2</v>
      </c>
      <c r="N24" s="27">
        <f>IFERROR(+N11/M11-1,"n/a")</f>
        <v>-0.17329257427263511</v>
      </c>
      <c r="O24" s="28">
        <f>IFERROR(+O11/N11-1,"n/a")</f>
        <v>3.4208521470910691E-2</v>
      </c>
    </row>
    <row r="25" spans="3:18" x14ac:dyDescent="0.2">
      <c r="E25" s="29" t="s">
        <v>73</v>
      </c>
      <c r="F25" s="30">
        <f>IFERROR(+F15/F11,"n/a")</f>
        <v>0.19423783493144547</v>
      </c>
      <c r="G25" s="30">
        <f>IFERROR(+G15/G11,"n/a")</f>
        <v>9.8155214058179022E-2</v>
      </c>
      <c r="H25" s="30">
        <f>IFERROR(+H15/H11,"n/a")</f>
        <v>0.34741939947419398</v>
      </c>
      <c r="I25" s="30">
        <f>IFERROR(+I15/I11,"n/a")</f>
        <v>0.36656125395297678</v>
      </c>
      <c r="J25" s="30">
        <f>IFERROR(+J15/J11,"n/a")</f>
        <v>0.36382315751445088</v>
      </c>
      <c r="K25" s="30">
        <f>IFERROR(+K15/K11,"n/a")</f>
        <v>0.33591111318161704</v>
      </c>
      <c r="L25" s="30">
        <f>IFERROR(+L15/L11,"n/a")</f>
        <v>0.42596642386174915</v>
      </c>
      <c r="M25" s="30">
        <f>IFERROR(+M15/M11,"n/a")</f>
        <v>0.5239177854926419</v>
      </c>
      <c r="N25" s="30">
        <f>IFERROR(+N15/N11,"n/a")</f>
        <v>0.42611070851218019</v>
      </c>
      <c r="O25" s="31">
        <f>IFERROR(+O15/O11,"n/a")</f>
        <v>0.31508498329081175</v>
      </c>
      <c r="Q25" s="47"/>
    </row>
    <row r="26" spans="3:18" x14ac:dyDescent="0.2">
      <c r="E26" s="32" t="s">
        <v>74</v>
      </c>
      <c r="F26" s="33" t="str">
        <f t="shared" ref="F26" si="11">IFERROR(+F22/E22-1,"n/a")</f>
        <v>n/a</v>
      </c>
      <c r="G26" s="33">
        <f t="shared" ref="G26" si="12">IFERROR(+G22/F22-1,"n/a")</f>
        <v>-3.1567060458651843</v>
      </c>
      <c r="H26" s="33">
        <f t="shared" ref="H26:O26" si="13">IFERROR(+H22/G22-1,"n/a")</f>
        <v>-2.00241662638956</v>
      </c>
      <c r="I26" s="33">
        <f t="shared" si="13"/>
        <v>-0.22484731597557051</v>
      </c>
      <c r="J26" s="33">
        <f t="shared" si="13"/>
        <v>0.90441633837860258</v>
      </c>
      <c r="K26" s="33">
        <f t="shared" si="13"/>
        <v>-4.8884050081654862E-2</v>
      </c>
      <c r="L26" s="33">
        <f t="shared" si="13"/>
        <v>0.53972069597069594</v>
      </c>
      <c r="M26" s="33">
        <f t="shared" si="13"/>
        <v>0.66530369489257302</v>
      </c>
      <c r="N26" s="33">
        <f t="shared" si="13"/>
        <v>-0.36053571428571429</v>
      </c>
      <c r="O26" s="34">
        <f t="shared" si="13"/>
        <v>-0.32972633342641722</v>
      </c>
    </row>
    <row r="27" spans="3:18" ht="3" customHeight="1" x14ac:dyDescent="0.2"/>
    <row r="28" spans="3:18" ht="10.5" customHeight="1" x14ac:dyDescent="0.2">
      <c r="E28" s="35" t="s">
        <v>75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3:18" x14ac:dyDescent="0.2"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2">
      <c r="E30" s="8" t="s">
        <v>39</v>
      </c>
      <c r="F30" s="21">
        <v>2878</v>
      </c>
      <c r="G30" s="21">
        <v>-6207</v>
      </c>
      <c r="H30" s="21">
        <v>6222</v>
      </c>
      <c r="I30" s="21">
        <v>4823</v>
      </c>
      <c r="J30" s="21">
        <v>9185</v>
      </c>
      <c r="K30" s="21">
        <v>8736</v>
      </c>
      <c r="L30" s="21">
        <v>13451</v>
      </c>
      <c r="M30" s="21">
        <v>22400</v>
      </c>
      <c r="N30" s="21">
        <v>14324</v>
      </c>
      <c r="O30" s="21">
        <v>9601</v>
      </c>
    </row>
    <row r="31" spans="3:18" x14ac:dyDescent="0.2">
      <c r="C31" s="17" t="b" cm="1">
        <f t="array" ref="C31">AND(G31:O31&lt;$B$1,G31:O31&gt;-$B$1)</f>
        <v>1</v>
      </c>
      <c r="E31" s="8" t="s">
        <v>38</v>
      </c>
      <c r="F31" s="21">
        <f>+F30-F22</f>
        <v>0</v>
      </c>
      <c r="G31" s="21">
        <f>+G30-G22</f>
        <v>0</v>
      </c>
      <c r="H31" s="21">
        <f>+H30-H22</f>
        <v>0</v>
      </c>
      <c r="I31" s="21">
        <f>+I30-I22</f>
        <v>0</v>
      </c>
      <c r="J31" s="21">
        <f>+J30-J22</f>
        <v>0</v>
      </c>
      <c r="K31" s="21">
        <f>+K30-K22</f>
        <v>0</v>
      </c>
      <c r="L31" s="21">
        <f>+L30-L22</f>
        <v>0</v>
      </c>
      <c r="M31" s="21">
        <f>+M30-M22</f>
        <v>0</v>
      </c>
      <c r="N31" s="21">
        <f>+N30-N22</f>
        <v>0</v>
      </c>
      <c r="O31" s="21">
        <f>+O30-O22</f>
        <v>0</v>
      </c>
    </row>
    <row r="32" spans="3:18" x14ac:dyDescent="0.2"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5:18" x14ac:dyDescent="0.2">
      <c r="E33" s="5" t="str">
        <f>Input!$E$8&amp;" BS"</f>
        <v>BHP BS</v>
      </c>
      <c r="O33" s="9"/>
      <c r="Q33" s="44" t="s">
        <v>111</v>
      </c>
      <c r="R33" s="43"/>
    </row>
    <row r="34" spans="5:18" x14ac:dyDescent="0.2">
      <c r="E34" s="10" t="str">
        <f>+Input!$E$13</f>
        <v>USDmn</v>
      </c>
      <c r="F34" s="24" t="s">
        <v>110</v>
      </c>
      <c r="G34" s="24" t="s">
        <v>41</v>
      </c>
      <c r="H34" s="24" t="s">
        <v>42</v>
      </c>
      <c r="I34" s="24" t="s">
        <v>43</v>
      </c>
      <c r="J34" s="24" t="s">
        <v>44</v>
      </c>
      <c r="K34" s="24" t="s">
        <v>45</v>
      </c>
      <c r="L34" s="24" t="s">
        <v>46</v>
      </c>
      <c r="M34" s="24" t="s">
        <v>47</v>
      </c>
      <c r="N34" s="24" t="s">
        <v>48</v>
      </c>
      <c r="O34" s="24" t="s">
        <v>49</v>
      </c>
      <c r="Q34" s="43" t="s">
        <v>112</v>
      </c>
      <c r="R34" s="43" t="s">
        <v>113</v>
      </c>
    </row>
    <row r="35" spans="5:18" ht="3" customHeight="1" x14ac:dyDescent="0.2"/>
    <row r="36" spans="5:18" x14ac:dyDescent="0.2">
      <c r="E36" s="13" t="s">
        <v>54</v>
      </c>
      <c r="F36" s="18">
        <v>94072</v>
      </c>
      <c r="G36" s="18">
        <v>83975</v>
      </c>
      <c r="H36" s="18">
        <v>80497</v>
      </c>
      <c r="I36" s="18">
        <v>67182</v>
      </c>
      <c r="J36" s="18">
        <v>68041</v>
      </c>
      <c r="K36" s="18">
        <v>72362</v>
      </c>
      <c r="L36" s="18">
        <v>73813</v>
      </c>
      <c r="M36" s="18">
        <v>61295</v>
      </c>
      <c r="N36" s="18">
        <v>71818</v>
      </c>
      <c r="O36" s="18">
        <v>71629</v>
      </c>
      <c r="Q36" s="30">
        <f>IFERROR((O36/F36)^(1/9)-1,"n/a")</f>
        <v>-2.983051102569112E-2</v>
      </c>
      <c r="R36" s="30">
        <f>IFERROR((O36/L36)^(1/3)-1,"n/a")</f>
        <v>-9.9616665887675149E-3</v>
      </c>
    </row>
    <row r="37" spans="5:18" x14ac:dyDescent="0.2">
      <c r="E37" s="13" t="s">
        <v>55</v>
      </c>
      <c r="F37" s="20">
        <f>108211-F36</f>
        <v>14139</v>
      </c>
      <c r="G37" s="20">
        <f>101239-G36</f>
        <v>17264</v>
      </c>
      <c r="H37" s="20">
        <f>95950-H36</f>
        <v>15453</v>
      </c>
      <c r="I37" s="20">
        <f>76863-I36</f>
        <v>9681</v>
      </c>
      <c r="J37" s="20">
        <f>77488-J36</f>
        <v>9447</v>
      </c>
      <c r="K37" s="20">
        <f>83312-K36</f>
        <v>10950</v>
      </c>
      <c r="L37" s="20">
        <f>82234-L36</f>
        <v>8421</v>
      </c>
      <c r="M37" s="20">
        <f>66502-M36</f>
        <v>5207</v>
      </c>
      <c r="N37" s="20">
        <f>77945-N36</f>
        <v>6127</v>
      </c>
      <c r="O37" s="20">
        <f>78024-O36</f>
        <v>6395</v>
      </c>
      <c r="Q37" s="30">
        <f t="shared" ref="Q37:Q55" si="14">IFERROR((O37/F37)^(1/9)-1,"n/a")</f>
        <v>-8.4383649623188339E-2</v>
      </c>
      <c r="R37" s="30">
        <f t="shared" ref="R37:R55" si="15">IFERROR((O37/L37)^(1/3)-1,"n/a")</f>
        <v>-8.7655285294620633E-2</v>
      </c>
    </row>
    <row r="38" spans="5:18" x14ac:dyDescent="0.2">
      <c r="E38" s="5" t="s">
        <v>56</v>
      </c>
      <c r="F38" s="19">
        <f t="shared" ref="F38" si="16">SUM(F36:F37)</f>
        <v>108211</v>
      </c>
      <c r="G38" s="19">
        <f t="shared" ref="G38:M38" si="17">SUM(G36:G37)</f>
        <v>101239</v>
      </c>
      <c r="H38" s="19">
        <f t="shared" si="17"/>
        <v>95950</v>
      </c>
      <c r="I38" s="19">
        <f t="shared" si="17"/>
        <v>76863</v>
      </c>
      <c r="J38" s="19">
        <f t="shared" si="17"/>
        <v>77488</v>
      </c>
      <c r="K38" s="19">
        <f t="shared" si="17"/>
        <v>83312</v>
      </c>
      <c r="L38" s="19">
        <f t="shared" si="17"/>
        <v>82234</v>
      </c>
      <c r="M38" s="19">
        <f t="shared" si="17"/>
        <v>66502</v>
      </c>
      <c r="N38" s="19">
        <f>SUM(N36:N37)</f>
        <v>77945</v>
      </c>
      <c r="O38" s="19">
        <f>SUM(O36:O37)</f>
        <v>78024</v>
      </c>
      <c r="Q38" s="45">
        <f t="shared" si="14"/>
        <v>-3.5688330610342267E-2</v>
      </c>
      <c r="R38" s="45">
        <f t="shared" si="15"/>
        <v>-1.7364918075768898E-2</v>
      </c>
    </row>
    <row r="39" spans="5:18" x14ac:dyDescent="0.2">
      <c r="E39" s="13" t="s">
        <v>50</v>
      </c>
      <c r="F39" s="18">
        <v>6753</v>
      </c>
      <c r="G39" s="18">
        <v>10319</v>
      </c>
      <c r="H39" s="18">
        <v>14153</v>
      </c>
      <c r="I39" s="18">
        <v>15871</v>
      </c>
      <c r="J39" s="18">
        <v>15613</v>
      </c>
      <c r="K39" s="18">
        <v>13426</v>
      </c>
      <c r="L39" s="18">
        <v>15246</v>
      </c>
      <c r="M39" s="18">
        <v>17236</v>
      </c>
      <c r="N39" s="18">
        <v>12428</v>
      </c>
      <c r="O39" s="18">
        <v>12501</v>
      </c>
      <c r="Q39" s="30">
        <f t="shared" si="14"/>
        <v>7.0819928551458577E-2</v>
      </c>
      <c r="R39" s="30">
        <f t="shared" si="15"/>
        <v>-6.4027806569489365E-2</v>
      </c>
    </row>
    <row r="40" spans="5:18" x14ac:dyDescent="0.2">
      <c r="E40" s="13" t="s">
        <v>51</v>
      </c>
      <c r="F40" s="18">
        <v>4321</v>
      </c>
      <c r="G40" s="18">
        <v>3155</v>
      </c>
      <c r="H40" s="18">
        <v>2836</v>
      </c>
      <c r="I40" s="18">
        <v>3096</v>
      </c>
      <c r="J40" s="18">
        <v>3462</v>
      </c>
      <c r="K40" s="18">
        <v>3364</v>
      </c>
      <c r="L40" s="18">
        <v>6059</v>
      </c>
      <c r="M40" s="18">
        <v>5426</v>
      </c>
      <c r="N40" s="18">
        <v>4594</v>
      </c>
      <c r="O40" s="18">
        <v>5169</v>
      </c>
      <c r="Q40" s="30">
        <f t="shared" si="14"/>
        <v>2.0109796850222406E-2</v>
      </c>
      <c r="R40" s="30">
        <f t="shared" si="15"/>
        <v>-5.157747503533916E-2</v>
      </c>
    </row>
    <row r="41" spans="5:18" x14ac:dyDescent="0.2">
      <c r="E41" s="13" t="s">
        <v>52</v>
      </c>
      <c r="F41" s="18">
        <v>4292</v>
      </c>
      <c r="G41" s="18">
        <v>3411</v>
      </c>
      <c r="H41" s="18">
        <v>3673</v>
      </c>
      <c r="I41" s="18">
        <v>3764</v>
      </c>
      <c r="J41" s="18">
        <v>3840</v>
      </c>
      <c r="K41" s="18">
        <v>4101</v>
      </c>
      <c r="L41" s="18">
        <v>4426</v>
      </c>
      <c r="M41" s="18">
        <v>4935</v>
      </c>
      <c r="N41" s="18">
        <v>5220</v>
      </c>
      <c r="O41" s="18">
        <v>5828</v>
      </c>
      <c r="Q41" s="30">
        <f t="shared" si="14"/>
        <v>3.4575532721125013E-2</v>
      </c>
      <c r="R41" s="30">
        <f t="shared" si="15"/>
        <v>9.6064330192798808E-2</v>
      </c>
    </row>
    <row r="42" spans="5:18" x14ac:dyDescent="0.2">
      <c r="E42" s="13" t="s">
        <v>57</v>
      </c>
      <c r="F42" s="20">
        <f>83+658+262</f>
        <v>1003</v>
      </c>
      <c r="G42" s="20">
        <f>121+567+141</f>
        <v>829</v>
      </c>
      <c r="H42" s="20">
        <f>72+195+127</f>
        <v>394</v>
      </c>
      <c r="I42" s="20">
        <f>200+11939+106+154</f>
        <v>12399</v>
      </c>
      <c r="J42" s="20">
        <f>87+124+247</f>
        <v>458</v>
      </c>
      <c r="K42" s="20">
        <f>84+366+130</f>
        <v>580</v>
      </c>
      <c r="L42" s="20">
        <f>230+324+279+129</f>
        <v>962</v>
      </c>
      <c r="M42" s="20">
        <f>629+263+175</f>
        <v>1067</v>
      </c>
      <c r="N42" s="20">
        <f>470+508+131</f>
        <v>1109</v>
      </c>
      <c r="O42" s="20">
        <f>381+314+145</f>
        <v>840</v>
      </c>
      <c r="Q42" s="30">
        <f t="shared" si="14"/>
        <v>-1.9512549885316588E-2</v>
      </c>
      <c r="R42" s="30">
        <f t="shared" si="15"/>
        <v>-4.4197699805307522E-2</v>
      </c>
    </row>
    <row r="43" spans="5:18" x14ac:dyDescent="0.2">
      <c r="E43" s="5" t="s">
        <v>58</v>
      </c>
      <c r="F43" s="19">
        <f t="shared" ref="F43:G43" si="18">SUM(F39:F42)</f>
        <v>16369</v>
      </c>
      <c r="G43" s="19">
        <f t="shared" si="18"/>
        <v>17714</v>
      </c>
      <c r="H43" s="19">
        <f t="shared" ref="H43" si="19">SUM(H39:H42)</f>
        <v>21056</v>
      </c>
      <c r="I43" s="19">
        <f t="shared" ref="I43" si="20">SUM(I39:I42)</f>
        <v>35130</v>
      </c>
      <c r="J43" s="19">
        <f t="shared" ref="J43" si="21">SUM(J39:J42)</f>
        <v>23373</v>
      </c>
      <c r="K43" s="19">
        <f t="shared" ref="K43" si="22">SUM(K39:K42)</f>
        <v>21471</v>
      </c>
      <c r="L43" s="19">
        <f t="shared" ref="L43" si="23">SUM(L39:L42)</f>
        <v>26693</v>
      </c>
      <c r="M43" s="19">
        <f t="shared" ref="M43" si="24">SUM(M39:M42)</f>
        <v>28664</v>
      </c>
      <c r="N43" s="19">
        <f t="shared" ref="N43" si="25">SUM(N39:N42)</f>
        <v>23351</v>
      </c>
      <c r="O43" s="19">
        <f>SUM(O39:O42)</f>
        <v>24338</v>
      </c>
      <c r="Q43" s="45">
        <f t="shared" si="14"/>
        <v>4.5057783595464862E-2</v>
      </c>
      <c r="R43" s="45">
        <f t="shared" si="15"/>
        <v>-3.0318373319757064E-2</v>
      </c>
    </row>
    <row r="44" spans="5:18" ht="13.5" thickBot="1" x14ac:dyDescent="0.25">
      <c r="E44" s="5" t="s">
        <v>59</v>
      </c>
      <c r="F44" s="23">
        <f t="shared" ref="F44" si="26">+F43+F38</f>
        <v>124580</v>
      </c>
      <c r="G44" s="23">
        <f t="shared" ref="G44:N44" si="27">+G43+G38</f>
        <v>118953</v>
      </c>
      <c r="H44" s="23">
        <f t="shared" si="27"/>
        <v>117006</v>
      </c>
      <c r="I44" s="23">
        <f t="shared" si="27"/>
        <v>111993</v>
      </c>
      <c r="J44" s="23">
        <f t="shared" si="27"/>
        <v>100861</v>
      </c>
      <c r="K44" s="23">
        <f t="shared" si="27"/>
        <v>104783</v>
      </c>
      <c r="L44" s="23">
        <f t="shared" si="27"/>
        <v>108927</v>
      </c>
      <c r="M44" s="23">
        <f t="shared" si="27"/>
        <v>95166</v>
      </c>
      <c r="N44" s="23">
        <f t="shared" si="27"/>
        <v>101296</v>
      </c>
      <c r="O44" s="23">
        <f>+O43+O38</f>
        <v>102362</v>
      </c>
      <c r="Q44" s="45">
        <f t="shared" si="14"/>
        <v>-2.1589376514299152E-2</v>
      </c>
      <c r="R44" s="45">
        <f t="shared" si="15"/>
        <v>-2.0507593811057045E-2</v>
      </c>
    </row>
    <row r="45" spans="5:18" ht="3" customHeight="1" x14ac:dyDescent="0.2">
      <c r="F45" s="18"/>
      <c r="G45" s="18"/>
      <c r="H45" s="18"/>
      <c r="I45" s="18"/>
      <c r="J45" s="18"/>
      <c r="K45" s="18"/>
      <c r="L45" s="18"/>
      <c r="M45" s="18"/>
      <c r="N45" s="18"/>
      <c r="O45" s="18"/>
      <c r="Q45" s="30" t="str">
        <f t="shared" si="14"/>
        <v>n/a</v>
      </c>
      <c r="R45" s="30" t="str">
        <f t="shared" si="15"/>
        <v>n/a</v>
      </c>
    </row>
    <row r="46" spans="5:18" x14ac:dyDescent="0.2">
      <c r="E46" s="13" t="s">
        <v>61</v>
      </c>
      <c r="F46" s="18">
        <v>64768</v>
      </c>
      <c r="G46" s="18">
        <v>54290</v>
      </c>
      <c r="H46" s="18">
        <v>57258</v>
      </c>
      <c r="I46" s="18">
        <v>55592</v>
      </c>
      <c r="J46" s="18">
        <v>47240</v>
      </c>
      <c r="K46" s="18">
        <v>47936</v>
      </c>
      <c r="L46" s="18">
        <v>51264</v>
      </c>
      <c r="M46" s="18">
        <v>44957</v>
      </c>
      <c r="N46" s="18">
        <v>44496</v>
      </c>
      <c r="O46" s="18">
        <v>44811</v>
      </c>
      <c r="Q46" s="30">
        <f t="shared" si="14"/>
        <v>-4.0102400783142422E-2</v>
      </c>
      <c r="R46" s="30">
        <f t="shared" si="15"/>
        <v>-4.3854360999819653E-2</v>
      </c>
    </row>
    <row r="47" spans="5:18" x14ac:dyDescent="0.2">
      <c r="E47" s="13" t="s">
        <v>62</v>
      </c>
      <c r="F47" s="20">
        <v>5777</v>
      </c>
      <c r="G47" s="20">
        <v>5781</v>
      </c>
      <c r="H47" s="20">
        <v>5468</v>
      </c>
      <c r="I47" s="20">
        <v>5078</v>
      </c>
      <c r="J47" s="20">
        <v>4584</v>
      </c>
      <c r="K47" s="20">
        <v>4310</v>
      </c>
      <c r="L47" s="20">
        <v>4341</v>
      </c>
      <c r="M47" s="20">
        <v>3809</v>
      </c>
      <c r="N47" s="20">
        <v>4034</v>
      </c>
      <c r="O47" s="20">
        <v>4309</v>
      </c>
      <c r="Q47" s="30">
        <f t="shared" si="14"/>
        <v>-3.2050542565487339E-2</v>
      </c>
      <c r="R47" s="30">
        <f t="shared" si="15"/>
        <v>-2.4632537604569738E-3</v>
      </c>
    </row>
    <row r="48" spans="5:18" x14ac:dyDescent="0.2">
      <c r="E48" s="5" t="s">
        <v>63</v>
      </c>
      <c r="F48" s="19">
        <f t="shared" ref="F48:G48" si="28">SUM(F46:F47)</f>
        <v>70545</v>
      </c>
      <c r="G48" s="19">
        <f t="shared" si="28"/>
        <v>60071</v>
      </c>
      <c r="H48" s="19">
        <f t="shared" ref="H48" si="29">SUM(H46:H47)</f>
        <v>62726</v>
      </c>
      <c r="I48" s="19">
        <f t="shared" ref="I48" si="30">SUM(I46:I47)</f>
        <v>60670</v>
      </c>
      <c r="J48" s="19">
        <f t="shared" ref="J48" si="31">SUM(J46:J47)</f>
        <v>51824</v>
      </c>
      <c r="K48" s="19">
        <f t="shared" ref="K48" si="32">SUM(K46:K47)</f>
        <v>52246</v>
      </c>
      <c r="L48" s="19">
        <f t="shared" ref="L48" si="33">SUM(L46:L47)</f>
        <v>55605</v>
      </c>
      <c r="M48" s="19">
        <f t="shared" ref="M48" si="34">SUM(M46:M47)</f>
        <v>48766</v>
      </c>
      <c r="N48" s="19">
        <f t="shared" ref="N48" si="35">SUM(N46:N47)</f>
        <v>48530</v>
      </c>
      <c r="O48" s="19">
        <f>SUM(O46:O47)</f>
        <v>49120</v>
      </c>
      <c r="Q48" s="45">
        <f t="shared" si="14"/>
        <v>-3.9422393722578164E-2</v>
      </c>
      <c r="R48" s="45">
        <f t="shared" si="15"/>
        <v>-4.0492947914153143E-2</v>
      </c>
    </row>
    <row r="49" spans="3:18" x14ac:dyDescent="0.2">
      <c r="E49" t="s">
        <v>64</v>
      </c>
      <c r="F49" s="18">
        <f>7389+29</f>
        <v>7418</v>
      </c>
      <c r="G49" s="18">
        <f>5389+13</f>
        <v>5402</v>
      </c>
      <c r="H49" s="18">
        <f>5+5551</f>
        <v>5556</v>
      </c>
      <c r="I49" s="18">
        <f>5977+3</f>
        <v>5980</v>
      </c>
      <c r="J49" s="18">
        <f>6717+5</f>
        <v>6722</v>
      </c>
      <c r="K49" s="18">
        <f>5767+1</f>
        <v>5768</v>
      </c>
      <c r="L49" s="18">
        <v>7027</v>
      </c>
      <c r="M49" s="18">
        <v>6687</v>
      </c>
      <c r="N49" s="18">
        <f>6296+4</f>
        <v>6300</v>
      </c>
      <c r="O49" s="18">
        <f>6719+45</f>
        <v>6764</v>
      </c>
      <c r="P49" s="18"/>
      <c r="Q49" s="30">
        <f t="shared" si="14"/>
        <v>-1.020260205451462E-2</v>
      </c>
      <c r="R49" s="30">
        <f t="shared" si="15"/>
        <v>-1.2634651109362793E-2</v>
      </c>
    </row>
    <row r="50" spans="3:18" x14ac:dyDescent="0.2">
      <c r="E50" t="s">
        <v>65</v>
      </c>
      <c r="F50" s="18">
        <f>3201+27969</f>
        <v>31170</v>
      </c>
      <c r="G50" s="18">
        <f>4653+31768</f>
        <v>36421</v>
      </c>
      <c r="H50" s="18">
        <f>1241+29233</f>
        <v>30474</v>
      </c>
      <c r="I50" s="18">
        <f>2736+24069</f>
        <v>26805</v>
      </c>
      <c r="J50" s="18">
        <f>1661+23167</f>
        <v>24828</v>
      </c>
      <c r="K50" s="18">
        <f>5012+22036</f>
        <v>27048</v>
      </c>
      <c r="L50" s="18">
        <f>2628+18355</f>
        <v>20983</v>
      </c>
      <c r="M50" s="18">
        <f>2622+13806</f>
        <v>16428</v>
      </c>
      <c r="N50" s="18">
        <f>7173+15172</f>
        <v>22345</v>
      </c>
      <c r="O50" s="18">
        <f>2084+18634</f>
        <v>20718</v>
      </c>
      <c r="Q50" s="30">
        <f t="shared" si="14"/>
        <v>-4.4369254070172226E-2</v>
      </c>
      <c r="R50" s="30">
        <f t="shared" si="15"/>
        <v>-4.2276045591143063E-3</v>
      </c>
    </row>
    <row r="51" spans="3:18" x14ac:dyDescent="0.2">
      <c r="E51" t="s">
        <v>67</v>
      </c>
      <c r="F51" s="18">
        <f>251+1031</f>
        <v>1282</v>
      </c>
      <c r="G51" s="18">
        <f>5+1778</f>
        <v>1783</v>
      </c>
      <c r="H51" s="18">
        <f>394+0+1106</f>
        <v>1500</v>
      </c>
      <c r="I51" s="18">
        <f>138+1093</f>
        <v>1231</v>
      </c>
      <c r="J51" s="18">
        <f>127+896</f>
        <v>1023</v>
      </c>
      <c r="K51" s="18">
        <f>225+1414</f>
        <v>1639</v>
      </c>
      <c r="L51" s="18">
        <f>130+1146</f>
        <v>1276</v>
      </c>
      <c r="M51" s="18">
        <f>579+1997</f>
        <v>2576</v>
      </c>
      <c r="N51" s="18">
        <f>402+2157</f>
        <v>2559</v>
      </c>
      <c r="O51" s="18">
        <f>512+1759</f>
        <v>2271</v>
      </c>
      <c r="Q51" s="30">
        <f t="shared" si="14"/>
        <v>6.5594875351186799E-2</v>
      </c>
      <c r="R51" s="30">
        <f t="shared" si="15"/>
        <v>0.21186847090226024</v>
      </c>
    </row>
    <row r="52" spans="3:18" x14ac:dyDescent="0.2">
      <c r="E52" t="s">
        <v>66</v>
      </c>
      <c r="F52" s="18">
        <f>1676+7306</f>
        <v>8982</v>
      </c>
      <c r="G52" s="18">
        <f>1765+8381</f>
        <v>10146</v>
      </c>
      <c r="H52" s="18">
        <f>1959+8445</f>
        <v>10404</v>
      </c>
      <c r="I52" s="18">
        <f>2025+8223</f>
        <v>10248</v>
      </c>
      <c r="J52" s="18">
        <f>2175+8928</f>
        <v>11103</v>
      </c>
      <c r="K52" s="18">
        <f>2810+11185</f>
        <v>13995</v>
      </c>
      <c r="L52" s="18">
        <f>3696+13799</f>
        <v>17495</v>
      </c>
      <c r="M52" s="18">
        <f>3965+10478</f>
        <v>14443</v>
      </c>
      <c r="N52" s="18">
        <f>4514+11973</f>
        <v>16487</v>
      </c>
      <c r="O52" s="18">
        <f>4007+15088</f>
        <v>19095</v>
      </c>
      <c r="Q52" s="30">
        <f t="shared" si="14"/>
        <v>8.7411866552221218E-2</v>
      </c>
      <c r="R52" s="30">
        <f t="shared" si="15"/>
        <v>2.9600090247357214E-2</v>
      </c>
    </row>
    <row r="53" spans="3:18" x14ac:dyDescent="0.2">
      <c r="E53" t="s">
        <v>53</v>
      </c>
      <c r="F53" s="20">
        <f>207+129+4542+305</f>
        <v>5183</v>
      </c>
      <c r="G53" s="20">
        <f>4324+278+451+77</f>
        <v>5130</v>
      </c>
      <c r="H53" s="20">
        <f>2119+102+3765+360</f>
        <v>6346</v>
      </c>
      <c r="I53" s="20">
        <f>1222+1773+118+137+3472+337</f>
        <v>7059</v>
      </c>
      <c r="J53" s="20">
        <f>1546+113+187+3234+281</f>
        <v>5361</v>
      </c>
      <c r="K53" s="20">
        <f>913+97+109+2758+210</f>
        <v>4087</v>
      </c>
      <c r="L53" s="20">
        <f>17+105+2800+120+3314+185</f>
        <v>6541</v>
      </c>
      <c r="M53" s="20">
        <f>34+3032+87+3063+50</f>
        <v>6266</v>
      </c>
      <c r="N53" s="20">
        <f>611+47+68+4299+50</f>
        <v>5075</v>
      </c>
      <c r="O53" s="20">
        <f>884+90+40+3332+48</f>
        <v>4394</v>
      </c>
      <c r="Q53" s="30">
        <f t="shared" si="14"/>
        <v>-1.8182016425221659E-2</v>
      </c>
      <c r="R53" s="30">
        <f t="shared" si="15"/>
        <v>-0.12419927342788539</v>
      </c>
    </row>
    <row r="54" spans="3:18" x14ac:dyDescent="0.2">
      <c r="E54" s="5" t="s">
        <v>60</v>
      </c>
      <c r="F54" s="19">
        <f t="shared" ref="F54" si="36">SUM(F49:F53)</f>
        <v>54035</v>
      </c>
      <c r="G54" s="19">
        <f t="shared" ref="G54:N54" si="37">SUM(G49:G53)</f>
        <v>58882</v>
      </c>
      <c r="H54" s="19">
        <f t="shared" si="37"/>
        <v>54280</v>
      </c>
      <c r="I54" s="19">
        <f t="shared" si="37"/>
        <v>51323</v>
      </c>
      <c r="J54" s="19">
        <f t="shared" si="37"/>
        <v>49037</v>
      </c>
      <c r="K54" s="19">
        <f t="shared" si="37"/>
        <v>52537</v>
      </c>
      <c r="L54" s="19">
        <f t="shared" si="37"/>
        <v>53322</v>
      </c>
      <c r="M54" s="19">
        <f t="shared" si="37"/>
        <v>46400</v>
      </c>
      <c r="N54" s="19">
        <f t="shared" si="37"/>
        <v>52766</v>
      </c>
      <c r="O54" s="19">
        <f>SUM(O49:O53)</f>
        <v>53242</v>
      </c>
      <c r="Q54" s="45">
        <f t="shared" si="14"/>
        <v>-1.6413655053590936E-3</v>
      </c>
      <c r="R54" s="45">
        <f t="shared" si="15"/>
        <v>-5.0035658754177259E-4</v>
      </c>
    </row>
    <row r="55" spans="3:18" ht="13.5" thickBot="1" x14ac:dyDescent="0.25">
      <c r="E55" s="5" t="s">
        <v>68</v>
      </c>
      <c r="F55" s="23">
        <f t="shared" ref="F55" si="38">+F54+F48</f>
        <v>124580</v>
      </c>
      <c r="G55" s="23">
        <f t="shared" ref="G55:N55" si="39">+G54+G48</f>
        <v>118953</v>
      </c>
      <c r="H55" s="23">
        <f t="shared" si="39"/>
        <v>117006</v>
      </c>
      <c r="I55" s="23">
        <f t="shared" si="39"/>
        <v>111993</v>
      </c>
      <c r="J55" s="23">
        <f t="shared" si="39"/>
        <v>100861</v>
      </c>
      <c r="K55" s="23">
        <f t="shared" si="39"/>
        <v>104783</v>
      </c>
      <c r="L55" s="23">
        <f t="shared" si="39"/>
        <v>108927</v>
      </c>
      <c r="M55" s="23">
        <f t="shared" si="39"/>
        <v>95166</v>
      </c>
      <c r="N55" s="23">
        <f t="shared" si="39"/>
        <v>101296</v>
      </c>
      <c r="O55" s="23">
        <f>+O54+O48</f>
        <v>102362</v>
      </c>
      <c r="Q55" s="45">
        <f t="shared" si="14"/>
        <v>-2.1589376514299152E-2</v>
      </c>
      <c r="R55" s="45">
        <f t="shared" si="15"/>
        <v>-2.0507593811057045E-2</v>
      </c>
    </row>
    <row r="56" spans="3:18" ht="3" customHeight="1" x14ac:dyDescent="0.2">
      <c r="Q56" s="36"/>
      <c r="R56" s="36"/>
    </row>
    <row r="57" spans="3:18" x14ac:dyDescent="0.2">
      <c r="E57" s="26" t="s">
        <v>114</v>
      </c>
      <c r="F57" s="27">
        <f>+F48/F55</f>
        <v>0.56626264247872848</v>
      </c>
      <c r="G57" s="27">
        <f t="shared" ref="G57:O57" si="40">+G48/G55</f>
        <v>0.50499777222936792</v>
      </c>
      <c r="H57" s="27">
        <f t="shared" si="40"/>
        <v>0.53609216621369848</v>
      </c>
      <c r="I57" s="27">
        <f t="shared" si="40"/>
        <v>0.5417302867143482</v>
      </c>
      <c r="J57" s="27">
        <f t="shared" si="40"/>
        <v>0.51381604386234525</v>
      </c>
      <c r="K57" s="27">
        <f t="shared" si="40"/>
        <v>0.49861141597396524</v>
      </c>
      <c r="L57" s="27">
        <f t="shared" si="40"/>
        <v>0.51047949544190141</v>
      </c>
      <c r="M57" s="27">
        <f t="shared" si="40"/>
        <v>0.51243091019902065</v>
      </c>
      <c r="N57" s="27">
        <f t="shared" si="40"/>
        <v>0.47909098088769547</v>
      </c>
      <c r="O57" s="27">
        <f t="shared" si="40"/>
        <v>0.47986557511576561</v>
      </c>
    </row>
    <row r="58" spans="3:18" x14ac:dyDescent="0.2">
      <c r="E58" s="29"/>
      <c r="F58" s="30"/>
      <c r="G58" s="30"/>
      <c r="H58" s="30"/>
      <c r="I58" s="30"/>
      <c r="J58" s="30"/>
      <c r="K58" s="30"/>
      <c r="L58" s="30"/>
      <c r="M58" s="30"/>
      <c r="N58" s="30"/>
      <c r="O58" s="31"/>
    </row>
    <row r="59" spans="3:18" x14ac:dyDescent="0.2">
      <c r="E59" s="32"/>
      <c r="F59" s="33"/>
      <c r="G59" s="33"/>
      <c r="H59" s="33"/>
      <c r="I59" s="33"/>
      <c r="J59" s="33"/>
      <c r="K59" s="33"/>
      <c r="L59" s="33"/>
      <c r="M59" s="33"/>
      <c r="N59" s="33"/>
      <c r="O59" s="34"/>
    </row>
    <row r="60" spans="3:18" ht="3" customHeight="1" x14ac:dyDescent="0.2"/>
    <row r="61" spans="3:18" ht="10.5" customHeight="1" x14ac:dyDescent="0.2">
      <c r="E61" s="35" t="s">
        <v>75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3:18" x14ac:dyDescent="0.2"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3:18" x14ac:dyDescent="0.2">
      <c r="E63" s="8" t="s">
        <v>39</v>
      </c>
      <c r="F63" s="21">
        <v>124580</v>
      </c>
      <c r="G63" s="21">
        <v>118953</v>
      </c>
      <c r="H63" s="21">
        <v>117006</v>
      </c>
      <c r="I63" s="21">
        <v>111993</v>
      </c>
      <c r="J63" s="21">
        <v>100861</v>
      </c>
      <c r="K63" s="21">
        <v>104783</v>
      </c>
      <c r="L63" s="21">
        <v>108927</v>
      </c>
      <c r="M63" s="21">
        <v>95166</v>
      </c>
      <c r="N63" s="21">
        <v>101296</v>
      </c>
      <c r="O63" s="21">
        <v>102362</v>
      </c>
    </row>
    <row r="64" spans="3:18" x14ac:dyDescent="0.2">
      <c r="C64" s="17" t="b" cm="1">
        <f t="array" ref="C64">AND(G64:O64&lt;$B$1,G64:O64&gt;-$B$1)</f>
        <v>1</v>
      </c>
      <c r="E64" s="8" t="s">
        <v>38</v>
      </c>
      <c r="F64" s="21">
        <f t="shared" ref="F64:G64" si="41">+F63-F55</f>
        <v>0</v>
      </c>
      <c r="G64" s="21">
        <f t="shared" si="41"/>
        <v>0</v>
      </c>
      <c r="H64" s="21">
        <f t="shared" ref="H64" si="42">+H63-H55</f>
        <v>0</v>
      </c>
      <c r="I64" s="21">
        <f t="shared" ref="I64" si="43">+I63-I55</f>
        <v>0</v>
      </c>
      <c r="J64" s="21">
        <f t="shared" ref="J64" si="44">+J63-J55</f>
        <v>0</v>
      </c>
      <c r="K64" s="21">
        <f t="shared" ref="K64" si="45">+K63-K55</f>
        <v>0</v>
      </c>
      <c r="L64" s="21">
        <f t="shared" ref="L64" si="46">+L63-L55</f>
        <v>0</v>
      </c>
      <c r="M64" s="21">
        <f t="shared" ref="M64" si="47">+M63-M55</f>
        <v>0</v>
      </c>
      <c r="N64" s="21">
        <f t="shared" ref="N64" si="48">+N63-N55</f>
        <v>0</v>
      </c>
      <c r="O64" s="21">
        <f>+O63-O55</f>
        <v>0</v>
      </c>
    </row>
    <row r="65" spans="5:20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5:20" x14ac:dyDescent="0.2">
      <c r="E66" s="5" t="str">
        <f>Input!$E$8&amp;" CF"</f>
        <v>BHP CF</v>
      </c>
      <c r="O66" s="9"/>
      <c r="Q66" s="44" t="s">
        <v>111</v>
      </c>
      <c r="R66" s="43"/>
    </row>
    <row r="67" spans="5:20" x14ac:dyDescent="0.2">
      <c r="E67" s="10" t="str">
        <f>+Input!$E$13</f>
        <v>USDmn</v>
      </c>
      <c r="F67" s="24" t="s">
        <v>110</v>
      </c>
      <c r="G67" s="24" t="s">
        <v>41</v>
      </c>
      <c r="H67" s="24" t="s">
        <v>42</v>
      </c>
      <c r="I67" s="24" t="s">
        <v>43</v>
      </c>
      <c r="J67" s="24" t="s">
        <v>44</v>
      </c>
      <c r="K67" s="24" t="s">
        <v>45</v>
      </c>
      <c r="L67" s="24" t="s">
        <v>46</v>
      </c>
      <c r="M67" s="24" t="s">
        <v>47</v>
      </c>
      <c r="N67" s="24" t="s">
        <v>48</v>
      </c>
      <c r="O67" s="24" t="s">
        <v>49</v>
      </c>
      <c r="Q67" s="43" t="s">
        <v>112</v>
      </c>
      <c r="R67" s="43" t="s">
        <v>113</v>
      </c>
    </row>
    <row r="68" spans="5:20" ht="3" customHeight="1" x14ac:dyDescent="0.2"/>
    <row r="69" spans="5:20" x14ac:dyDescent="0.2">
      <c r="E69" s="38" t="s">
        <v>69</v>
      </c>
      <c r="F69" s="37">
        <v>19296</v>
      </c>
      <c r="G69" s="37">
        <v>10625</v>
      </c>
      <c r="H69" s="37">
        <v>16804</v>
      </c>
      <c r="I69" s="37">
        <v>18461</v>
      </c>
      <c r="J69" s="37">
        <v>17871</v>
      </c>
      <c r="K69" s="37">
        <v>15706</v>
      </c>
      <c r="L69" s="37">
        <v>27234</v>
      </c>
      <c r="M69" s="37">
        <v>32174</v>
      </c>
      <c r="N69" s="37">
        <v>18701</v>
      </c>
      <c r="O69" s="37">
        <v>20665</v>
      </c>
      <c r="Q69" s="30">
        <f>IFERROR((O69/F69)^(1/9)-1,"n/a")</f>
        <v>7.6450337797304702E-3</v>
      </c>
      <c r="R69" s="30">
        <f>IFERROR((O69/L69)^(1/3)-1,"n/a")</f>
        <v>-8.7902373691743252E-2</v>
      </c>
    </row>
    <row r="70" spans="5:20" x14ac:dyDescent="0.2">
      <c r="E70" s="38" t="s">
        <v>70</v>
      </c>
      <c r="F70" s="20">
        <v>-13154</v>
      </c>
      <c r="G70" s="20">
        <v>-7245</v>
      </c>
      <c r="H70" s="20">
        <v>-4161</v>
      </c>
      <c r="I70" s="20">
        <v>-5921</v>
      </c>
      <c r="J70" s="20">
        <v>2607</v>
      </c>
      <c r="K70" s="20">
        <v>-7616</v>
      </c>
      <c r="L70" s="20">
        <v>-7845</v>
      </c>
      <c r="M70" s="20">
        <v>-6959</v>
      </c>
      <c r="N70" s="20">
        <v>-13065</v>
      </c>
      <c r="O70" s="20">
        <v>-8762</v>
      </c>
      <c r="Q70" s="30">
        <f t="shared" ref="Q70:Q72" si="49">IFERROR((O70/F70)^(1/9)-1,"n/a")</f>
        <v>-4.4140777853480917E-2</v>
      </c>
      <c r="R70" s="30">
        <f t="shared" ref="R70:R72" si="50">IFERROR((O70/L70)^(1/3)-1,"n/a")</f>
        <v>3.7536618807055389E-2</v>
      </c>
      <c r="T70" s="39" t="s">
        <v>115</v>
      </c>
    </row>
    <row r="71" spans="5:20" x14ac:dyDescent="0.2">
      <c r="E71" s="5" t="s">
        <v>71</v>
      </c>
      <c r="F71" s="19">
        <f t="shared" ref="F71:N71" si="51">+F69+F70</f>
        <v>6142</v>
      </c>
      <c r="G71" s="19">
        <f t="shared" si="51"/>
        <v>3380</v>
      </c>
      <c r="H71" s="19">
        <f t="shared" si="51"/>
        <v>12643</v>
      </c>
      <c r="I71" s="19">
        <f t="shared" si="51"/>
        <v>12540</v>
      </c>
      <c r="J71" s="19">
        <f t="shared" si="51"/>
        <v>20478</v>
      </c>
      <c r="K71" s="19">
        <f t="shared" si="51"/>
        <v>8090</v>
      </c>
      <c r="L71" s="19">
        <f t="shared" si="51"/>
        <v>19389</v>
      </c>
      <c r="M71" s="19">
        <f t="shared" si="51"/>
        <v>25215</v>
      </c>
      <c r="N71" s="19">
        <f t="shared" si="51"/>
        <v>5636</v>
      </c>
      <c r="O71" s="19">
        <f>+O69+O70</f>
        <v>11903</v>
      </c>
      <c r="Q71" s="45">
        <f t="shared" si="49"/>
        <v>7.6285284397707986E-2</v>
      </c>
      <c r="R71" s="45">
        <f t="shared" si="50"/>
        <v>-0.15010160781959736</v>
      </c>
    </row>
    <row r="72" spans="5:20" x14ac:dyDescent="0.2">
      <c r="E72" s="38" t="s">
        <v>76</v>
      </c>
      <c r="F72" s="37">
        <v>-8073</v>
      </c>
      <c r="G72" s="37">
        <v>284</v>
      </c>
      <c r="H72" s="37">
        <v>-9133</v>
      </c>
      <c r="I72" s="37">
        <v>-10891</v>
      </c>
      <c r="J72" s="37">
        <v>-20528</v>
      </c>
      <c r="K72" s="37">
        <v>-9752</v>
      </c>
      <c r="L72" s="37">
        <v>-17922</v>
      </c>
      <c r="M72" s="37">
        <v>-22767</v>
      </c>
      <c r="N72" s="37">
        <v>-10315</v>
      </c>
      <c r="O72" s="37">
        <v>-11669</v>
      </c>
      <c r="Q72" s="30">
        <f t="shared" si="49"/>
        <v>4.1783877164352168E-2</v>
      </c>
      <c r="R72" s="30">
        <f t="shared" si="50"/>
        <v>-0.13327287392032516</v>
      </c>
    </row>
    <row r="73" spans="5:20" ht="3" customHeight="1" x14ac:dyDescent="0.2"/>
    <row r="74" spans="5:20" ht="10.5" customHeight="1" x14ac:dyDescent="0.2">
      <c r="E74" s="35" t="s">
        <v>75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7" spans="5:20" x14ac:dyDescent="0.2">
      <c r="E77" s="5" t="str">
        <f>Input!$E$8&amp;" Revenues"</f>
        <v>BHP Revenues</v>
      </c>
      <c r="O77" s="9"/>
      <c r="Q77" s="44" t="s">
        <v>111</v>
      </c>
      <c r="R77" s="43"/>
    </row>
    <row r="78" spans="5:20" x14ac:dyDescent="0.2">
      <c r="E78" s="10" t="str">
        <f>+Input!$E$13</f>
        <v>USDmn</v>
      </c>
      <c r="F78" s="41" t="s">
        <v>109</v>
      </c>
      <c r="G78" s="41" t="s">
        <v>104</v>
      </c>
      <c r="H78" s="41" t="s">
        <v>103</v>
      </c>
      <c r="I78" s="41" t="s">
        <v>102</v>
      </c>
      <c r="J78" s="41" t="s">
        <v>101</v>
      </c>
      <c r="K78" s="41" t="s">
        <v>100</v>
      </c>
      <c r="L78" s="41" t="s">
        <v>99</v>
      </c>
      <c r="M78" s="41" t="s">
        <v>98</v>
      </c>
      <c r="N78" s="41" t="s">
        <v>97</v>
      </c>
      <c r="O78" s="41" t="s">
        <v>96</v>
      </c>
      <c r="Q78" s="43" t="s">
        <v>112</v>
      </c>
      <c r="R78" s="43" t="s">
        <v>113</v>
      </c>
    </row>
    <row r="79" spans="5:20" ht="3" customHeight="1" x14ac:dyDescent="0.2"/>
    <row r="80" spans="5:20" x14ac:dyDescent="0.2">
      <c r="E80" s="13" t="s">
        <v>106</v>
      </c>
      <c r="F80" s="18">
        <v>11447</v>
      </c>
      <c r="G80" s="18">
        <v>4549</v>
      </c>
      <c r="H80" s="18">
        <v>4722</v>
      </c>
      <c r="I80" s="18">
        <v>5408</v>
      </c>
      <c r="J80" s="18">
        <v>5930</v>
      </c>
      <c r="K80" s="18">
        <v>4070</v>
      </c>
      <c r="L80" s="18">
        <v>3946</v>
      </c>
      <c r="M80" s="42" t="s">
        <v>107</v>
      </c>
      <c r="N80" s="42" t="s">
        <v>107</v>
      </c>
      <c r="O80" s="42" t="s">
        <v>107</v>
      </c>
      <c r="Q80" s="30" t="str">
        <f>IFERROR((O80/F80)^(1/9)-1,"n/a")</f>
        <v>n/a</v>
      </c>
      <c r="R80" s="30" t="str">
        <f>IFERROR((O80/L80)^(1/3)-1,"n/a")</f>
        <v>n/a</v>
      </c>
      <c r="T80" s="39" t="s">
        <v>108</v>
      </c>
    </row>
    <row r="81" spans="3:20" x14ac:dyDescent="0.2">
      <c r="E81" s="13" t="s">
        <v>88</v>
      </c>
      <c r="F81" s="18">
        <v>11453</v>
      </c>
      <c r="G81" s="18">
        <v>8249</v>
      </c>
      <c r="H81" s="18">
        <v>8335</v>
      </c>
      <c r="I81" s="18">
        <v>13287</v>
      </c>
      <c r="J81" s="18">
        <v>10838</v>
      </c>
      <c r="K81" s="18">
        <v>10666</v>
      </c>
      <c r="L81" s="18">
        <v>15726</v>
      </c>
      <c r="M81" s="18">
        <v>16849</v>
      </c>
      <c r="N81" s="18">
        <v>16027</v>
      </c>
      <c r="O81" s="18">
        <v>18566</v>
      </c>
      <c r="Q81" s="30">
        <f t="shared" ref="Q81:Q85" si="52">IFERROR((O81/F81)^(1/9)-1,"n/a")</f>
        <v>5.5142240492537464E-2</v>
      </c>
      <c r="R81" s="30">
        <f t="shared" ref="R81:R85" si="53">IFERROR((O81/L81)^(1/3)-1,"n/a")</f>
        <v>5.6898686735249449E-2</v>
      </c>
      <c r="T81" s="39" t="s">
        <v>89</v>
      </c>
    </row>
    <row r="82" spans="3:20" x14ac:dyDescent="0.2">
      <c r="E82" s="13" t="s">
        <v>93</v>
      </c>
      <c r="F82" s="18">
        <v>14753</v>
      </c>
      <c r="G82" s="18">
        <v>10538</v>
      </c>
      <c r="H82" s="18">
        <v>14624</v>
      </c>
      <c r="I82" s="18">
        <v>14810</v>
      </c>
      <c r="J82" s="18">
        <v>17255</v>
      </c>
      <c r="K82" s="18">
        <v>20797</v>
      </c>
      <c r="L82" s="18">
        <v>34475</v>
      </c>
      <c r="M82" s="18">
        <v>30767</v>
      </c>
      <c r="N82" s="18">
        <v>24812</v>
      </c>
      <c r="O82" s="18">
        <v>27952</v>
      </c>
      <c r="Q82" s="30">
        <f t="shared" si="52"/>
        <v>7.3586271885691446E-2</v>
      </c>
      <c r="R82" s="30">
        <f t="shared" si="53"/>
        <v>-6.7527131592702072E-2</v>
      </c>
      <c r="T82" s="39" t="s">
        <v>90</v>
      </c>
    </row>
    <row r="83" spans="3:20" x14ac:dyDescent="0.2">
      <c r="E83" s="13" t="s">
        <v>94</v>
      </c>
      <c r="F83" s="18">
        <v>5885</v>
      </c>
      <c r="G83" s="18">
        <v>4518</v>
      </c>
      <c r="H83" s="18">
        <v>7578</v>
      </c>
      <c r="I83" s="18">
        <v>8889</v>
      </c>
      <c r="J83" s="18">
        <v>9121</v>
      </c>
      <c r="K83" s="18">
        <v>6242</v>
      </c>
      <c r="L83" s="18">
        <v>5154</v>
      </c>
      <c r="M83" s="18">
        <v>15549</v>
      </c>
      <c r="N83" s="18">
        <v>10958</v>
      </c>
      <c r="O83" s="18">
        <v>7666</v>
      </c>
      <c r="Q83" s="30">
        <f t="shared" si="52"/>
        <v>2.9812214481835575E-2</v>
      </c>
      <c r="R83" s="30">
        <f t="shared" si="53"/>
        <v>0.14149706778136784</v>
      </c>
      <c r="T83" s="39" t="s">
        <v>91</v>
      </c>
    </row>
    <row r="84" spans="3:20" x14ac:dyDescent="0.2">
      <c r="E84" s="13" t="s">
        <v>95</v>
      </c>
      <c r="F84" s="18">
        <v>1098</v>
      </c>
      <c r="G84" s="18">
        <v>713</v>
      </c>
      <c r="H84" s="18">
        <v>876</v>
      </c>
      <c r="I84" s="18">
        <v>1244</v>
      </c>
      <c r="J84" s="18">
        <v>1144</v>
      </c>
      <c r="K84" s="18">
        <v>1156</v>
      </c>
      <c r="L84" s="18">
        <v>1516</v>
      </c>
      <c r="M84" s="18">
        <v>1933</v>
      </c>
      <c r="N84" s="18">
        <v>2020</v>
      </c>
      <c r="O84" s="18">
        <v>1474</v>
      </c>
      <c r="Q84" s="30">
        <f t="shared" si="52"/>
        <v>3.326227060457887E-2</v>
      </c>
      <c r="R84" s="30">
        <f t="shared" si="53"/>
        <v>-9.3214479088485902E-3</v>
      </c>
    </row>
    <row r="85" spans="3:20" ht="13.5" thickBot="1" x14ac:dyDescent="0.25">
      <c r="E85" s="5" t="s">
        <v>87</v>
      </c>
      <c r="F85" s="23">
        <f t="shared" ref="F85:K85" si="54">SUM(F80:F84)</f>
        <v>44636</v>
      </c>
      <c r="G85" s="23">
        <f t="shared" si="54"/>
        <v>28567</v>
      </c>
      <c r="H85" s="23">
        <f t="shared" si="54"/>
        <v>36135</v>
      </c>
      <c r="I85" s="23">
        <f t="shared" si="54"/>
        <v>43638</v>
      </c>
      <c r="J85" s="23">
        <f t="shared" si="54"/>
        <v>44288</v>
      </c>
      <c r="K85" s="23">
        <f t="shared" si="54"/>
        <v>42931</v>
      </c>
      <c r="L85" s="23">
        <f>SUM(L80:L84)</f>
        <v>60817</v>
      </c>
      <c r="M85" s="23">
        <f t="shared" ref="M85:O85" si="55">SUM(M80:M84)</f>
        <v>65098</v>
      </c>
      <c r="N85" s="23">
        <f t="shared" si="55"/>
        <v>53817</v>
      </c>
      <c r="O85" s="23">
        <f t="shared" si="55"/>
        <v>55658</v>
      </c>
      <c r="Q85" s="45">
        <f t="shared" si="52"/>
        <v>2.4823669769025392E-2</v>
      </c>
      <c r="R85" s="45">
        <f t="shared" si="53"/>
        <v>-2.9115574512328934E-2</v>
      </c>
    </row>
    <row r="87" spans="3:20" x14ac:dyDescent="0.2">
      <c r="C87" s="17" t="b" cm="1">
        <f t="array" ref="C87">AND(G87:O87&lt;$B$1,G87:O87&gt;-$B$1)</f>
        <v>1</v>
      </c>
      <c r="E87" s="8" t="s">
        <v>38</v>
      </c>
      <c r="F87" s="21">
        <f>+F85-F11</f>
        <v>0</v>
      </c>
      <c r="G87" s="21">
        <f>+G85-G11</f>
        <v>0</v>
      </c>
      <c r="H87" s="21">
        <f>+H85-H11</f>
        <v>0</v>
      </c>
      <c r="I87" s="21">
        <f>+I85-I11</f>
        <v>0</v>
      </c>
      <c r="J87" s="21">
        <f>+J85-J11</f>
        <v>0</v>
      </c>
      <c r="K87" s="21">
        <f>+K85-K11</f>
        <v>0</v>
      </c>
      <c r="L87" s="21">
        <f>+L85-L11</f>
        <v>0</v>
      </c>
      <c r="M87" s="21">
        <f>+M85-M11</f>
        <v>0</v>
      </c>
      <c r="N87" s="21">
        <f>+N85-N11</f>
        <v>0</v>
      </c>
      <c r="O87" s="21">
        <f>+O85-O11</f>
        <v>0</v>
      </c>
    </row>
    <row r="89" spans="3:20" x14ac:dyDescent="0.2">
      <c r="E89" s="5" t="str">
        <f>Input!$E$8&amp;" Expenses"</f>
        <v>BHP Expenses</v>
      </c>
      <c r="O89" s="9"/>
      <c r="Q89" s="44" t="s">
        <v>111</v>
      </c>
      <c r="R89" s="43"/>
    </row>
    <row r="90" spans="3:20" x14ac:dyDescent="0.2">
      <c r="E90" s="10" t="str">
        <f>+Input!$E$13</f>
        <v>USDmn</v>
      </c>
      <c r="F90" s="41" t="s">
        <v>109</v>
      </c>
      <c r="G90" s="41" t="s">
        <v>104</v>
      </c>
      <c r="H90" s="41" t="s">
        <v>103</v>
      </c>
      <c r="I90" s="41" t="s">
        <v>102</v>
      </c>
      <c r="J90" s="41" t="s">
        <v>101</v>
      </c>
      <c r="K90" s="41" t="s">
        <v>100</v>
      </c>
      <c r="L90" s="41" t="s">
        <v>99</v>
      </c>
      <c r="M90" s="41" t="s">
        <v>98</v>
      </c>
      <c r="N90" s="41" t="s">
        <v>97</v>
      </c>
      <c r="O90" s="41" t="s">
        <v>96</v>
      </c>
      <c r="Q90" s="43" t="s">
        <v>112</v>
      </c>
      <c r="R90" s="43" t="s">
        <v>113</v>
      </c>
    </row>
    <row r="91" spans="3:20" ht="3" customHeight="1" x14ac:dyDescent="0.2"/>
    <row r="92" spans="3:20" x14ac:dyDescent="0.2">
      <c r="E92" s="13" t="s">
        <v>78</v>
      </c>
      <c r="F92" s="18">
        <f>-4537-203-2-358+129</f>
        <v>-4971</v>
      </c>
      <c r="G92" s="18">
        <f>-3324-140-2-221+82</f>
        <v>-3605</v>
      </c>
      <c r="H92" s="18">
        <f>-3392-105-3-273+79</f>
        <v>-3694</v>
      </c>
      <c r="I92" s="18">
        <f>-3653-123-4-292+82</f>
        <v>-3990</v>
      </c>
      <c r="J92" s="18">
        <f>-3683-138-4-292+85</f>
        <v>-4032</v>
      </c>
      <c r="K92" s="18">
        <f>-3706-129-2-283+65</f>
        <v>-4055</v>
      </c>
      <c r="L92" s="18">
        <f>-4399-124-3-316+119</f>
        <v>-4723</v>
      </c>
      <c r="M92" s="18">
        <f>-4197-109-4-338+30</f>
        <v>-4618</v>
      </c>
      <c r="N92" s="18">
        <f>-4539-97-4-339+35</f>
        <v>-4944</v>
      </c>
      <c r="O92" s="18">
        <f>-4633-112-5-374+49</f>
        <v>-5075</v>
      </c>
      <c r="Q92" s="30">
        <f>IFERROR((O92/F92)^(1/9)-1,"n/a")</f>
        <v>2.3032593041694138E-3</v>
      </c>
      <c r="R92" s="30">
        <f>IFERROR((O92/L92)^(1/3)-1,"n/a")</f>
        <v>2.4250143968365112E-2</v>
      </c>
    </row>
    <row r="93" spans="3:20" x14ac:dyDescent="0.2">
      <c r="E93" s="13" t="s">
        <v>79</v>
      </c>
      <c r="F93" s="42" t="s">
        <v>107</v>
      </c>
      <c r="G93" s="18">
        <v>-287</v>
      </c>
      <c r="H93" s="18">
        <v>743</v>
      </c>
      <c r="I93" s="18">
        <v>142</v>
      </c>
      <c r="J93" s="18">
        <v>-496</v>
      </c>
      <c r="K93" s="18">
        <v>326</v>
      </c>
      <c r="L93" s="18">
        <v>334</v>
      </c>
      <c r="M93" s="18">
        <v>774</v>
      </c>
      <c r="N93" s="18">
        <v>-301</v>
      </c>
      <c r="O93" s="18">
        <v>289</v>
      </c>
      <c r="Q93" s="30" t="str">
        <f t="shared" ref="Q93:Q101" si="56">IFERROR((O93/F93)^(1/9)-1,"n/a")</f>
        <v>n/a</v>
      </c>
      <c r="R93" s="30">
        <f t="shared" ref="R93:R101" si="57">IFERROR((O93/L93)^(1/3)-1,"n/a")</f>
        <v>-4.709312860706294E-2</v>
      </c>
    </row>
    <row r="94" spans="3:20" x14ac:dyDescent="0.2">
      <c r="E94" s="13" t="s">
        <v>80</v>
      </c>
      <c r="F94" s="18">
        <v>-4667</v>
      </c>
      <c r="G94" s="18">
        <v>-3985</v>
      </c>
      <c r="H94" s="18">
        <v>-3830</v>
      </c>
      <c r="I94" s="18">
        <v>-4389</v>
      </c>
      <c r="J94" s="18">
        <v>-4591</v>
      </c>
      <c r="K94" s="18">
        <v>-5509</v>
      </c>
      <c r="L94" s="18">
        <v>-4940</v>
      </c>
      <c r="M94" s="18">
        <v>-5991</v>
      </c>
      <c r="N94" s="18">
        <v>-6710</v>
      </c>
      <c r="O94" s="18">
        <v>-6536</v>
      </c>
      <c r="Q94" s="30">
        <f>IFERROR((O94/F94)^(1/9)-1,"n/a")</f>
        <v>3.8132275911563207E-2</v>
      </c>
      <c r="R94" s="30">
        <f t="shared" si="57"/>
        <v>9.7812988864740325E-2</v>
      </c>
    </row>
    <row r="95" spans="3:20" x14ac:dyDescent="0.2">
      <c r="E95" s="13" t="s">
        <v>81</v>
      </c>
      <c r="F95" s="18">
        <v>-2644</v>
      </c>
      <c r="G95" s="18">
        <v>-1648</v>
      </c>
      <c r="H95" s="18">
        <v>-1786</v>
      </c>
      <c r="I95" s="18">
        <v>-2294</v>
      </c>
      <c r="J95" s="18">
        <v>-2378</v>
      </c>
      <c r="K95" s="18">
        <v>-1981</v>
      </c>
      <c r="L95" s="18">
        <v>-2037</v>
      </c>
      <c r="M95" s="18">
        <v>-2319</v>
      </c>
      <c r="N95" s="18">
        <v>-2299</v>
      </c>
      <c r="O95" s="18">
        <v>-2270</v>
      </c>
      <c r="Q95" s="30">
        <f t="shared" si="56"/>
        <v>-1.680312481474644E-2</v>
      </c>
      <c r="R95" s="30">
        <f t="shared" si="57"/>
        <v>3.6760102768658376E-2</v>
      </c>
    </row>
    <row r="96" spans="3:20" x14ac:dyDescent="0.2">
      <c r="E96" s="13" t="s">
        <v>82</v>
      </c>
      <c r="F96" s="18">
        <v>-6284</v>
      </c>
      <c r="G96" s="18">
        <v>-4370</v>
      </c>
      <c r="H96" s="18">
        <v>-4341</v>
      </c>
      <c r="I96" s="18">
        <v>-5217</v>
      </c>
      <c r="J96" s="18">
        <v>-4745</v>
      </c>
      <c r="K96" s="18">
        <v>-4404</v>
      </c>
      <c r="L96" s="18">
        <v>-5260</v>
      </c>
      <c r="M96" s="18">
        <v>-4525</v>
      </c>
      <c r="N96" s="18">
        <v>-4768</v>
      </c>
      <c r="O96" s="18">
        <v>-5795</v>
      </c>
      <c r="Q96" s="30">
        <f t="shared" si="56"/>
        <v>-8.960859322259318E-3</v>
      </c>
      <c r="R96" s="30">
        <f t="shared" si="57"/>
        <v>3.281506810806456E-2</v>
      </c>
    </row>
    <row r="97" spans="3:18" x14ac:dyDescent="0.2">
      <c r="E97" s="13" t="s">
        <v>83</v>
      </c>
      <c r="F97" s="18">
        <v>-1165</v>
      </c>
      <c r="G97" s="18">
        <v>-994</v>
      </c>
      <c r="H97" s="18">
        <v>-1151</v>
      </c>
      <c r="I97" s="18">
        <v>-1452</v>
      </c>
      <c r="J97" s="18">
        <v>-1069</v>
      </c>
      <c r="K97" s="18">
        <v>-1139</v>
      </c>
      <c r="L97" s="18">
        <v>-2230</v>
      </c>
      <c r="M97" s="18">
        <v>-2959</v>
      </c>
      <c r="N97" s="18">
        <v>-1878</v>
      </c>
      <c r="O97" s="18">
        <v>-1977</v>
      </c>
      <c r="Q97" s="30">
        <f t="shared" si="56"/>
        <v>6.0522977980756787E-2</v>
      </c>
      <c r="R97" s="30">
        <f t="shared" si="57"/>
        <v>-3.9345395391863769E-2</v>
      </c>
    </row>
    <row r="98" spans="3:18" x14ac:dyDescent="0.2">
      <c r="E98" s="13" t="s">
        <v>84</v>
      </c>
      <c r="F98" s="18">
        <v>-1708</v>
      </c>
      <c r="G98" s="18">
        <v>-1349</v>
      </c>
      <c r="H98" s="18">
        <v>-1986</v>
      </c>
      <c r="I98" s="18">
        <v>-2168</v>
      </c>
      <c r="J98" s="18">
        <v>-2538</v>
      </c>
      <c r="K98" s="18">
        <v>-2362</v>
      </c>
      <c r="L98" s="18">
        <v>-3217</v>
      </c>
      <c r="M98" s="18">
        <v>-4014</v>
      </c>
      <c r="N98" s="18">
        <v>-3841</v>
      </c>
      <c r="O98" s="18">
        <v>-3571</v>
      </c>
      <c r="Q98" s="30">
        <f t="shared" si="56"/>
        <v>8.5398230729666125E-2</v>
      </c>
      <c r="R98" s="30">
        <f t="shared" si="57"/>
        <v>3.5411370099907247E-2</v>
      </c>
    </row>
    <row r="99" spans="3:18" x14ac:dyDescent="0.2">
      <c r="E99" s="13" t="s">
        <v>85</v>
      </c>
      <c r="F99" s="18">
        <v>-9158</v>
      </c>
      <c r="G99" s="18">
        <v>-6210</v>
      </c>
      <c r="H99" s="18">
        <v>-6184</v>
      </c>
      <c r="I99" s="18">
        <v>-6288</v>
      </c>
      <c r="J99" s="18">
        <v>-5829</v>
      </c>
      <c r="K99" s="18">
        <v>-6112</v>
      </c>
      <c r="L99" s="18">
        <v>-6824</v>
      </c>
      <c r="M99" s="18">
        <v>-5683</v>
      </c>
      <c r="N99" s="18">
        <v>-5061</v>
      </c>
      <c r="O99" s="18">
        <v>-5295</v>
      </c>
      <c r="Q99" s="30">
        <f t="shared" si="56"/>
        <v>-5.9058087246493862E-2</v>
      </c>
      <c r="R99" s="30">
        <f t="shared" si="57"/>
        <v>-8.1084348460514044E-2</v>
      </c>
    </row>
    <row r="100" spans="3:18" x14ac:dyDescent="0.2">
      <c r="E100" s="13" t="s">
        <v>53</v>
      </c>
      <c r="F100" s="18">
        <f>469-670-3445-570-9-636-1552</f>
        <v>-6413</v>
      </c>
      <c r="G100" s="18">
        <f>153-419-170-16-372-819</f>
        <v>-1643</v>
      </c>
      <c r="H100" s="18">
        <f>-103-610-160-33-391-989</f>
        <v>-2286</v>
      </c>
      <c r="I100" s="18">
        <f>93-641-318-14-1-421-1078</f>
        <v>-2380</v>
      </c>
      <c r="J100" s="18">
        <f>147-8-516-250-14-1703</f>
        <v>-2344</v>
      </c>
      <c r="K100" s="18">
        <f>603-422-517-494-2709</f>
        <v>-3539</v>
      </c>
      <c r="L100" s="18">
        <f>-310-145-430-2583-52-2083</f>
        <v>-5603</v>
      </c>
      <c r="M100" s="18">
        <f>326+29-199-515-2677</f>
        <v>-3036</v>
      </c>
      <c r="N100" s="18">
        <f>197-135-294-73-2-1764</f>
        <v>-2071</v>
      </c>
      <c r="O100" s="18">
        <f>-23-84-399-3833-57-2124</f>
        <v>-6520</v>
      </c>
      <c r="Q100" s="30">
        <f t="shared" si="56"/>
        <v>1.8402685275609176E-3</v>
      </c>
      <c r="R100" s="30">
        <f t="shared" si="57"/>
        <v>5.1822179482982511E-2</v>
      </c>
    </row>
    <row r="101" spans="3:18" ht="13.5" thickBot="1" x14ac:dyDescent="0.25">
      <c r="E101" s="5" t="s">
        <v>86</v>
      </c>
      <c r="F101" s="23">
        <f>SUM(F92:F100)</f>
        <v>-37010</v>
      </c>
      <c r="G101" s="23">
        <f>SUM(G92:G100)</f>
        <v>-24091</v>
      </c>
      <c r="H101" s="23">
        <f>SUM(H92:H100)</f>
        <v>-24515</v>
      </c>
      <c r="I101" s="23">
        <f>SUM(I92:I100)</f>
        <v>-28036</v>
      </c>
      <c r="J101" s="23">
        <f>SUM(J92:J100)</f>
        <v>-28022</v>
      </c>
      <c r="K101" s="23">
        <f>SUM(K92:K100)</f>
        <v>-28775</v>
      </c>
      <c r="L101" s="23">
        <f>SUM(L92:L100)</f>
        <v>-34500</v>
      </c>
      <c r="M101" s="23">
        <f>SUM(M92:M100)</f>
        <v>-32371</v>
      </c>
      <c r="N101" s="23">
        <f>SUM(N92:N100)</f>
        <v>-31873</v>
      </c>
      <c r="O101" s="23">
        <f>SUM(O92:O100)</f>
        <v>-36750</v>
      </c>
      <c r="Q101" s="45">
        <f t="shared" si="56"/>
        <v>-7.8301780801481868E-4</v>
      </c>
      <c r="R101" s="45">
        <f t="shared" si="57"/>
        <v>2.1282952880393058E-2</v>
      </c>
    </row>
    <row r="103" spans="3:18" x14ac:dyDescent="0.2">
      <c r="C103" s="17" t="b" cm="1">
        <f t="array" ref="C103">AND(G103:O103&lt;$B$1,G103:O103&gt;-$B$1)</f>
        <v>1</v>
      </c>
      <c r="E103" s="8" t="s">
        <v>38</v>
      </c>
      <c r="F103" s="21">
        <f>+F101-F13</f>
        <v>0</v>
      </c>
      <c r="G103" s="21">
        <f>+G101-G13</f>
        <v>0</v>
      </c>
      <c r="H103" s="21">
        <f>+H101-H13</f>
        <v>0</v>
      </c>
      <c r="I103" s="21">
        <f>+I101-I13</f>
        <v>0</v>
      </c>
      <c r="J103" s="21">
        <f>+J101-J13</f>
        <v>0</v>
      </c>
      <c r="K103" s="21">
        <f>+K101-K13</f>
        <v>0</v>
      </c>
      <c r="L103" s="21">
        <f>+L101-L13</f>
        <v>0</v>
      </c>
      <c r="M103" s="21">
        <f>+M101-M13</f>
        <v>0</v>
      </c>
      <c r="N103" s="21">
        <f>+N101-N13</f>
        <v>0</v>
      </c>
      <c r="O103" s="21">
        <f>+O101-O13</f>
        <v>0</v>
      </c>
    </row>
    <row r="105" spans="3:18" x14ac:dyDescent="0.2"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3:18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3:18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3:18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2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2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2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2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2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2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2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2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2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2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2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2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2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2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2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2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2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2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2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2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2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2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2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2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2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2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2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2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2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2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2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2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2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2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2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2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2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2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2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2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2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2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2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2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2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2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2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2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2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2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2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2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2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2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2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2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2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2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</sheetData>
  <conditionalFormatting sqref="B2">
    <cfRule type="cellIs" dxfId="4" priority="6" operator="equal">
      <formula>TRUE</formula>
    </cfRule>
  </conditionalFormatting>
  <conditionalFormatting sqref="C31">
    <cfRule type="cellIs" dxfId="3" priority="9" operator="equal">
      <formula>TRUE</formula>
    </cfRule>
  </conditionalFormatting>
  <conditionalFormatting sqref="C64">
    <cfRule type="cellIs" dxfId="2" priority="4" operator="equal">
      <formula>TRUE</formula>
    </cfRule>
  </conditionalFormatting>
  <conditionalFormatting sqref="C103">
    <cfRule type="cellIs" dxfId="1" priority="2" operator="equal">
      <formula>TRUE</formula>
    </cfRule>
  </conditionalFormatting>
  <conditionalFormatting sqref="C87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2025-04-03T13:01:56Z</dcterms:modified>
</cp:coreProperties>
</file>