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1FD8E0C4-6B3F-480A-8596-237E2B7A5F7C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10" l="1"/>
  <c r="S21" i="10"/>
  <c r="Q19" i="10"/>
  <c r="P19" i="10"/>
  <c r="O19" i="10"/>
  <c r="N19" i="10"/>
  <c r="M19" i="10"/>
  <c r="L19" i="10"/>
  <c r="K19" i="10"/>
  <c r="I19" i="10"/>
  <c r="H19" i="10"/>
  <c r="G19" i="10"/>
  <c r="F19" i="10"/>
  <c r="R19" i="10"/>
  <c r="S19" i="10"/>
  <c r="I14" i="10"/>
  <c r="H14" i="10"/>
  <c r="G14" i="10"/>
  <c r="F14" i="10"/>
  <c r="R14" i="10"/>
  <c r="Q14" i="10"/>
  <c r="P14" i="10"/>
  <c r="O14" i="10"/>
  <c r="N14" i="10"/>
  <c r="M14" i="10"/>
  <c r="L14" i="10"/>
  <c r="K14" i="10"/>
  <c r="S14" i="10"/>
  <c r="U11" i="10"/>
  <c r="D5" i="12"/>
  <c r="E20" i="12"/>
  <c r="D4" i="12"/>
  <c r="K30" i="12"/>
  <c r="F28" i="12" l="1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F29" i="12" l="1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40" i="10"/>
  <c r="Q40" i="10"/>
  <c r="P40" i="10"/>
  <c r="O40" i="10"/>
  <c r="M40" i="10"/>
  <c r="L40" i="10"/>
  <c r="K40" i="10"/>
  <c r="I40" i="10"/>
  <c r="H40" i="10"/>
  <c r="G40" i="10"/>
  <c r="F40" i="10"/>
  <c r="P79" i="10"/>
  <c r="Q79" i="10" s="1"/>
  <c r="R79" i="10" s="1"/>
  <c r="P77" i="10"/>
  <c r="Q77" i="10" s="1"/>
  <c r="P76" i="10"/>
  <c r="Q76" i="10" s="1"/>
  <c r="R76" i="10" s="1"/>
  <c r="N47" i="10"/>
  <c r="R47" i="10"/>
  <c r="Q39" i="10"/>
  <c r="P39" i="10"/>
  <c r="M39" i="10"/>
  <c r="L39" i="10"/>
  <c r="K39" i="10"/>
  <c r="N36" i="10"/>
  <c r="N34" i="10"/>
  <c r="N33" i="10"/>
  <c r="N31" i="10"/>
  <c r="N29" i="10"/>
  <c r="N28" i="10"/>
  <c r="N27" i="10"/>
  <c r="N26" i="10"/>
  <c r="N25" i="10"/>
  <c r="N24" i="10"/>
  <c r="N23" i="10"/>
  <c r="N22" i="10"/>
  <c r="N21" i="10"/>
  <c r="N39" i="10" s="1"/>
  <c r="R36" i="10"/>
  <c r="R34" i="10"/>
  <c r="R33" i="10"/>
  <c r="R31" i="10"/>
  <c r="R29" i="10"/>
  <c r="R28" i="10"/>
  <c r="R27" i="10"/>
  <c r="R26" i="10"/>
  <c r="R25" i="10"/>
  <c r="R24" i="10"/>
  <c r="R23" i="10"/>
  <c r="R22" i="10"/>
  <c r="R21" i="10"/>
  <c r="S39" i="10" s="1"/>
  <c r="M79" i="10"/>
  <c r="N79" i="10" s="1"/>
  <c r="M77" i="10"/>
  <c r="N77" i="10" s="1"/>
  <c r="M76" i="10"/>
  <c r="N76" i="10" s="1"/>
  <c r="K78" i="10"/>
  <c r="K67" i="10"/>
  <c r="K68" i="10" s="1"/>
  <c r="K62" i="10"/>
  <c r="K56" i="10"/>
  <c r="K30" i="10"/>
  <c r="K32" i="10" s="1"/>
  <c r="K41" i="10" s="1"/>
  <c r="L78" i="10"/>
  <c r="O78" i="10"/>
  <c r="S78" i="10"/>
  <c r="R66" i="10"/>
  <c r="N66" i="10"/>
  <c r="N59" i="10"/>
  <c r="N58" i="10"/>
  <c r="N57" i="10"/>
  <c r="N53" i="10"/>
  <c r="S67" i="10"/>
  <c r="Q67" i="10"/>
  <c r="Q68" i="10" s="1"/>
  <c r="P67" i="10"/>
  <c r="P68" i="10" s="1"/>
  <c r="O67" i="10"/>
  <c r="O68" i="10" s="1"/>
  <c r="M67" i="10"/>
  <c r="M68" i="10" s="1"/>
  <c r="L67" i="10"/>
  <c r="L68" i="10" s="1"/>
  <c r="I67" i="10"/>
  <c r="I68" i="10" s="1"/>
  <c r="H67" i="10"/>
  <c r="H68" i="10" s="1"/>
  <c r="G67" i="10"/>
  <c r="G68" i="10" s="1"/>
  <c r="F67" i="10"/>
  <c r="F68" i="10" s="1"/>
  <c r="N70" i="10"/>
  <c r="R70" i="10"/>
  <c r="S55" i="10"/>
  <c r="S56" i="10" s="1"/>
  <c r="I55" i="10"/>
  <c r="R55" i="10" s="1"/>
  <c r="I54" i="10"/>
  <c r="R54" i="10" s="1"/>
  <c r="H55" i="10"/>
  <c r="N55" i="10" s="1"/>
  <c r="H54" i="10"/>
  <c r="N54" i="10" s="1"/>
  <c r="G55" i="10"/>
  <c r="G54" i="10"/>
  <c r="F55" i="10"/>
  <c r="F54" i="10"/>
  <c r="S60" i="10"/>
  <c r="S61" i="10" s="1"/>
  <c r="S62" i="10" s="1"/>
  <c r="M62" i="10"/>
  <c r="M56" i="10"/>
  <c r="M30" i="10"/>
  <c r="M32" i="10" s="1"/>
  <c r="M41" i="10" s="1"/>
  <c r="L62" i="10"/>
  <c r="L56" i="10"/>
  <c r="L30" i="10"/>
  <c r="L32" i="10" s="1"/>
  <c r="L41" i="10" s="1"/>
  <c r="R65" i="10"/>
  <c r="R59" i="10"/>
  <c r="R58" i="10"/>
  <c r="R57" i="10"/>
  <c r="R53" i="10"/>
  <c r="Q62" i="10"/>
  <c r="Q56" i="10"/>
  <c r="S30" i="10"/>
  <c r="S32" i="10" s="1"/>
  <c r="S41" i="10" s="1"/>
  <c r="Q30" i="10"/>
  <c r="Q32" i="10" s="1"/>
  <c r="Q41" i="10" s="1"/>
  <c r="P56" i="10"/>
  <c r="P30" i="10"/>
  <c r="P32" i="10" s="1"/>
  <c r="P41" i="10" s="1"/>
  <c r="O56" i="10"/>
  <c r="O30" i="10"/>
  <c r="O32" i="10" s="1"/>
  <c r="O41" i="10" s="1"/>
  <c r="F61" i="10"/>
  <c r="G61" i="10"/>
  <c r="H60" i="10"/>
  <c r="H61" i="10" s="1"/>
  <c r="N61" i="10" s="1"/>
  <c r="I60" i="10"/>
  <c r="I61" i="10" s="1"/>
  <c r="R61" i="10" s="1"/>
  <c r="U58" i="10"/>
  <c r="U31" i="10"/>
  <c r="F30" i="10"/>
  <c r="F32" i="10" s="1"/>
  <c r="F35" i="10" s="1"/>
  <c r="U34" i="10"/>
  <c r="U28" i="10"/>
  <c r="U27" i="10"/>
  <c r="U26" i="10"/>
  <c r="U25" i="10"/>
  <c r="U24" i="10"/>
  <c r="I30" i="10"/>
  <c r="I32" i="10" s="1"/>
  <c r="I35" i="10" s="1"/>
  <c r="H30" i="10"/>
  <c r="H32" i="10" s="1"/>
  <c r="H35" i="10" s="1"/>
  <c r="G30" i="10"/>
  <c r="G32" i="10" s="1"/>
  <c r="G35" i="10" s="1"/>
  <c r="R67" i="10" l="1"/>
  <c r="R68" i="10" s="1"/>
  <c r="R40" i="10"/>
  <c r="K63" i="10"/>
  <c r="K71" i="10" s="1"/>
  <c r="N40" i="10"/>
  <c r="S68" i="10"/>
  <c r="F12" i="12"/>
  <c r="F14" i="12" s="1"/>
  <c r="N60" i="10"/>
  <c r="N62" i="10" s="1"/>
  <c r="R39" i="10"/>
  <c r="R30" i="10"/>
  <c r="R32" i="10" s="1"/>
  <c r="R41" i="10" s="1"/>
  <c r="N67" i="10"/>
  <c r="N68" i="10" s="1"/>
  <c r="P78" i="10"/>
  <c r="R77" i="10"/>
  <c r="R78" i="10" s="1"/>
  <c r="N78" i="10"/>
  <c r="N30" i="10"/>
  <c r="N32" i="10" s="1"/>
  <c r="O39" i="10"/>
  <c r="M78" i="10"/>
  <c r="Q78" i="10"/>
  <c r="K35" i="10"/>
  <c r="K42" i="10" s="1"/>
  <c r="N56" i="10"/>
  <c r="M63" i="10"/>
  <c r="M71" i="10" s="1"/>
  <c r="R60" i="10"/>
  <c r="R62" i="10" s="1"/>
  <c r="M35" i="10"/>
  <c r="M42" i="10" s="1"/>
  <c r="L63" i="10"/>
  <c r="L71" i="10" s="1"/>
  <c r="L35" i="10"/>
  <c r="L42" i="10" s="1"/>
  <c r="R56" i="10"/>
  <c r="S63" i="10"/>
  <c r="S71" i="10" s="1"/>
  <c r="Q35" i="10"/>
  <c r="Q42" i="10" s="1"/>
  <c r="Q63" i="10"/>
  <c r="Q71" i="10" s="1"/>
  <c r="S35" i="10"/>
  <c r="S42" i="10" s="1"/>
  <c r="P35" i="10"/>
  <c r="P62" i="10"/>
  <c r="P63" i="10" s="1"/>
  <c r="P71" i="10" s="1"/>
  <c r="O35" i="10"/>
  <c r="O42" i="10" s="1"/>
  <c r="U55" i="10"/>
  <c r="O62" i="10"/>
  <c r="O63" i="10" s="1"/>
  <c r="O71" i="10" s="1"/>
  <c r="U54" i="10"/>
  <c r="U30" i="10"/>
  <c r="E73" i="10"/>
  <c r="E8" i="10"/>
  <c r="E50" i="10"/>
  <c r="N63" i="10" l="1"/>
  <c r="N71" i="10" s="1"/>
  <c r="P37" i="10"/>
  <c r="P42" i="10"/>
  <c r="N35" i="10"/>
  <c r="N42" i="10" s="1"/>
  <c r="N41" i="10"/>
  <c r="R35" i="10"/>
  <c r="R42" i="10" s="1"/>
  <c r="K37" i="10"/>
  <c r="R63" i="10"/>
  <c r="R71" i="10" s="1"/>
  <c r="M37" i="10"/>
  <c r="Q37" i="10"/>
  <c r="Q43" i="10" s="1"/>
  <c r="L37" i="10"/>
  <c r="S37" i="10"/>
  <c r="O37" i="10"/>
  <c r="G16" i="4"/>
  <c r="H16" i="4" s="1"/>
  <c r="I16" i="4" s="1"/>
  <c r="J16" i="4" s="1"/>
  <c r="U79" i="10"/>
  <c r="U77" i="10"/>
  <c r="U64" i="10"/>
  <c r="U60" i="10"/>
  <c r="U59" i="10"/>
  <c r="U57" i="10"/>
  <c r="U76" i="10"/>
  <c r="U53" i="10"/>
  <c r="U36" i="10"/>
  <c r="U29" i="10"/>
  <c r="U23" i="10"/>
  <c r="U22" i="10"/>
  <c r="U21" i="10"/>
  <c r="F62" i="10"/>
  <c r="G62" i="10"/>
  <c r="F56" i="10"/>
  <c r="G56" i="10"/>
  <c r="F41" i="10"/>
  <c r="E74" i="10"/>
  <c r="E51" i="10"/>
  <c r="E9" i="10"/>
  <c r="H78" i="10"/>
  <c r="G78" i="10"/>
  <c r="F78" i="10"/>
  <c r="I78" i="10"/>
  <c r="I39" i="10"/>
  <c r="G39" i="10"/>
  <c r="F39" i="10"/>
  <c r="H62" i="10"/>
  <c r="I62" i="10"/>
  <c r="H56" i="10"/>
  <c r="I56" i="10"/>
  <c r="H41" i="10"/>
  <c r="G41" i="10"/>
  <c r="D5" i="10"/>
  <c r="D3" i="10"/>
  <c r="A3" i="4"/>
  <c r="A1" i="4"/>
  <c r="A3" i="2"/>
  <c r="A1" i="2"/>
  <c r="A2" i="3"/>
  <c r="A2" i="2" s="1"/>
  <c r="R37" i="10" l="1"/>
  <c r="S43" i="10" s="1"/>
  <c r="P48" i="10"/>
  <c r="P43" i="10"/>
  <c r="M43" i="10"/>
  <c r="N37" i="10"/>
  <c r="N48" i="10" s="1"/>
  <c r="L43" i="10"/>
  <c r="K43" i="10"/>
  <c r="K48" i="10"/>
  <c r="Q48" i="10"/>
  <c r="M48" i="10"/>
  <c r="L48" i="10"/>
  <c r="S48" i="10"/>
  <c r="O48" i="10"/>
  <c r="U33" i="10"/>
  <c r="U56" i="10"/>
  <c r="U62" i="10"/>
  <c r="U65" i="10"/>
  <c r="U61" i="10"/>
  <c r="U78" i="10"/>
  <c r="G63" i="10"/>
  <c r="G71" i="10" s="1"/>
  <c r="F63" i="10"/>
  <c r="F71" i="10" s="1"/>
  <c r="I63" i="10"/>
  <c r="I71" i="10" s="1"/>
  <c r="H63" i="10"/>
  <c r="H71" i="10" s="1"/>
  <c r="A2" i="4"/>
  <c r="D4" i="10"/>
  <c r="A2" i="1"/>
  <c r="A3" i="1"/>
  <c r="A1" i="3"/>
  <c r="R43" i="10" l="1"/>
  <c r="R48" i="10"/>
  <c r="N43" i="10"/>
  <c r="O43" i="10"/>
  <c r="U63" i="10"/>
  <c r="H37" i="10"/>
  <c r="H48" i="10" s="1"/>
  <c r="H42" i="10"/>
  <c r="G37" i="10"/>
  <c r="G48" i="10" s="1"/>
  <c r="G42" i="10"/>
  <c r="F37" i="10"/>
  <c r="F42" i="10"/>
  <c r="I41" i="10"/>
  <c r="U32" i="10"/>
  <c r="A1" i="1"/>
  <c r="G43" i="10" l="1"/>
  <c r="H43" i="10"/>
  <c r="F43" i="10"/>
  <c r="F48" i="10"/>
  <c r="U35" i="10"/>
  <c r="I42" i="10"/>
  <c r="I37" i="10"/>
  <c r="F16" i="12" s="1"/>
  <c r="C71" i="10" a="1"/>
  <c r="C71" i="10" s="1"/>
  <c r="I43" i="10" l="1"/>
  <c r="U37" i="10"/>
  <c r="I48" i="10"/>
  <c r="C48" i="10" s="1" a="1"/>
  <c r="C48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<sst xmlns="http://schemas.openxmlformats.org/spreadsheetml/2006/main" count="175" uniqueCount="142">
  <si>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</si>
  <si>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</si>
  <si>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</si>
  <si>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</si>
  <si>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</si>
  <si>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</si>
  <si>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</si>
  <si>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</si>
  <si>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</si>
  <si>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</si>
  <si>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</si>
  <si>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</si>
  <si>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</si>
  <si>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</si>
  <si>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</si>
  <si>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</si>
  <si>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</si>
  <si>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</si>
  <si>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</si>
  <si>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</si>
  <si>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</si>
  <si>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</si>
  <si>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</si>
  <si>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</si>
  <si>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</si>
  <si>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</si>
  <si>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</si>
  <si>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</si>
  <si>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</si>
  <si>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</si>
  <si>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</si>
  <si>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</si>
  <si>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</si>
  <si>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</si>
  <si>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</si>
  <si>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</si>
  <si>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</si>
  <si>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</si>
  <si>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</si>
  <si>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</si>
  <si>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</si>
  <si>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</si>
  <si>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</si>
  <si>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</si>
  <si>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</si>
  <si>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</si>
  <si>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</si>
  <si>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</si>
  <si>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</si>
  <si>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</si>
  <si>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</si>
  <si>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</si>
  <si>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</si>
  <si>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</si>
  <si>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</si>
  <si>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</si>
  <si>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</si>
  <si>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</si>
  <si>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</si>
  <si>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</si>
  <si>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</si>
  <si>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</si>
  <si>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</si>
  <si>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</si>
  <si>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</si>
  <si>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</si>
  <si>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</si>
  <si>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</si>
  <si>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</si>
  <si>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</si>
  <si>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</si>
  <si>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</si>
  <si>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</si>
  <si>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</si>
  <si>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</si>
  <si>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</si>
  <si>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</si>
  <si>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</si>
  <si>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</si>
  <si>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</si>
  <si>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</si>
  <si>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</si>
  <si>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</si>
  <si>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</si>
  <si>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</si>
  <si>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</si>
  <si>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</si>
  <si>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</si>
  <si>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</si>
  <si>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</si>
  <si>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</si>
  <si>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</si>
  <si>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</si>
  <si>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</si>
  <si>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</si>
  <si>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</si>
  <si>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</si>
  <si>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</si>
  <si>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</si>
  <si>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</si>
  <si>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</si>
  <si>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</si>
  <si>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</si>
  <si>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</si>
  <si>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</si>
  <si>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</si>
  <si>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</si>
  <si>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</si>
  <si>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</si>
  <si>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</si>
  <si>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</si>
  <si>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</si>
  <si>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</si>
  <si>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</si>
  <si>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</si>
  <si>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</si>
  <si>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</si>
  <si>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</si>
  <si>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</si>
  <si>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</si>
  <si>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</si>
  <si>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</si>
  <si>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</si>
  <si>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</si>
  <si>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</si>
  <si>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</si>
  <si>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</si>
  <si>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</si>
  <si>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</si>
  <si>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</si>
  <si>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</si>
  <si>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</si>
  <si>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</si>
  <si>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</si>
  <si>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</si>
  <si>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</si>
  <si>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</si>
  <si>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</si>
  <si>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</si>
  <si>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</si>
  <si>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</si>
  <si>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Other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</si>
</sst>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5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D5" sqref="D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32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114</v>
      </c>
      <c r="F11" s="17">
        <v>50752</v>
      </c>
      <c r="G11" s="49"/>
      <c r="H11" s="49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Historical!S67*-1</f>
        <v>-10276.223</v>
      </c>
      <c r="G12" s="50"/>
      <c r="H12" s="50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115</v>
      </c>
      <c r="F13" s="16">
        <f>+Historical!S66</f>
        <v>4509.7</v>
      </c>
      <c r="G13" s="50"/>
      <c r="H13" s="50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116</v>
      </c>
      <c r="F14" s="17">
        <f>SUM(F11:F13)</f>
        <v>44985.476999999999</v>
      </c>
      <c r="G14" s="50"/>
      <c r="H14" s="50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129</v>
      </c>
      <c r="F16" s="51">
        <f>+F11/Historical!I37</f>
        <v>19.678441730455905</v>
      </c>
      <c r="G16" s="50"/>
      <c r="H16" s="50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130</v>
      </c>
      <c r="F17" s="51">
        <f>+F11/Historical!I65</f>
        <v>4.938482074551696</v>
      </c>
      <c r="G17" s="50"/>
      <c r="H17" s="50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</v>
      </c>
      <c r="F20" s="52" t="s">
        <v>117</v>
      </c>
      <c r="G20" s="52" t="s">
        <v>118</v>
      </c>
      <c r="H20" s="52" t="s">
        <v>119</v>
      </c>
      <c r="I20" s="52" t="s">
        <v>120</v>
      </c>
      <c r="J20" s="52" t="s">
        <v>121</v>
      </c>
      <c r="K20" s="53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123</v>
      </c>
      <c r="N23" s="16"/>
      <c r="O23" s="16"/>
      <c r="P23" s="16"/>
    </row>
    <row r="24" spans="5:16" x14ac:dyDescent="0.2">
      <c r="E24" s="5" t="s">
        <v>124</v>
      </c>
      <c r="F24" s="54">
        <f>SUM(F22:F23)</f>
        <v>0</v>
      </c>
      <c r="G24" s="54">
        <f t="shared" ref="G24:K24" si="0">SUM(G22:G23)</f>
        <v>0</v>
      </c>
      <c r="H24" s="54">
        <f t="shared" si="0"/>
        <v>0</v>
      </c>
      <c r="I24" s="54">
        <f t="shared" si="0"/>
        <v>0</v>
      </c>
      <c r="J24" s="54">
        <f t="shared" si="0"/>
        <v>0</v>
      </c>
      <c r="K24" s="54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55">
        <f>+Input!E22</f>
        <v>0</v>
      </c>
      <c r="G25" s="55">
        <f>F25</f>
        <v>0</v>
      </c>
      <c r="H25" s="55">
        <f t="shared" ref="H25:K27" si="1">G25</f>
        <v>0</v>
      </c>
      <c r="I25" s="55">
        <f t="shared" si="1"/>
        <v>0</v>
      </c>
      <c r="J25" s="55">
        <f t="shared" si="1"/>
        <v>0</v>
      </c>
      <c r="K25" s="55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46">
        <f>+Input!E24</f>
        <v>0</v>
      </c>
      <c r="G26" s="46">
        <f>F26</f>
        <v>0</v>
      </c>
      <c r="H26" s="46">
        <f t="shared" si="1"/>
        <v>0</v>
      </c>
      <c r="I26" s="46">
        <f t="shared" si="1"/>
        <v>0</v>
      </c>
      <c r="J26" s="46">
        <f t="shared" si="1"/>
        <v>0</v>
      </c>
      <c r="K26" s="46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55">
        <f>+Input!E23</f>
        <v>0</v>
      </c>
      <c r="G27" s="55">
        <f>F27</f>
        <v>0</v>
      </c>
      <c r="H27" s="55">
        <f t="shared" si="1"/>
        <v>0</v>
      </c>
      <c r="I27" s="55">
        <f t="shared" si="1"/>
        <v>0</v>
      </c>
      <c r="J27" s="55">
        <f t="shared" si="1"/>
        <v>0</v>
      </c>
      <c r="K27" s="55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55">
        <f>+Input!E25</f>
        <v>0</v>
      </c>
      <c r="G28" s="55">
        <f t="shared" ref="G28:K28" si="2">F28</f>
        <v>0</v>
      </c>
      <c r="H28" s="55">
        <f t="shared" si="2"/>
        <v>0</v>
      </c>
      <c r="I28" s="55">
        <f t="shared" si="2"/>
        <v>0</v>
      </c>
      <c r="J28" s="55">
        <f t="shared" si="2"/>
        <v>0</v>
      </c>
      <c r="K28" s="55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125</v>
      </c>
      <c r="F29" s="55">
        <f>F26*F27+F28</f>
        <v>0</v>
      </c>
      <c r="G29" s="55">
        <f t="shared" ref="G29:K29" si="3">G26*G27+G28</f>
        <v>0</v>
      </c>
      <c r="H29" s="55">
        <f t="shared" si="3"/>
        <v>0</v>
      </c>
      <c r="I29" s="55">
        <f t="shared" si="3"/>
        <v>0</v>
      </c>
      <c r="J29" s="55">
        <f t="shared" si="3"/>
        <v>0</v>
      </c>
      <c r="K29" s="55">
        <f t="shared" si="3"/>
        <v>0</v>
      </c>
      <c r="L29" s="55"/>
      <c r="M29" s="16"/>
      <c r="N29" s="16"/>
      <c r="O29" s="16"/>
      <c r="P29" s="16"/>
    </row>
    <row r="30" spans="5:16" outlineLevel="1" x14ac:dyDescent="0.2">
      <c r="E30" t="s">
        <v>51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55">
        <f>F29+F25+F30</f>
        <v>0</v>
      </c>
      <c r="G31" s="55">
        <f t="shared" ref="G31:K31" si="4">G29+G25+G30</f>
        <v>0</v>
      </c>
      <c r="H31" s="55">
        <f t="shared" si="4"/>
        <v>0</v>
      </c>
      <c r="I31" s="55">
        <f t="shared" si="4"/>
        <v>0</v>
      </c>
      <c r="J31" s="55">
        <f t="shared" si="4"/>
        <v>0</v>
      </c>
      <c r="K31" s="55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126</v>
      </c>
      <c r="F32" s="46">
        <f>1/(1+F31)^1</f>
        <v>1</v>
      </c>
      <c r="G32" s="46">
        <f>F32/(1+G31)^1</f>
        <v>1</v>
      </c>
      <c r="H32" s="46">
        <f t="shared" ref="H32:J32" si="5">G32/(1+H31)^1</f>
        <v>1</v>
      </c>
      <c r="I32" s="46">
        <f t="shared" si="5"/>
        <v>1</v>
      </c>
      <c r="J32" s="46">
        <f t="shared" si="5"/>
        <v>1</v>
      </c>
      <c r="K32" s="46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127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128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73"/>
  <sheetViews>
    <sheetView showGridLines="0" tabSelected="1" zoomScale="115" zoomScaleNormal="115" workbookViewId="0">
      <selection activeCell="O7" sqref="O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111</v>
      </c>
      <c r="O8" s="5"/>
      <c r="P8" s="9"/>
      <c r="Q8" s="9"/>
      <c r="R8" s="41" t="s">
        <v>111</v>
      </c>
      <c r="S8" s="9"/>
      <c r="U8" s="34" t="s">
        <v>47</v>
      </c>
      <c r="W8" s="31" t="s">
        <v>42</v>
      </c>
    </row>
    <row r="9" spans="2:23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7" t="s">
        <v>110</v>
      </c>
      <c r="L9" s="47" t="s">
        <v>105</v>
      </c>
      <c r="M9" s="47" t="s">
        <v>104</v>
      </c>
      <c r="N9" s="47" t="s">
        <v>103</v>
      </c>
      <c r="O9" s="48" t="s">
        <v>96</v>
      </c>
      <c r="P9" s="48" t="s">
        <v>102</v>
      </c>
      <c r="Q9" s="48" t="s">
        <v>97</v>
      </c>
      <c r="R9" s="48" t="s">
        <v>95</v>
      </c>
      <c r="S9" s="32" t="s">
        <v>94</v>
      </c>
      <c r="U9" s="33" t="s">
        <v>48</v>
      </c>
    </row>
    <row r="10" spans="2:23" ht="3" customHeight="1" x14ac:dyDescent="0.2"/>
    <row r="11" spans="2:23" x14ac:dyDescent="0.2">
      <c r="E11" s="56" t="s">
        <v>133</v>
      </c>
      <c r="F11" s="16"/>
      <c r="G11" s="16"/>
      <c r="H11" s="16"/>
      <c r="I11" s="16"/>
      <c r="K11" s="16"/>
      <c r="L11" s="16"/>
      <c r="M11" s="16"/>
      <c r="N11" s="16"/>
      <c r="O11" s="16">
        <v>935.21199999999999</v>
      </c>
      <c r="P11" s="16"/>
      <c r="Q11" s="16"/>
      <c r="R11" s="16"/>
      <c r="S11" s="16">
        <v>1095.5060000000001</v>
      </c>
      <c r="U11" s="25" t="str">
        <f>IFERROR((I11/F11)^(1/3)-1,"n/a")</f>
        <v>n/a</v>
      </c>
    </row>
    <row r="12" spans="2:23" x14ac:dyDescent="0.2">
      <c r="E12" s="56" t="s">
        <v>134</v>
      </c>
      <c r="F12" s="16"/>
      <c r="G12" s="16"/>
      <c r="H12" s="16"/>
      <c r="I12" s="16"/>
      <c r="K12" s="16"/>
      <c r="L12" s="16"/>
      <c r="M12" s="16"/>
      <c r="N12" s="16"/>
      <c r="O12" s="16">
        <v>85.391999999999996</v>
      </c>
      <c r="P12" s="16"/>
      <c r="Q12" s="16"/>
      <c r="R12" s="16"/>
      <c r="S12" s="16">
        <v>98.888000000000005</v>
      </c>
      <c r="U12" s="25"/>
    </row>
    <row r="13" spans="2:23" x14ac:dyDescent="0.2">
      <c r="E13" s="56" t="s">
        <v>135</v>
      </c>
      <c r="F13" s="18"/>
      <c r="G13" s="18"/>
      <c r="H13" s="18"/>
      <c r="I13" s="18"/>
      <c r="K13" s="18"/>
      <c r="L13" s="18"/>
      <c r="M13" s="18"/>
      <c r="N13" s="18"/>
      <c r="O13" s="18">
        <v>56.137</v>
      </c>
      <c r="P13" s="18"/>
      <c r="Q13" s="18"/>
      <c r="R13" s="18"/>
      <c r="S13" s="18">
        <v>67.813999999999993</v>
      </c>
      <c r="U13" s="25"/>
    </row>
    <row r="14" spans="2:23" x14ac:dyDescent="0.2">
      <c r="E14" s="13" t="s">
        <v>132</v>
      </c>
      <c r="F14" s="16">
        <f t="shared" ref="F14" si="0">SUM(F11:F13)</f>
        <v>0</v>
      </c>
      <c r="G14" s="16">
        <f t="shared" ref="G14" si="1">SUM(G11:G13)</f>
        <v>0</v>
      </c>
      <c r="H14" s="16">
        <f t="shared" ref="H14" si="2">SUM(H11:H13)</f>
        <v>0</v>
      </c>
      <c r="I14" s="16">
        <f t="shared" ref="I14" si="3">SUM(I11:I13)</f>
        <v>0</v>
      </c>
      <c r="K14" s="16">
        <f t="shared" ref="K14:R14" si="4">SUM(K11:K13)</f>
        <v>0</v>
      </c>
      <c r="L14" s="16">
        <f t="shared" si="4"/>
        <v>0</v>
      </c>
      <c r="M14" s="16">
        <f t="shared" si="4"/>
        <v>0</v>
      </c>
      <c r="N14" s="16">
        <f t="shared" si="4"/>
        <v>0</v>
      </c>
      <c r="O14" s="16">
        <f t="shared" si="4"/>
        <v>1076.741</v>
      </c>
      <c r="P14" s="16">
        <f t="shared" si="4"/>
        <v>0</v>
      </c>
      <c r="Q14" s="16">
        <f t="shared" si="4"/>
        <v>0</v>
      </c>
      <c r="R14" s="16">
        <f t="shared" si="4"/>
        <v>0</v>
      </c>
      <c r="S14" s="16">
        <f>SUM(S11:S13)</f>
        <v>1262.2080000000001</v>
      </c>
      <c r="U14" s="25"/>
    </row>
    <row r="15" spans="2:23" x14ac:dyDescent="0.2">
      <c r="E15" s="56" t="s">
        <v>136</v>
      </c>
      <c r="F15" s="16"/>
      <c r="G15" s="16"/>
      <c r="H15" s="16"/>
      <c r="I15" s="16"/>
      <c r="K15" s="16"/>
      <c r="L15" s="16"/>
      <c r="M15" s="16"/>
      <c r="N15" s="16"/>
      <c r="O15" s="16">
        <v>197.31700000000001</v>
      </c>
      <c r="P15" s="16"/>
      <c r="Q15" s="16"/>
      <c r="R15" s="16"/>
      <c r="S15" s="16">
        <v>297.53500000000003</v>
      </c>
      <c r="U15" s="25"/>
    </row>
    <row r="16" spans="2:23" x14ac:dyDescent="0.2">
      <c r="E16" s="56" t="s">
        <v>137</v>
      </c>
      <c r="F16" s="16"/>
      <c r="G16" s="16"/>
      <c r="H16" s="16"/>
      <c r="I16" s="16"/>
      <c r="K16" s="16"/>
      <c r="L16" s="16"/>
      <c r="M16" s="16"/>
      <c r="N16" s="16"/>
      <c r="O16" s="16">
        <v>150.929</v>
      </c>
      <c r="P16" s="16"/>
      <c r="Q16" s="16"/>
      <c r="R16" s="16"/>
      <c r="S16" s="16">
        <v>196.59200000000001</v>
      </c>
      <c r="U16" s="25"/>
    </row>
    <row r="17" spans="5:21" x14ac:dyDescent="0.2">
      <c r="E17" s="56" t="s">
        <v>138</v>
      </c>
      <c r="F17" s="16"/>
      <c r="G17" s="16"/>
      <c r="H17" s="16"/>
      <c r="I17" s="16"/>
      <c r="K17" s="16"/>
      <c r="L17" s="16"/>
      <c r="M17" s="16"/>
      <c r="N17" s="16"/>
      <c r="O17" s="16">
        <v>66.662999999999997</v>
      </c>
      <c r="P17" s="16"/>
      <c r="Q17" s="16"/>
      <c r="R17" s="16"/>
      <c r="S17" s="16">
        <v>63.085999999999999</v>
      </c>
      <c r="U17" s="25"/>
    </row>
    <row r="18" spans="5:21" x14ac:dyDescent="0.2">
      <c r="E18" s="56" t="s">
        <v>139</v>
      </c>
      <c r="F18" s="18"/>
      <c r="G18" s="18"/>
      <c r="H18" s="18"/>
      <c r="I18" s="18"/>
      <c r="K18" s="18"/>
      <c r="L18" s="18"/>
      <c r="M18" s="18"/>
      <c r="N18" s="18"/>
      <c r="O18" s="18">
        <v>96.027000000000001</v>
      </c>
      <c r="P18" s="18"/>
      <c r="Q18" s="18"/>
      <c r="R18" s="18"/>
      <c r="S18" s="18">
        <v>140.898</v>
      </c>
      <c r="U18" s="25"/>
    </row>
    <row r="19" spans="5:21" x14ac:dyDescent="0.2">
      <c r="E19" s="13" t="s">
        <v>140</v>
      </c>
      <c r="F19" s="16">
        <f t="shared" ref="F19:Q19" si="5">SUM(F15:F18)</f>
        <v>0</v>
      </c>
      <c r="G19" s="16">
        <f t="shared" si="5"/>
        <v>0</v>
      </c>
      <c r="H19" s="16">
        <f t="shared" si="5"/>
        <v>0</v>
      </c>
      <c r="I19" s="16">
        <f t="shared" si="5"/>
        <v>0</v>
      </c>
      <c r="K19" s="16">
        <f t="shared" si="5"/>
        <v>0</v>
      </c>
      <c r="L19" s="16">
        <f t="shared" si="5"/>
        <v>0</v>
      </c>
      <c r="M19" s="16">
        <f t="shared" si="5"/>
        <v>0</v>
      </c>
      <c r="N19" s="16">
        <f t="shared" si="5"/>
        <v>0</v>
      </c>
      <c r="O19" s="16">
        <f t="shared" si="5"/>
        <v>510.93599999999998</v>
      </c>
      <c r="P19" s="16">
        <f t="shared" si="5"/>
        <v>0</v>
      </c>
      <c r="Q19" s="16">
        <f t="shared" si="5"/>
        <v>0</v>
      </c>
      <c r="R19" s="16">
        <f>SUM(R15:R18)</f>
        <v>0</v>
      </c>
      <c r="S19" s="16">
        <f>SUM(S15:S18)</f>
        <v>698.1110000000001</v>
      </c>
      <c r="U19" s="25"/>
    </row>
    <row r="20" spans="5:21" x14ac:dyDescent="0.2">
      <c r="E20" s="13" t="s">
        <v>141</v>
      </c>
      <c r="F20" s="18"/>
      <c r="G20" s="18"/>
      <c r="H20" s="18"/>
      <c r="I20" s="18"/>
      <c r="K20" s="18"/>
      <c r="L20" s="18"/>
      <c r="M20" s="18"/>
      <c r="N20" s="18"/>
      <c r="O20" s="18">
        <v>49.893000000000001</v>
      </c>
      <c r="P20" s="18"/>
      <c r="Q20" s="18"/>
      <c r="R20" s="18"/>
      <c r="S20" s="18">
        <v>73.975999999999999</v>
      </c>
      <c r="U20" s="25"/>
    </row>
    <row r="21" spans="5:21" x14ac:dyDescent="0.2">
      <c r="E21" s="14" t="s">
        <v>81</v>
      </c>
      <c r="F21" s="17">
        <v>7839.4440000000004</v>
      </c>
      <c r="G21" s="17">
        <v>3194.2080000000001</v>
      </c>
      <c r="H21" s="17">
        <v>3108.3829999999998</v>
      </c>
      <c r="I21" s="17">
        <v>6564.0280000000002</v>
      </c>
      <c r="K21" s="17">
        <v>772.529</v>
      </c>
      <c r="L21" s="17">
        <v>707.91099999999994</v>
      </c>
      <c r="M21" s="17">
        <v>674.14800000000002</v>
      </c>
      <c r="N21" s="17">
        <f>H21-SUM(K21:M21)</f>
        <v>953.79499999999962</v>
      </c>
      <c r="O21" s="17">
        <f>SUM(O19:O20,O14)</f>
        <v>1637.57</v>
      </c>
      <c r="P21" s="17">
        <v>1449.6279999999999</v>
      </c>
      <c r="Q21" s="17">
        <v>1205.193</v>
      </c>
      <c r="R21" s="17">
        <f>I21-SUM(O21:Q21)</f>
        <v>2271.6370000000006</v>
      </c>
      <c r="S21" s="17">
        <f>SUM(S19:S20,S14)</f>
        <v>2034.2950000000001</v>
      </c>
      <c r="U21" s="35">
        <f>IFERROR((I21/F21)^(1/3)-1,"n/a")</f>
        <v>-5.7470277979168927E-2</v>
      </c>
    </row>
    <row r="22" spans="5:21" x14ac:dyDescent="0.2">
      <c r="E22" s="13" t="s">
        <v>72</v>
      </c>
      <c r="F22" s="16">
        <v>-1267.924</v>
      </c>
      <c r="G22" s="16">
        <v>-629.88</v>
      </c>
      <c r="H22" s="16">
        <v>-420.70499999999998</v>
      </c>
      <c r="I22" s="16">
        <v>-897.70699999999999</v>
      </c>
      <c r="K22" s="16">
        <v>-96.369</v>
      </c>
      <c r="L22" s="16">
        <v>-108.2</v>
      </c>
      <c r="M22" s="16">
        <v>-90.576999999999998</v>
      </c>
      <c r="N22" s="16">
        <f t="shared" ref="N22:N36" si="6">H22-SUM(K22:M22)</f>
        <v>-125.55899999999997</v>
      </c>
      <c r="O22" s="16">
        <v>-217.40700000000001</v>
      </c>
      <c r="P22" s="16">
        <v>-191.477</v>
      </c>
      <c r="Q22" s="16">
        <v>-171.78100000000001</v>
      </c>
      <c r="R22" s="16">
        <f t="shared" ref="R22:R36" si="7">I22-SUM(O22:Q22)</f>
        <v>-317.04200000000003</v>
      </c>
      <c r="S22" s="16">
        <v>-303.02600000000001</v>
      </c>
      <c r="U22" s="25">
        <f>IFERROR((I22/F22)^(1/3)-1,"n/a")</f>
        <v>-0.10872074872291071</v>
      </c>
    </row>
    <row r="23" spans="5:21" x14ac:dyDescent="0.2">
      <c r="E23" s="13" t="s">
        <v>73</v>
      </c>
      <c r="F23" s="16">
        <v>-1291.5609999999999</v>
      </c>
      <c r="G23" s="16">
        <v>-2326.3539999999998</v>
      </c>
      <c r="H23" s="16">
        <v>-1324.5409999999999</v>
      </c>
      <c r="I23" s="16">
        <v>-1468.252</v>
      </c>
      <c r="K23" s="16">
        <v>-358.03100000000001</v>
      </c>
      <c r="L23" s="16">
        <v>-320.66699999999997</v>
      </c>
      <c r="M23" s="16">
        <v>-322.75599999999997</v>
      </c>
      <c r="N23" s="16">
        <f t="shared" si="6"/>
        <v>-323.08699999999999</v>
      </c>
      <c r="O23" s="16">
        <v>-357.863</v>
      </c>
      <c r="P23" s="16">
        <v>-364.25799999999998</v>
      </c>
      <c r="Q23" s="16">
        <v>-377.44</v>
      </c>
      <c r="R23" s="16">
        <f t="shared" si="7"/>
        <v>-368.69100000000003</v>
      </c>
      <c r="S23" s="16">
        <v>-355.36799999999999</v>
      </c>
      <c r="U23" s="25">
        <f>IFERROR((I23/F23)^(1/3)-1,"n/a")</f>
        <v>4.3666858777077211E-2</v>
      </c>
    </row>
    <row r="24" spans="5:21" x14ac:dyDescent="0.2">
      <c r="E24" s="13" t="s">
        <v>74</v>
      </c>
      <c r="F24" s="16">
        <v>-663.68899999999996</v>
      </c>
      <c r="G24" s="16">
        <v>-510.089</v>
      </c>
      <c r="H24" s="16">
        <v>-332.31200000000001</v>
      </c>
      <c r="I24" s="16">
        <v>-654.44399999999996</v>
      </c>
      <c r="K24" s="16">
        <v>-63.975999999999999</v>
      </c>
      <c r="L24" s="16">
        <v>-83.852999999999994</v>
      </c>
      <c r="M24" s="16">
        <v>-78.177999999999997</v>
      </c>
      <c r="N24" s="16">
        <f t="shared" si="6"/>
        <v>-106.30500000000001</v>
      </c>
      <c r="O24" s="16">
        <v>-98.584999999999994</v>
      </c>
      <c r="P24" s="16">
        <v>-165.262</v>
      </c>
      <c r="Q24" s="16">
        <v>-164.77</v>
      </c>
      <c r="R24" s="16">
        <f t="shared" si="7"/>
        <v>-225.827</v>
      </c>
      <c r="S24" s="16">
        <v>-247.28299999999999</v>
      </c>
      <c r="U24" s="25">
        <f>IFERROR((I24/F24)^(1/3)-1,"n/a")</f>
        <v>-4.6649671056675501E-3</v>
      </c>
    </row>
    <row r="25" spans="5:21" x14ac:dyDescent="0.2">
      <c r="E25" s="13" t="s">
        <v>75</v>
      </c>
      <c r="F25" s="16">
        <v>-909.39200000000005</v>
      </c>
      <c r="G25" s="16">
        <v>-1600.586</v>
      </c>
      <c r="H25" s="16">
        <v>-1074.308</v>
      </c>
      <c r="I25" s="16">
        <v>-1300.2570000000001</v>
      </c>
      <c r="K25" s="16">
        <v>-248.761</v>
      </c>
      <c r="L25" s="16">
        <v>-258.988</v>
      </c>
      <c r="M25" s="16">
        <v>-252.63</v>
      </c>
      <c r="N25" s="16">
        <f t="shared" si="6"/>
        <v>-313.92899999999997</v>
      </c>
      <c r="O25" s="16">
        <v>-287.23599999999999</v>
      </c>
      <c r="P25" s="16">
        <v>-320.11500000000001</v>
      </c>
      <c r="Q25" s="16">
        <v>-330.387</v>
      </c>
      <c r="R25" s="16">
        <f t="shared" si="7"/>
        <v>-362.51900000000001</v>
      </c>
      <c r="S25" s="16">
        <v>-394.346</v>
      </c>
      <c r="U25" s="25">
        <f>IFERROR((I25/F25)^(1/3)-1,"n/a")</f>
        <v>0.12657304808481507</v>
      </c>
    </row>
    <row r="26" spans="5:21" x14ac:dyDescent="0.2">
      <c r="E26" s="13" t="s">
        <v>76</v>
      </c>
      <c r="F26" s="16">
        <v>0</v>
      </c>
      <c r="G26" s="16">
        <v>0</v>
      </c>
      <c r="H26" s="16">
        <v>0</v>
      </c>
      <c r="I26" s="16">
        <v>71.724999999999994</v>
      </c>
      <c r="K26" s="16">
        <v>0</v>
      </c>
      <c r="L26" s="16">
        <v>0</v>
      </c>
      <c r="M26" s="16">
        <v>0</v>
      </c>
      <c r="N26" s="16">
        <f t="shared" si="6"/>
        <v>0</v>
      </c>
      <c r="O26" s="16">
        <v>86.358000000000004</v>
      </c>
      <c r="P26" s="16">
        <v>-31.015999999999998</v>
      </c>
      <c r="Q26" s="16">
        <v>0.14199999999999999</v>
      </c>
      <c r="R26" s="16">
        <f t="shared" si="7"/>
        <v>16.240999999999985</v>
      </c>
      <c r="S26" s="16">
        <v>-34.365000000000002</v>
      </c>
      <c r="U26" s="25">
        <f>IFERROR((I26/F27)^(1/3)-1,"n/a")</f>
        <v>-1.7765600890436968</v>
      </c>
    </row>
    <row r="27" spans="5:21" x14ac:dyDescent="0.2">
      <c r="E27" s="13" t="s">
        <v>77</v>
      </c>
      <c r="F27" s="16">
        <v>-153.16</v>
      </c>
      <c r="G27" s="16">
        <v>-722.21100000000001</v>
      </c>
      <c r="H27" s="16">
        <v>34.674999999999997</v>
      </c>
      <c r="I27" s="16">
        <v>0</v>
      </c>
      <c r="K27" s="16">
        <v>-17.962</v>
      </c>
      <c r="L27" s="16">
        <v>8.0530000000000008</v>
      </c>
      <c r="M27" s="16">
        <v>-7.18</v>
      </c>
      <c r="N27" s="16">
        <f t="shared" si="6"/>
        <v>51.763999999999996</v>
      </c>
      <c r="O27" s="16">
        <v>0</v>
      </c>
      <c r="P27" s="16">
        <v>0</v>
      </c>
      <c r="Q27" s="16">
        <v>0</v>
      </c>
      <c r="R27" s="16">
        <f t="shared" si="7"/>
        <v>0</v>
      </c>
      <c r="S27" s="16">
        <v>0</v>
      </c>
      <c r="U27" s="25" t="str">
        <f>IFERROR((I27/#REF!)^(1/3)-1,"n/a")</f>
        <v>n/a</v>
      </c>
    </row>
    <row r="28" spans="5:21" x14ac:dyDescent="0.2">
      <c r="E28" s="13" t="s">
        <v>78</v>
      </c>
      <c r="F28" s="16">
        <v>0</v>
      </c>
      <c r="G28" s="16">
        <v>-40.703000000000003</v>
      </c>
      <c r="H28" s="16">
        <v>-142.59399999999999</v>
      </c>
      <c r="I28" s="16">
        <v>0</v>
      </c>
      <c r="K28" s="16">
        <v>-144.489</v>
      </c>
      <c r="L28" s="16">
        <v>1.0349999999999999</v>
      </c>
      <c r="M28" s="16">
        <v>0.86</v>
      </c>
      <c r="N28" s="16">
        <f t="shared" si="6"/>
        <v>0</v>
      </c>
      <c r="O28" s="16">
        <v>0</v>
      </c>
      <c r="P28" s="16">
        <v>0</v>
      </c>
      <c r="Q28" s="16">
        <v>0</v>
      </c>
      <c r="R28" s="16">
        <f t="shared" si="7"/>
        <v>0</v>
      </c>
      <c r="S28" s="16">
        <v>0</v>
      </c>
      <c r="U28" s="25" t="str">
        <f t="shared" ref="U28:U37" si="8">IFERROR((I28/F28)^(1/3)-1,"n/a")</f>
        <v>n/a</v>
      </c>
    </row>
    <row r="29" spans="5:21" x14ac:dyDescent="0.2">
      <c r="E29" s="13" t="s">
        <v>101</v>
      </c>
      <c r="F29" s="18">
        <v>-477.14800000000002</v>
      </c>
      <c r="G29" s="18">
        <v>-74.593000000000004</v>
      </c>
      <c r="H29" s="18">
        <v>-10.26</v>
      </c>
      <c r="I29" s="18">
        <v>-7.9329999999999998</v>
      </c>
      <c r="K29" s="18">
        <v>33.183999999999997</v>
      </c>
      <c r="L29" s="18">
        <v>-18.866</v>
      </c>
      <c r="M29" s="18">
        <v>-3.512</v>
      </c>
      <c r="N29" s="18">
        <f t="shared" si="6"/>
        <v>-21.065999999999995</v>
      </c>
      <c r="O29" s="18">
        <v>-2.3759999999999999</v>
      </c>
      <c r="P29" s="18">
        <v>-34.383000000000003</v>
      </c>
      <c r="Q29" s="18">
        <v>8.5559999999999992</v>
      </c>
      <c r="R29" s="18">
        <f t="shared" si="7"/>
        <v>20.270000000000003</v>
      </c>
      <c r="S29" s="18">
        <v>5.899</v>
      </c>
      <c r="U29" s="25">
        <f t="shared" si="8"/>
        <v>-0.74477211859552561</v>
      </c>
    </row>
    <row r="30" spans="5:21" x14ac:dyDescent="0.2">
      <c r="E30" s="44" t="s">
        <v>79</v>
      </c>
      <c r="F30" s="16">
        <f>SUM(F22:F29)</f>
        <v>-4762.8739999999998</v>
      </c>
      <c r="G30" s="16">
        <f>SUM(G22:G29)</f>
        <v>-5904.4160000000002</v>
      </c>
      <c r="H30" s="16">
        <f t="shared" ref="H30:I30" si="9">SUM(H22:H29)</f>
        <v>-3270.0450000000001</v>
      </c>
      <c r="I30" s="16">
        <f t="shared" si="9"/>
        <v>-4256.8679999999995</v>
      </c>
      <c r="K30" s="16">
        <f t="shared" ref="K30" si="10">SUM(K22:K29)</f>
        <v>-896.404</v>
      </c>
      <c r="L30" s="16">
        <f t="shared" ref="L30:M30" si="11">SUM(L22:L29)</f>
        <v>-781.48599999999988</v>
      </c>
      <c r="M30" s="16">
        <f t="shared" si="11"/>
        <v>-753.97299999999984</v>
      </c>
      <c r="N30" s="16">
        <f t="shared" ref="N30" si="12">SUM(N22:N29)</f>
        <v>-838.18200000000002</v>
      </c>
      <c r="O30" s="16">
        <f t="shared" ref="O30:P30" si="13">SUM(O22:O29)</f>
        <v>-877.10899999999992</v>
      </c>
      <c r="P30" s="16">
        <f t="shared" si="13"/>
        <v>-1106.5110000000002</v>
      </c>
      <c r="Q30" s="16">
        <f t="shared" ref="Q30:S30" si="14">SUM(Q22:Q29)</f>
        <v>-1035.6799999999998</v>
      </c>
      <c r="R30" s="16">
        <f t="shared" si="14"/>
        <v>-1237.5680000000002</v>
      </c>
      <c r="S30" s="16">
        <f t="shared" si="14"/>
        <v>-1328.4890000000003</v>
      </c>
      <c r="U30" s="25">
        <f t="shared" si="8"/>
        <v>-3.6747014727023908E-2</v>
      </c>
    </row>
    <row r="31" spans="5:21" x14ac:dyDescent="0.2">
      <c r="E31" s="44" t="s">
        <v>84</v>
      </c>
      <c r="F31" s="18">
        <v>-20.463000000000001</v>
      </c>
      <c r="G31" s="18">
        <v>-265.47300000000001</v>
      </c>
      <c r="H31" s="18">
        <v>167.583</v>
      </c>
      <c r="I31" s="18">
        <v>29.074000000000002</v>
      </c>
      <c r="K31" s="18">
        <v>-20.265000000000001</v>
      </c>
      <c r="L31" s="18">
        <v>16.564</v>
      </c>
      <c r="M31" s="18">
        <v>135.30699999999999</v>
      </c>
      <c r="N31" s="18">
        <f t="shared" si="6"/>
        <v>35.977000000000004</v>
      </c>
      <c r="O31" s="18">
        <v>45.604999999999997</v>
      </c>
      <c r="P31" s="18">
        <v>-63.826999999999998</v>
      </c>
      <c r="Q31" s="18">
        <v>40.104999999999997</v>
      </c>
      <c r="R31" s="18">
        <f t="shared" si="7"/>
        <v>7.1910000000000061</v>
      </c>
      <c r="S31" s="18">
        <v>-6.1879999999999997</v>
      </c>
      <c r="U31" s="25">
        <f t="shared" si="8"/>
        <v>-2.1242040890623182</v>
      </c>
    </row>
    <row r="32" spans="5:21" x14ac:dyDescent="0.2">
      <c r="E32" s="5" t="s">
        <v>71</v>
      </c>
      <c r="F32" s="17">
        <f>SUM(F21,F30:F31)</f>
        <v>3056.1070000000004</v>
      </c>
      <c r="G32" s="17">
        <f t="shared" ref="G32:I32" si="15">SUM(G21,G30:G31)</f>
        <v>-2975.681</v>
      </c>
      <c r="H32" s="17">
        <f t="shared" si="15"/>
        <v>5.9209999999997365</v>
      </c>
      <c r="I32" s="17">
        <f t="shared" si="15"/>
        <v>2336.2340000000008</v>
      </c>
      <c r="K32" s="17">
        <f t="shared" ref="K32" si="16">SUM(K21,K30:K31)</f>
        <v>-144.13999999999999</v>
      </c>
      <c r="L32" s="17">
        <f t="shared" ref="L32:M32" si="17">SUM(L21,L30:L31)</f>
        <v>-57.010999999999932</v>
      </c>
      <c r="M32" s="17">
        <f t="shared" si="17"/>
        <v>55.48200000000017</v>
      </c>
      <c r="N32" s="17">
        <f t="shared" ref="N32" si="18">SUM(N21,N30:N31)</f>
        <v>151.58999999999961</v>
      </c>
      <c r="O32" s="17">
        <f t="shared" ref="O32:P32" si="19">SUM(O21,O30:O31)</f>
        <v>806.06600000000003</v>
      </c>
      <c r="P32" s="17">
        <f t="shared" si="19"/>
        <v>279.28999999999974</v>
      </c>
      <c r="Q32" s="17">
        <f t="shared" ref="Q32:S32" si="20">SUM(Q21,Q30:Q31)</f>
        <v>209.61800000000014</v>
      </c>
      <c r="R32" s="17">
        <f t="shared" si="20"/>
        <v>1041.2600000000004</v>
      </c>
      <c r="S32" s="17">
        <f t="shared" si="20"/>
        <v>699.61799999999982</v>
      </c>
      <c r="U32" s="35">
        <f t="shared" si="8"/>
        <v>-8.5642717665108004E-2</v>
      </c>
    </row>
    <row r="33" spans="3:21" x14ac:dyDescent="0.2">
      <c r="E33" s="13" t="s">
        <v>83</v>
      </c>
      <c r="F33" s="16">
        <v>-29.16</v>
      </c>
      <c r="G33" s="16">
        <v>-88.900999999999996</v>
      </c>
      <c r="H33" s="16">
        <v>-82.766000000000005</v>
      </c>
      <c r="I33" s="16">
        <v>-80.644999999999996</v>
      </c>
      <c r="K33" s="16">
        <v>-21.536000000000001</v>
      </c>
      <c r="L33" s="16">
        <v>-21.672000000000001</v>
      </c>
      <c r="M33" s="16">
        <v>-20.821000000000002</v>
      </c>
      <c r="N33" s="16">
        <f t="shared" si="6"/>
        <v>-18.737000000000009</v>
      </c>
      <c r="O33" s="16">
        <v>-19.071000000000002</v>
      </c>
      <c r="P33" s="16">
        <v>-20.507000000000001</v>
      </c>
      <c r="Q33" s="16">
        <v>-20.53</v>
      </c>
      <c r="R33" s="16">
        <f t="shared" si="7"/>
        <v>-20.536999999999992</v>
      </c>
      <c r="S33" s="16">
        <v>-20.510999999999999</v>
      </c>
      <c r="U33" s="25">
        <f t="shared" si="8"/>
        <v>0.40366447586925847</v>
      </c>
    </row>
    <row r="34" spans="3:21" x14ac:dyDescent="0.2">
      <c r="E34" s="13" t="s">
        <v>82</v>
      </c>
      <c r="F34" s="18">
        <v>0</v>
      </c>
      <c r="G34" s="18">
        <v>0</v>
      </c>
      <c r="H34" s="18">
        <v>0</v>
      </c>
      <c r="I34" s="18">
        <v>687.05499999999995</v>
      </c>
      <c r="K34" s="18">
        <v>0</v>
      </c>
      <c r="L34" s="18">
        <v>0</v>
      </c>
      <c r="M34" s="18">
        <v>0</v>
      </c>
      <c r="N34" s="18">
        <f t="shared" si="6"/>
        <v>0</v>
      </c>
      <c r="O34" s="18">
        <v>650.42899999999997</v>
      </c>
      <c r="P34" s="18">
        <v>-319.02</v>
      </c>
      <c r="Q34" s="18">
        <v>-120.50700000000001</v>
      </c>
      <c r="R34" s="18">
        <f t="shared" si="7"/>
        <v>476.15299999999996</v>
      </c>
      <c r="S34" s="18">
        <v>-596.65099999999995</v>
      </c>
      <c r="U34" s="25" t="str">
        <f t="shared" si="8"/>
        <v>n/a</v>
      </c>
    </row>
    <row r="35" spans="3:21" x14ac:dyDescent="0.2">
      <c r="E35" s="14" t="s">
        <v>23</v>
      </c>
      <c r="F35" s="17">
        <f>SUM(F32:F34)</f>
        <v>3026.9470000000006</v>
      </c>
      <c r="G35" s="17">
        <f>SUM(G32:G34)</f>
        <v>-3064.5819999999999</v>
      </c>
      <c r="H35" s="17">
        <f t="shared" ref="H35:I35" si="21">SUM(H32:H34)</f>
        <v>-76.845000000000269</v>
      </c>
      <c r="I35" s="17">
        <f t="shared" si="21"/>
        <v>2942.6440000000007</v>
      </c>
      <c r="K35" s="17">
        <f t="shared" ref="K35" si="22">SUM(K32:K34)</f>
        <v>-165.67599999999999</v>
      </c>
      <c r="L35" s="17">
        <f t="shared" ref="L35:M35" si="23">SUM(L32:L34)</f>
        <v>-78.682999999999936</v>
      </c>
      <c r="M35" s="17">
        <f t="shared" si="23"/>
        <v>34.661000000000172</v>
      </c>
      <c r="N35" s="17">
        <f t="shared" ref="N35" si="24">SUM(N32:N34)</f>
        <v>132.85299999999961</v>
      </c>
      <c r="O35" s="17">
        <f t="shared" ref="O35:P35" si="25">SUM(O32:O34)</f>
        <v>1437.424</v>
      </c>
      <c r="P35" s="17">
        <f t="shared" si="25"/>
        <v>-60.237000000000251</v>
      </c>
      <c r="Q35" s="17">
        <f t="shared" ref="Q35:S35" si="26">SUM(Q32:Q34)</f>
        <v>68.581000000000131</v>
      </c>
      <c r="R35" s="17">
        <f t="shared" si="26"/>
        <v>1496.8760000000004</v>
      </c>
      <c r="S35" s="17">
        <f t="shared" si="26"/>
        <v>82.455999999999904</v>
      </c>
      <c r="U35" s="35">
        <f t="shared" si="8"/>
        <v>-9.3711557464645212E-3</v>
      </c>
    </row>
    <row r="36" spans="3:21" x14ac:dyDescent="0.2">
      <c r="E36" t="s">
        <v>24</v>
      </c>
      <c r="F36" s="16">
        <v>597.173</v>
      </c>
      <c r="G36" s="16">
        <v>439.63299999999998</v>
      </c>
      <c r="H36" s="16">
        <v>171.71600000000001</v>
      </c>
      <c r="I36" s="16">
        <v>-363.57799999999997</v>
      </c>
      <c r="K36" s="16">
        <v>86.78</v>
      </c>
      <c r="L36" s="16">
        <v>-18.722000000000001</v>
      </c>
      <c r="M36" s="16">
        <v>-36.926000000000002</v>
      </c>
      <c r="N36" s="16">
        <f t="shared" si="6"/>
        <v>140.584</v>
      </c>
      <c r="O36" s="16">
        <v>-261.17899999999997</v>
      </c>
      <c r="P36" s="16">
        <v>96.387</v>
      </c>
      <c r="Q36" s="16">
        <v>6.9139999999999997</v>
      </c>
      <c r="R36" s="16">
        <f t="shared" si="7"/>
        <v>-205.7</v>
      </c>
      <c r="S36" s="16">
        <v>-16.847999999999999</v>
      </c>
      <c r="U36" s="25">
        <f t="shared" si="8"/>
        <v>-1.847550941915804</v>
      </c>
    </row>
    <row r="37" spans="3:21" ht="13.5" thickBot="1" x14ac:dyDescent="0.25">
      <c r="E37" s="5" t="s">
        <v>25</v>
      </c>
      <c r="F37" s="20">
        <f>SUM(F35:F36)</f>
        <v>3624.1200000000008</v>
      </c>
      <c r="G37" s="20">
        <f>SUM(G35:G36)</f>
        <v>-2624.9490000000001</v>
      </c>
      <c r="H37" s="20">
        <f>SUM(H35:H36)</f>
        <v>94.870999999999739</v>
      </c>
      <c r="I37" s="20">
        <f>SUM(I35:I36)</f>
        <v>2579.0660000000007</v>
      </c>
      <c r="K37" s="20">
        <f t="shared" ref="K37:N37" si="27">SUM(K35:K36)</f>
        <v>-78.895999999999987</v>
      </c>
      <c r="L37" s="20">
        <f t="shared" si="27"/>
        <v>-97.404999999999944</v>
      </c>
      <c r="M37" s="20">
        <f t="shared" si="27"/>
        <v>-2.26499999999983</v>
      </c>
      <c r="N37" s="20">
        <f t="shared" si="27"/>
        <v>273.43699999999961</v>
      </c>
      <c r="O37" s="20">
        <f>SUM(O35:O36)</f>
        <v>1176.2449999999999</v>
      </c>
      <c r="P37" s="20">
        <f>SUM(P35:P36)</f>
        <v>36.14999999999975</v>
      </c>
      <c r="Q37" s="20">
        <f t="shared" ref="Q37:S37" si="28">SUM(Q35:Q36)</f>
        <v>75.495000000000132</v>
      </c>
      <c r="R37" s="20">
        <f t="shared" si="28"/>
        <v>1291.1760000000004</v>
      </c>
      <c r="S37" s="20">
        <f t="shared" si="28"/>
        <v>65.607999999999905</v>
      </c>
      <c r="U37" s="35">
        <f t="shared" si="8"/>
        <v>-0.10720182138865331</v>
      </c>
    </row>
    <row r="38" spans="3:21" ht="3" customHeight="1" x14ac:dyDescent="0.2"/>
    <row r="39" spans="3:21" x14ac:dyDescent="0.2">
      <c r="E39" s="36" t="s">
        <v>38</v>
      </c>
      <c r="F39" s="23" t="str">
        <f>IFERROR(+F21/#REF!-1,"n/a")</f>
        <v>n/a</v>
      </c>
      <c r="G39" s="23">
        <f>IFERROR(+G21/F21-1,"n/a")</f>
        <v>-0.59254661427519606</v>
      </c>
      <c r="H39" s="23">
        <v>0.01</v>
      </c>
      <c r="I39" s="24">
        <f>IFERROR(+I21/H21-1,"n/a")</f>
        <v>1.1117178931939855</v>
      </c>
      <c r="K39" s="23" t="str">
        <f t="shared" ref="K39:R39" si="29">IFERROR(+K21/J21-1,"n/a")</f>
        <v>n/a</v>
      </c>
      <c r="L39" s="23">
        <f t="shared" si="29"/>
        <v>-8.3644756378077778E-2</v>
      </c>
      <c r="M39" s="23">
        <f t="shared" si="29"/>
        <v>-4.7693848520505955E-2</v>
      </c>
      <c r="N39" s="23">
        <f t="shared" si="29"/>
        <v>0.41481544111975355</v>
      </c>
      <c r="O39" s="23">
        <f t="shared" si="29"/>
        <v>0.71689933371426839</v>
      </c>
      <c r="P39" s="23">
        <f t="shared" si="29"/>
        <v>-0.11476883430937301</v>
      </c>
      <c r="Q39" s="23">
        <f t="shared" si="29"/>
        <v>-0.16861912159533343</v>
      </c>
      <c r="R39" s="23">
        <f t="shared" si="29"/>
        <v>0.88487404092124722</v>
      </c>
      <c r="S39" s="23">
        <f>IFERROR(+S21/R21-1,"n/a")</f>
        <v>-0.10448060143412019</v>
      </c>
    </row>
    <row r="40" spans="3:21" x14ac:dyDescent="0.2">
      <c r="E40" s="37" t="s">
        <v>113</v>
      </c>
      <c r="F40" s="25">
        <f>+F23/-F21</f>
        <v>0.16475160738440123</v>
      </c>
      <c r="G40" s="25">
        <f t="shared" ref="G40:S40" si="30">+G23/-G21</f>
        <v>0.72830385497750927</v>
      </c>
      <c r="H40" s="25">
        <f t="shared" si="30"/>
        <v>0.42611898212028571</v>
      </c>
      <c r="I40" s="25">
        <f t="shared" si="30"/>
        <v>0.22368155650768093</v>
      </c>
      <c r="K40" s="25">
        <f t="shared" si="30"/>
        <v>0.46345315192051045</v>
      </c>
      <c r="L40" s="25">
        <f t="shared" si="30"/>
        <v>0.4529764334782197</v>
      </c>
      <c r="M40" s="25">
        <f t="shared" si="30"/>
        <v>0.47876134023982858</v>
      </c>
      <c r="N40" s="25">
        <f t="shared" si="30"/>
        <v>0.33873840814850165</v>
      </c>
      <c r="O40" s="25">
        <f t="shared" si="30"/>
        <v>0.21853294820984753</v>
      </c>
      <c r="P40" s="25">
        <f t="shared" si="30"/>
        <v>0.25127687930972636</v>
      </c>
      <c r="Q40" s="25">
        <f t="shared" si="30"/>
        <v>0.31317805529902681</v>
      </c>
      <c r="R40" s="25">
        <f t="shared" si="30"/>
        <v>0.16230189946721238</v>
      </c>
      <c r="S40" s="25">
        <f t="shared" si="30"/>
        <v>0.17468852845826194</v>
      </c>
    </row>
    <row r="41" spans="3:21" x14ac:dyDescent="0.2">
      <c r="E41" s="37" t="s">
        <v>39</v>
      </c>
      <c r="F41" s="25">
        <f>IFERROR(+F32/F21,"n/a")</f>
        <v>0.38983721294520379</v>
      </c>
      <c r="G41" s="25">
        <f>IFERROR(+G32/G21,"n/a")</f>
        <v>-0.93158648403610533</v>
      </c>
      <c r="H41" s="25">
        <f>IFERROR(+H32/H21,"n/a")</f>
        <v>1.9048489198402311E-3</v>
      </c>
      <c r="I41" s="26">
        <f>IFERROR(+I32/I21,"n/a")</f>
        <v>0.35591469140594778</v>
      </c>
      <c r="K41" s="25">
        <f t="shared" ref="K41:R41" si="31">IFERROR(+K32/K21,"n/a")</f>
        <v>-0.18658199239122414</v>
      </c>
      <c r="L41" s="25">
        <f t="shared" si="31"/>
        <v>-8.0534134940691601E-2</v>
      </c>
      <c r="M41" s="25">
        <f t="shared" si="31"/>
        <v>8.229943573221335E-2</v>
      </c>
      <c r="N41" s="25">
        <f t="shared" si="31"/>
        <v>0.15893352345105569</v>
      </c>
      <c r="O41" s="25">
        <f t="shared" si="31"/>
        <v>0.49223300377999113</v>
      </c>
      <c r="P41" s="25">
        <f t="shared" si="31"/>
        <v>0.19266322118502108</v>
      </c>
      <c r="Q41" s="25">
        <f t="shared" si="31"/>
        <v>0.17392898896691247</v>
      </c>
      <c r="R41" s="25">
        <f t="shared" si="31"/>
        <v>0.45837429131502971</v>
      </c>
      <c r="S41" s="25">
        <f>IFERROR(+S32/S21,"n/a")</f>
        <v>0.34391177287463215</v>
      </c>
    </row>
    <row r="42" spans="3:21" x14ac:dyDescent="0.2">
      <c r="E42" s="37" t="s">
        <v>52</v>
      </c>
      <c r="F42" s="25">
        <f>-F36/F35</f>
        <v>-0.19728558180899761</v>
      </c>
      <c r="G42" s="25">
        <f>-G36/G35</f>
        <v>0.14345610592243901</v>
      </c>
      <c r="H42" s="25">
        <f>-H36/H35</f>
        <v>2.2345760947361497</v>
      </c>
      <c r="I42" s="26">
        <f>-I36/I35</f>
        <v>0.12355487106153509</v>
      </c>
      <c r="K42" s="25">
        <f t="shared" ref="K42:R42" si="32">-K36/K35</f>
        <v>0.52379342813684548</v>
      </c>
      <c r="L42" s="25">
        <f t="shared" si="32"/>
        <v>-0.23794212218649538</v>
      </c>
      <c r="M42" s="25">
        <f t="shared" si="32"/>
        <v>1.0653472202186844</v>
      </c>
      <c r="N42" s="25">
        <f t="shared" si="32"/>
        <v>-1.0581921371741732</v>
      </c>
      <c r="O42" s="25">
        <f t="shared" si="32"/>
        <v>0.18169934549583142</v>
      </c>
      <c r="P42" s="25">
        <f t="shared" si="32"/>
        <v>1.6001294885203381</v>
      </c>
      <c r="Q42" s="25">
        <f t="shared" si="32"/>
        <v>-0.1008150945597175</v>
      </c>
      <c r="R42" s="25">
        <f t="shared" si="32"/>
        <v>0.13741953241283841</v>
      </c>
      <c r="S42" s="25">
        <f>-S36/S35</f>
        <v>0.20432715630154286</v>
      </c>
    </row>
    <row r="43" spans="3:21" x14ac:dyDescent="0.2">
      <c r="E43" s="38" t="s">
        <v>40</v>
      </c>
      <c r="F43" s="27" t="str">
        <f>IFERROR(+F37/#REF!-1,"n/a")</f>
        <v>n/a</v>
      </c>
      <c r="G43" s="27">
        <f t="shared" ref="G43:I43" si="33">IFERROR(+G37/F37-1,"n/a")</f>
        <v>-1.7242996920631766</v>
      </c>
      <c r="H43" s="27">
        <f t="shared" si="33"/>
        <v>-1.0361420355214519</v>
      </c>
      <c r="I43" s="28">
        <f t="shared" si="33"/>
        <v>26.184977495757479</v>
      </c>
      <c r="K43" s="27" t="str">
        <f t="shared" ref="K43" si="34">IFERROR(+K37/J37-1,"n/a")</f>
        <v>n/a</v>
      </c>
      <c r="L43" s="27">
        <f t="shared" ref="L43" si="35">IFERROR(+L37/K37-1,"n/a")</f>
        <v>0.23459997972013746</v>
      </c>
      <c r="M43" s="27">
        <f t="shared" ref="M43" si="36">IFERROR(+M37/L37-1,"n/a")</f>
        <v>-0.97674657358451999</v>
      </c>
      <c r="N43" s="27">
        <f t="shared" ref="N43" si="37">IFERROR(+N37/M37-1,"n/a")</f>
        <v>-121.72273730685215</v>
      </c>
      <c r="O43" s="27">
        <f t="shared" ref="O43" si="38">IFERROR(+O37/N37-1,"n/a")</f>
        <v>3.3017038659727893</v>
      </c>
      <c r="P43" s="27">
        <f t="shared" ref="P43" si="39">IFERROR(+P37/O37-1,"n/a")</f>
        <v>-0.96926660687186794</v>
      </c>
      <c r="Q43" s="27">
        <f>IFERROR(+Q37/P37-1,"n/a")</f>
        <v>1.0883817427386071</v>
      </c>
      <c r="R43" s="27">
        <f t="shared" ref="R43" si="40">IFERROR(+R37/Q37-1,"n/a")</f>
        <v>16.102801510033753</v>
      </c>
      <c r="S43" s="27">
        <f t="shared" ref="S43" si="41">IFERROR(+S37/R37-1,"n/a")</f>
        <v>-0.94918740744871355</v>
      </c>
    </row>
    <row r="44" spans="3:21" ht="3" customHeight="1" x14ac:dyDescent="0.2"/>
    <row r="45" spans="3:21" ht="10.5" customHeight="1" x14ac:dyDescent="0.2">
      <c r="E45" s="29" t="s">
        <v>63</v>
      </c>
      <c r="F45" s="16"/>
      <c r="G45" s="16"/>
      <c r="H45" s="16"/>
      <c r="I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3:21" x14ac:dyDescent="0.2">
      <c r="F46" s="16"/>
      <c r="G46" s="16"/>
      <c r="H46" s="16"/>
      <c r="I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3:21" x14ac:dyDescent="0.2">
      <c r="E47" s="8" t="s">
        <v>27</v>
      </c>
      <c r="F47" s="19">
        <v>3624.12</v>
      </c>
      <c r="G47" s="19">
        <v>-2624.9490000000001</v>
      </c>
      <c r="H47" s="19">
        <v>94.870999999999995</v>
      </c>
      <c r="I47" s="19">
        <v>2579.0659999999998</v>
      </c>
      <c r="K47" s="19">
        <v>-78.896000000000001</v>
      </c>
      <c r="L47" s="19">
        <v>-97.405000000000001</v>
      </c>
      <c r="M47" s="19">
        <v>-2.2650000000000001</v>
      </c>
      <c r="N47" s="19">
        <f>H47-SUM(K47:M47)</f>
        <v>273.43699999999995</v>
      </c>
      <c r="O47" s="19">
        <v>1176.2449999999999</v>
      </c>
      <c r="P47" s="19">
        <v>36.15</v>
      </c>
      <c r="Q47" s="19">
        <v>75.495000000000005</v>
      </c>
      <c r="R47" s="19">
        <f>I47-SUM(O47:Q47)</f>
        <v>1291.1759999999999</v>
      </c>
      <c r="S47" s="19">
        <v>65.608000000000004</v>
      </c>
    </row>
    <row r="48" spans="3:21" x14ac:dyDescent="0.2">
      <c r="C48" s="15" t="b" cm="1">
        <f t="array" ref="C48">AND(F48:I48&lt;$B$1,F48:I48&gt;-$B$1)</f>
        <v>1</v>
      </c>
      <c r="E48" s="8" t="s">
        <v>26</v>
      </c>
      <c r="F48" s="19">
        <f t="shared" ref="F48:I48" si="42">+F47-F37</f>
        <v>0</v>
      </c>
      <c r="G48" s="19">
        <f t="shared" si="42"/>
        <v>0</v>
      </c>
      <c r="H48" s="19">
        <f t="shared" si="42"/>
        <v>2.5579538487363607E-13</v>
      </c>
      <c r="I48" s="19">
        <f t="shared" si="42"/>
        <v>0</v>
      </c>
      <c r="J48" s="46"/>
      <c r="K48" s="19">
        <f t="shared" ref="K48" si="43">+K47-K37</f>
        <v>0</v>
      </c>
      <c r="L48" s="19">
        <f t="shared" ref="L48:M48" si="44">+L47-L37</f>
        <v>0</v>
      </c>
      <c r="M48" s="19">
        <f t="shared" si="44"/>
        <v>-1.7008616737257398E-13</v>
      </c>
      <c r="N48" s="19">
        <f t="shared" ref="N48" si="45">+N47-N37</f>
        <v>0</v>
      </c>
      <c r="O48" s="19">
        <f t="shared" ref="O48:P48" si="46">+O47-O37</f>
        <v>0</v>
      </c>
      <c r="P48" s="19">
        <f t="shared" si="46"/>
        <v>2.4868995751603507E-13</v>
      </c>
      <c r="Q48" s="19">
        <f t="shared" ref="Q48:S48" si="47">+Q47-Q37</f>
        <v>-1.2789769243681803E-13</v>
      </c>
      <c r="R48" s="19">
        <f t="shared" si="47"/>
        <v>0</v>
      </c>
      <c r="S48" s="19">
        <f t="shared" si="47"/>
        <v>0</v>
      </c>
    </row>
    <row r="49" spans="5:21" x14ac:dyDescent="0.2">
      <c r="F49" s="16"/>
      <c r="G49" s="16"/>
      <c r="H49" s="16"/>
      <c r="I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5:21" x14ac:dyDescent="0.2">
      <c r="E50" s="5" t="str">
        <f>Input!$E$8&amp;" - BS"</f>
        <v>COIN - BS</v>
      </c>
      <c r="I50" s="9"/>
      <c r="K50" s="9"/>
      <c r="L50" s="9"/>
      <c r="M50" s="9"/>
      <c r="N50" s="9"/>
      <c r="O50" s="9"/>
      <c r="P50" s="9"/>
      <c r="Q50" s="9"/>
      <c r="R50" s="9"/>
      <c r="S50" s="9"/>
      <c r="U50" s="34" t="s">
        <v>47</v>
      </c>
    </row>
    <row r="51" spans="5:21" x14ac:dyDescent="0.2">
      <c r="E51" s="10" t="str">
        <f>+Input!$E$14</f>
        <v>$m</v>
      </c>
      <c r="F51" s="21" t="s">
        <v>59</v>
      </c>
      <c r="G51" s="21" t="s">
        <v>60</v>
      </c>
      <c r="H51" s="21" t="s">
        <v>61</v>
      </c>
      <c r="I51" s="21" t="s">
        <v>62</v>
      </c>
      <c r="K51" s="47" t="s">
        <v>109</v>
      </c>
      <c r="L51" s="47" t="s">
        <v>28</v>
      </c>
      <c r="M51" s="47" t="s">
        <v>106</v>
      </c>
      <c r="N51" s="47" t="s">
        <v>61</v>
      </c>
      <c r="O51" s="48" t="s">
        <v>99</v>
      </c>
      <c r="P51" s="48" t="s">
        <v>29</v>
      </c>
      <c r="Q51" s="48" t="s">
        <v>100</v>
      </c>
      <c r="R51" s="48" t="s">
        <v>62</v>
      </c>
      <c r="S51" s="21" t="s">
        <v>98</v>
      </c>
      <c r="U51" s="33" t="s">
        <v>80</v>
      </c>
    </row>
    <row r="52" spans="5:21" ht="3" customHeight="1" x14ac:dyDescent="0.2"/>
    <row r="53" spans="5:21" x14ac:dyDescent="0.2">
      <c r="E53" s="13" t="s">
        <v>85</v>
      </c>
      <c r="F53" s="16">
        <v>988.19299999999998</v>
      </c>
      <c r="G53" s="16">
        <v>424.39299999999997</v>
      </c>
      <c r="H53" s="16">
        <v>330.61</v>
      </c>
      <c r="I53" s="16">
        <v>1552.9949999999999</v>
      </c>
      <c r="K53" s="16"/>
      <c r="L53" s="16"/>
      <c r="M53" s="16"/>
      <c r="N53" s="16">
        <f>H53</f>
        <v>330.61</v>
      </c>
      <c r="O53" s="16"/>
      <c r="P53" s="16"/>
      <c r="Q53" s="16"/>
      <c r="R53" s="16">
        <f>I53</f>
        <v>1552.9949999999999</v>
      </c>
      <c r="S53" s="16">
        <v>1268.001</v>
      </c>
      <c r="U53" s="25">
        <f t="shared" ref="U53:U65" si="48">IFERROR((I53/F53)^(1/3)-1,"n/a")</f>
        <v>0.16263330970848489</v>
      </c>
    </row>
    <row r="54" spans="5:21" x14ac:dyDescent="0.2">
      <c r="E54" s="13" t="s">
        <v>107</v>
      </c>
      <c r="F54" s="16">
        <f>625.758</f>
        <v>625.75800000000004</v>
      </c>
      <c r="G54" s="16">
        <f>1073.906</f>
        <v>1073.9059999999999</v>
      </c>
      <c r="H54" s="16">
        <f>1139.67</f>
        <v>1139.67</v>
      </c>
      <c r="I54" s="16">
        <f>1139.67</f>
        <v>1139.67</v>
      </c>
      <c r="K54" s="16"/>
      <c r="L54" s="16"/>
      <c r="M54" s="16"/>
      <c r="N54" s="16">
        <f>H54</f>
        <v>1139.67</v>
      </c>
      <c r="O54" s="16"/>
      <c r="P54" s="16"/>
      <c r="Q54" s="16"/>
      <c r="R54" s="16">
        <f t="shared" ref="R54:R55" si="49">I54</f>
        <v>1139.67</v>
      </c>
      <c r="S54" s="16">
        <v>1153.6210000000001</v>
      </c>
      <c r="U54" s="25">
        <f t="shared" si="48"/>
        <v>0.2212115466122897</v>
      </c>
    </row>
    <row r="55" spans="5:21" x14ac:dyDescent="0.2">
      <c r="E55" s="13" t="s">
        <v>86</v>
      </c>
      <c r="F55" s="18">
        <f>98.385+59.23+952.307+176.689</f>
        <v>1286.6110000000001</v>
      </c>
      <c r="G55" s="18">
        <f>69.357+171.853+1401.72+135.429</f>
        <v>1778.3590000000002</v>
      </c>
      <c r="H55" s="18">
        <f>1272.233+192.55+375.622+86.422</f>
        <v>1926.827</v>
      </c>
      <c r="I55" s="18">
        <f>941.298+200.08+548.451+46.804</f>
        <v>1736.633</v>
      </c>
      <c r="K55" s="18"/>
      <c r="L55" s="18"/>
      <c r="M55" s="18"/>
      <c r="N55" s="18">
        <f>H55</f>
        <v>1926.827</v>
      </c>
      <c r="O55" s="18"/>
      <c r="P55" s="18"/>
      <c r="Q55" s="18"/>
      <c r="R55" s="18">
        <f t="shared" si="49"/>
        <v>1736.633</v>
      </c>
      <c r="S55" s="18">
        <f>995.529+860.067</f>
        <v>1855.596</v>
      </c>
      <c r="U55" s="25">
        <f t="shared" si="48"/>
        <v>0.10514754450632835</v>
      </c>
    </row>
    <row r="56" spans="5:21" x14ac:dyDescent="0.2">
      <c r="E56" s="5" t="s">
        <v>87</v>
      </c>
      <c r="F56" s="17">
        <f>SUM(F53:F55)</f>
        <v>2900.5619999999999</v>
      </c>
      <c r="G56" s="17">
        <f>SUM(G53:G55)</f>
        <v>3276.6580000000004</v>
      </c>
      <c r="H56" s="17">
        <f>SUM(H53:H55)</f>
        <v>3397.107</v>
      </c>
      <c r="I56" s="17">
        <f>SUM(I53:I55)</f>
        <v>4429.2979999999998</v>
      </c>
      <c r="K56" s="17">
        <f t="shared" ref="K56:N56" si="50">SUM(K53:K55)</f>
        <v>0</v>
      </c>
      <c r="L56" s="17">
        <f t="shared" si="50"/>
        <v>0</v>
      </c>
      <c r="M56" s="17">
        <f t="shared" si="50"/>
        <v>0</v>
      </c>
      <c r="N56" s="17">
        <f t="shared" si="50"/>
        <v>3397.107</v>
      </c>
      <c r="O56" s="17">
        <f>SUM(O53:O55)</f>
        <v>0</v>
      </c>
      <c r="P56" s="17">
        <f>SUM(P53:P55)</f>
        <v>0</v>
      </c>
      <c r="Q56" s="17">
        <f t="shared" ref="Q56:S56" si="51">SUM(Q53:Q55)</f>
        <v>0</v>
      </c>
      <c r="R56" s="17">
        <f t="shared" si="51"/>
        <v>4429.2979999999998</v>
      </c>
      <c r="S56" s="17">
        <f t="shared" si="51"/>
        <v>4277.2180000000008</v>
      </c>
      <c r="U56" s="35">
        <f t="shared" si="48"/>
        <v>0.15155384322346599</v>
      </c>
    </row>
    <row r="57" spans="5:21" x14ac:dyDescent="0.2">
      <c r="E57" s="13" t="s">
        <v>30</v>
      </c>
      <c r="F57" s="16">
        <v>7123.4780000000001</v>
      </c>
      <c r="G57" s="16">
        <v>4425.0209999999997</v>
      </c>
      <c r="H57" s="16">
        <v>5139.3509999999997</v>
      </c>
      <c r="I57" s="16">
        <v>8543.9030000000002</v>
      </c>
      <c r="K57" s="16"/>
      <c r="L57" s="16"/>
      <c r="M57" s="16"/>
      <c r="N57" s="16">
        <f t="shared" ref="N57:N61" si="52">H57</f>
        <v>5139.3509999999997</v>
      </c>
      <c r="O57" s="16"/>
      <c r="P57" s="16"/>
      <c r="Q57" s="16"/>
      <c r="R57" s="16">
        <f t="shared" ref="R57:R61" si="53">I57</f>
        <v>8543.9030000000002</v>
      </c>
      <c r="S57" s="16">
        <v>8051.1689999999999</v>
      </c>
      <c r="U57" s="25">
        <f t="shared" si="48"/>
        <v>6.2481574428890241E-2</v>
      </c>
    </row>
    <row r="58" spans="5:21" x14ac:dyDescent="0.2">
      <c r="E58" s="13" t="s">
        <v>89</v>
      </c>
      <c r="F58" s="16">
        <v>100.096</v>
      </c>
      <c r="G58" s="16">
        <v>861.149</v>
      </c>
      <c r="H58" s="16">
        <v>576.02800000000002</v>
      </c>
      <c r="I58" s="16">
        <v>1241.808</v>
      </c>
      <c r="K58" s="16"/>
      <c r="L58" s="16"/>
      <c r="M58" s="16"/>
      <c r="N58" s="16">
        <f t="shared" si="52"/>
        <v>576.02800000000002</v>
      </c>
      <c r="O58" s="16"/>
      <c r="P58" s="16"/>
      <c r="Q58" s="16"/>
      <c r="R58" s="16">
        <f t="shared" si="53"/>
        <v>1241.808</v>
      </c>
      <c r="S58" s="16">
        <v>2225.0540000000001</v>
      </c>
      <c r="U58" s="25">
        <f t="shared" si="48"/>
        <v>1.3149728938807121</v>
      </c>
    </row>
    <row r="59" spans="5:21" x14ac:dyDescent="0.2">
      <c r="E59" s="13" t="s">
        <v>88</v>
      </c>
      <c r="F59" s="45" t="s">
        <v>93</v>
      </c>
      <c r="G59" s="45" t="s">
        <v>93</v>
      </c>
      <c r="H59" s="16">
        <v>74.102999999999994</v>
      </c>
      <c r="I59" s="16">
        <v>82.781000000000006</v>
      </c>
      <c r="K59" s="16"/>
      <c r="L59" s="16"/>
      <c r="M59" s="16"/>
      <c r="N59" s="16">
        <f t="shared" si="52"/>
        <v>74.102999999999994</v>
      </c>
      <c r="O59" s="16"/>
      <c r="P59" s="16"/>
      <c r="Q59" s="16"/>
      <c r="R59" s="16">
        <f t="shared" si="53"/>
        <v>82.781000000000006</v>
      </c>
      <c r="S59" s="16">
        <v>67.484999999999999</v>
      </c>
      <c r="U59" s="25" t="str">
        <f t="shared" si="48"/>
        <v>n/a</v>
      </c>
    </row>
    <row r="60" spans="5:21" x14ac:dyDescent="0.2">
      <c r="E60" s="13" t="s">
        <v>31</v>
      </c>
      <c r="F60" s="16">
        <v>304.70600000000002</v>
      </c>
      <c r="G60" s="16">
        <v>404.37599999999998</v>
      </c>
      <c r="H60" s="16">
        <f>193.425+168.29</f>
        <v>361.71500000000003</v>
      </c>
      <c r="I60" s="16">
        <f>475.37+265.251</f>
        <v>740.62099999999998</v>
      </c>
      <c r="K60" s="16"/>
      <c r="L60" s="16"/>
      <c r="M60" s="16"/>
      <c r="N60" s="16">
        <f t="shared" si="52"/>
        <v>361.71500000000003</v>
      </c>
      <c r="O60" s="16"/>
      <c r="P60" s="16"/>
      <c r="Q60" s="16"/>
      <c r="R60" s="16">
        <f t="shared" si="53"/>
        <v>740.62099999999998</v>
      </c>
      <c r="S60" s="16">
        <f>245.112+454.473</f>
        <v>699.58500000000004</v>
      </c>
      <c r="U60" s="25">
        <f t="shared" si="48"/>
        <v>0.34453363801232051</v>
      </c>
    </row>
    <row r="61" spans="5:21" x14ac:dyDescent="0.2">
      <c r="E61" s="13" t="s">
        <v>90</v>
      </c>
      <c r="F61" s="18">
        <f>18373.863-SUM(F57:F60)</f>
        <v>10845.583000000001</v>
      </c>
      <c r="G61" s="18">
        <f>86448.215-SUM(G57:G60)</f>
        <v>80757.668999999994</v>
      </c>
      <c r="H61" s="18">
        <f>11356.794-SUM(H57:H60)</f>
        <v>5205.5969999999998</v>
      </c>
      <c r="I61" s="18">
        <f>18112.653-SUM(I57:I60)</f>
        <v>7503.5399999999991</v>
      </c>
      <c r="K61" s="18"/>
      <c r="L61" s="18"/>
      <c r="M61" s="18"/>
      <c r="N61" s="18">
        <f t="shared" si="52"/>
        <v>5205.5969999999998</v>
      </c>
      <c r="O61" s="18"/>
      <c r="P61" s="18"/>
      <c r="Q61" s="18"/>
      <c r="R61" s="18">
        <f t="shared" si="53"/>
        <v>7503.5399999999991</v>
      </c>
      <c r="S61" s="18">
        <f>17453.788-SUM(S57:S60)</f>
        <v>6410.494999999999</v>
      </c>
      <c r="U61" s="25">
        <f t="shared" si="48"/>
        <v>-0.11555445256443708</v>
      </c>
    </row>
    <row r="62" spans="5:21" x14ac:dyDescent="0.2">
      <c r="E62" s="5" t="s">
        <v>32</v>
      </c>
      <c r="F62" s="17">
        <f>SUM(F57:F61)</f>
        <v>18373.863000000001</v>
      </c>
      <c r="G62" s="17">
        <f>SUM(G57:G61)</f>
        <v>86448.214999999997</v>
      </c>
      <c r="H62" s="17">
        <f>SUM(H57:H61)</f>
        <v>11356.794</v>
      </c>
      <c r="I62" s="17">
        <f>SUM(I57:I61)</f>
        <v>18112.652999999998</v>
      </c>
      <c r="K62" s="17">
        <f t="shared" ref="K62:N62" si="54">SUM(K57:K61)</f>
        <v>0</v>
      </c>
      <c r="L62" s="17">
        <f t="shared" si="54"/>
        <v>0</v>
      </c>
      <c r="M62" s="17">
        <f t="shared" si="54"/>
        <v>0</v>
      </c>
      <c r="N62" s="17">
        <f t="shared" si="54"/>
        <v>11356.794</v>
      </c>
      <c r="O62" s="17">
        <f>SUM(O57:O61)</f>
        <v>0</v>
      </c>
      <c r="P62" s="17">
        <f>SUM(P57:P61)</f>
        <v>0</v>
      </c>
      <c r="Q62" s="17">
        <f t="shared" ref="Q62:S62" si="55">SUM(Q57:Q61)</f>
        <v>0</v>
      </c>
      <c r="R62" s="17">
        <f t="shared" si="55"/>
        <v>18112.652999999998</v>
      </c>
      <c r="S62" s="17">
        <f t="shared" si="55"/>
        <v>17453.788</v>
      </c>
      <c r="U62" s="35">
        <f t="shared" si="48"/>
        <v>-4.7614318775033304E-3</v>
      </c>
    </row>
    <row r="63" spans="5:21" ht="13.5" thickBot="1" x14ac:dyDescent="0.25">
      <c r="E63" s="5" t="s">
        <v>33</v>
      </c>
      <c r="F63" s="20">
        <f>+F62+F56</f>
        <v>21274.425000000003</v>
      </c>
      <c r="G63" s="20">
        <f>+G62+G56</f>
        <v>89724.872999999992</v>
      </c>
      <c r="H63" s="20">
        <f>+H62+H56</f>
        <v>14753.901</v>
      </c>
      <c r="I63" s="20">
        <f>+I62+I56</f>
        <v>22541.950999999997</v>
      </c>
      <c r="K63" s="20">
        <f t="shared" ref="K63:N63" si="56">+K62+K56</f>
        <v>0</v>
      </c>
      <c r="L63" s="20">
        <f t="shared" si="56"/>
        <v>0</v>
      </c>
      <c r="M63" s="20">
        <f t="shared" si="56"/>
        <v>0</v>
      </c>
      <c r="N63" s="20">
        <f t="shared" si="56"/>
        <v>14753.901</v>
      </c>
      <c r="O63" s="20">
        <f>+O62+O56</f>
        <v>0</v>
      </c>
      <c r="P63" s="20">
        <f>+P62+P56</f>
        <v>0</v>
      </c>
      <c r="Q63" s="20">
        <f t="shared" ref="Q63:S63" si="57">+Q62+Q56</f>
        <v>0</v>
      </c>
      <c r="R63" s="20">
        <f t="shared" si="57"/>
        <v>22541.950999999997</v>
      </c>
      <c r="S63" s="20">
        <f t="shared" si="57"/>
        <v>21731.006000000001</v>
      </c>
      <c r="U63" s="35">
        <f t="shared" si="48"/>
        <v>1.9478074846015492E-2</v>
      </c>
    </row>
    <row r="64" spans="5:21" ht="3" customHeight="1" x14ac:dyDescent="0.2">
      <c r="F64" s="16"/>
      <c r="G64" s="16"/>
      <c r="H64" s="16"/>
      <c r="I64" s="16"/>
      <c r="K64" s="16"/>
      <c r="L64" s="16"/>
      <c r="M64" s="16"/>
      <c r="N64" s="16"/>
      <c r="O64" s="16"/>
      <c r="P64" s="16"/>
      <c r="Q64" s="16"/>
      <c r="R64" s="16"/>
      <c r="S64" s="16"/>
      <c r="U64" s="25" t="str">
        <f t="shared" si="48"/>
        <v>n/a</v>
      </c>
    </row>
    <row r="65" spans="3:23" x14ac:dyDescent="0.2">
      <c r="E65" s="5" t="s">
        <v>34</v>
      </c>
      <c r="F65" s="17">
        <v>6381.6890000000003</v>
      </c>
      <c r="G65" s="17">
        <v>5454.5569999999998</v>
      </c>
      <c r="H65" s="17">
        <v>6281.6490000000003</v>
      </c>
      <c r="I65" s="17">
        <v>10276.842000000001</v>
      </c>
      <c r="K65" s="17"/>
      <c r="L65" s="17"/>
      <c r="M65" s="17"/>
      <c r="N65" s="17"/>
      <c r="O65" s="17"/>
      <c r="P65" s="17"/>
      <c r="Q65" s="17"/>
      <c r="R65" s="17">
        <f>I65</f>
        <v>10276.842000000001</v>
      </c>
      <c r="S65" s="17">
        <v>10468.24</v>
      </c>
      <c r="U65" s="35">
        <f t="shared" si="48"/>
        <v>0.17212703022075493</v>
      </c>
    </row>
    <row r="66" spans="3:23" x14ac:dyDescent="0.2">
      <c r="E66" t="s">
        <v>91</v>
      </c>
      <c r="F66" s="16">
        <v>3938</v>
      </c>
      <c r="G66" s="16">
        <v>3641.3</v>
      </c>
      <c r="H66" s="16">
        <v>3046.8</v>
      </c>
      <c r="I66" s="16">
        <v>4629.6000000000004</v>
      </c>
      <c r="K66" s="16">
        <v>3499.7</v>
      </c>
      <c r="L66" s="16">
        <v>3499.7</v>
      </c>
      <c r="M66" s="16">
        <v>3203.6</v>
      </c>
      <c r="N66" s="16">
        <f>H66</f>
        <v>3046.8</v>
      </c>
      <c r="O66" s="16">
        <v>4506.6000000000004</v>
      </c>
      <c r="P66" s="16">
        <v>4465.5</v>
      </c>
      <c r="Q66" s="16">
        <v>4496.3</v>
      </c>
      <c r="R66" s="16">
        <f>I66</f>
        <v>4629.6000000000004</v>
      </c>
      <c r="S66" s="16">
        <v>4509.7</v>
      </c>
      <c r="U66" s="35"/>
    </row>
    <row r="67" spans="3:23" x14ac:dyDescent="0.2">
      <c r="E67" t="s">
        <v>108</v>
      </c>
      <c r="F67" s="16">
        <f>SUM(F57:F58)</f>
        <v>7223.5740000000005</v>
      </c>
      <c r="G67" s="16">
        <f t="shared" ref="G67:S67" si="58">SUM(G57:G58)</f>
        <v>5286.17</v>
      </c>
      <c r="H67" s="16">
        <f t="shared" si="58"/>
        <v>5715.3789999999999</v>
      </c>
      <c r="I67" s="16">
        <f t="shared" si="58"/>
        <v>9785.7109999999993</v>
      </c>
      <c r="K67" s="16">
        <f t="shared" ref="K67" si="59">SUM(K57:K58)</f>
        <v>0</v>
      </c>
      <c r="L67" s="16">
        <f t="shared" si="58"/>
        <v>0</v>
      </c>
      <c r="M67" s="16">
        <f t="shared" si="58"/>
        <v>0</v>
      </c>
      <c r="N67" s="16">
        <f t="shared" si="58"/>
        <v>5715.3789999999999</v>
      </c>
      <c r="O67" s="16">
        <f t="shared" si="58"/>
        <v>0</v>
      </c>
      <c r="P67" s="16">
        <f t="shared" si="58"/>
        <v>0</v>
      </c>
      <c r="Q67" s="16">
        <f t="shared" si="58"/>
        <v>0</v>
      </c>
      <c r="R67" s="16">
        <f t="shared" si="58"/>
        <v>9785.7109999999993</v>
      </c>
      <c r="S67" s="16">
        <f t="shared" si="58"/>
        <v>10276.223</v>
      </c>
      <c r="U67" s="35"/>
    </row>
    <row r="68" spans="3:23" x14ac:dyDescent="0.2">
      <c r="E68" s="5" t="s">
        <v>92</v>
      </c>
      <c r="F68" s="17">
        <f>+F66-F67</f>
        <v>-3285.5740000000005</v>
      </c>
      <c r="G68" s="17">
        <f t="shared" ref="G68:I68" si="60">+G66-G67</f>
        <v>-1644.87</v>
      </c>
      <c r="H68" s="17">
        <f t="shared" si="60"/>
        <v>-2668.5789999999997</v>
      </c>
      <c r="I68" s="17">
        <f t="shared" si="60"/>
        <v>-5156.110999999999</v>
      </c>
      <c r="K68" s="17">
        <f t="shared" ref="K68:L68" si="61">+K66-K67</f>
        <v>3499.7</v>
      </c>
      <c r="L68" s="17">
        <f t="shared" si="61"/>
        <v>3499.7</v>
      </c>
      <c r="M68" s="17">
        <f t="shared" ref="M68" si="62">+M66-M67</f>
        <v>3203.6</v>
      </c>
      <c r="N68" s="17">
        <f t="shared" ref="N68" si="63">+N66-N67</f>
        <v>-2668.5789999999997</v>
      </c>
      <c r="O68" s="17">
        <f t="shared" ref="O68" si="64">+O66-O67</f>
        <v>4506.6000000000004</v>
      </c>
      <c r="P68" s="17">
        <f t="shared" ref="P68" si="65">+P66-P67</f>
        <v>4465.5</v>
      </c>
      <c r="Q68" s="17">
        <f t="shared" ref="Q68" si="66">+Q66-Q67</f>
        <v>4496.3</v>
      </c>
      <c r="R68" s="17">
        <f t="shared" ref="R68" si="67">+R66-R67</f>
        <v>-5156.110999999999</v>
      </c>
      <c r="S68" s="17">
        <f t="shared" ref="S68" si="68">+S66-S67</f>
        <v>-5766.5230000000001</v>
      </c>
      <c r="U68" s="35"/>
    </row>
    <row r="69" spans="3:23" x14ac:dyDescent="0.2">
      <c r="F69" s="16"/>
      <c r="G69" s="16"/>
      <c r="H69" s="16"/>
      <c r="I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3:23" x14ac:dyDescent="0.2">
      <c r="E70" s="8" t="s">
        <v>27</v>
      </c>
      <c r="F70" s="19">
        <v>21274.424999999999</v>
      </c>
      <c r="G70" s="19">
        <v>89724.873000000007</v>
      </c>
      <c r="H70" s="19">
        <v>14753.901</v>
      </c>
      <c r="I70" s="19">
        <v>22541.951000000001</v>
      </c>
      <c r="K70" s="19"/>
      <c r="L70" s="19"/>
      <c r="M70" s="19"/>
      <c r="N70" s="19">
        <f>H70</f>
        <v>14753.901</v>
      </c>
      <c r="O70" s="19"/>
      <c r="P70" s="19"/>
      <c r="Q70" s="19"/>
      <c r="R70" s="19">
        <f>I70</f>
        <v>22541.951000000001</v>
      </c>
      <c r="S70" s="19">
        <v>21731.006000000001</v>
      </c>
    </row>
    <row r="71" spans="3:23" x14ac:dyDescent="0.2">
      <c r="C71" s="15" t="b" cm="1">
        <f t="array" ref="C71">AND(F71:I71&lt;$B$1,F71:I71&gt;-$B$1)</f>
        <v>1</v>
      </c>
      <c r="E71" s="8" t="s">
        <v>26</v>
      </c>
      <c r="F71" s="19">
        <f t="shared" ref="F71:I71" si="69">+F70-F63</f>
        <v>0</v>
      </c>
      <c r="G71" s="19">
        <f t="shared" si="69"/>
        <v>0</v>
      </c>
      <c r="H71" s="19">
        <f t="shared" si="69"/>
        <v>0</v>
      </c>
      <c r="I71" s="19">
        <f t="shared" si="69"/>
        <v>0</v>
      </c>
      <c r="K71" s="19">
        <f t="shared" ref="K71" si="70">+K70-K63</f>
        <v>0</v>
      </c>
      <c r="L71" s="19">
        <f t="shared" ref="L71:M71" si="71">+L70-L63</f>
        <v>0</v>
      </c>
      <c r="M71" s="19">
        <f t="shared" si="71"/>
        <v>0</v>
      </c>
      <c r="N71" s="19">
        <f t="shared" ref="N71" si="72">+N70-N63</f>
        <v>0</v>
      </c>
      <c r="O71" s="19">
        <f t="shared" ref="O71:P71" si="73">+O70-O63</f>
        <v>0</v>
      </c>
      <c r="P71" s="19">
        <f t="shared" si="73"/>
        <v>0</v>
      </c>
      <c r="Q71" s="19">
        <f t="shared" ref="Q71:S71" si="74">+Q70-Q63</f>
        <v>0</v>
      </c>
      <c r="R71" s="19">
        <f t="shared" si="74"/>
        <v>0</v>
      </c>
      <c r="S71" s="19">
        <f t="shared" si="74"/>
        <v>0</v>
      </c>
    </row>
    <row r="72" spans="3:23" x14ac:dyDescent="0.2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3:23" x14ac:dyDescent="0.2">
      <c r="E73" s="5" t="str">
        <f>Input!$E$8&amp;" - CF"</f>
        <v>COIN - CF</v>
      </c>
      <c r="I73" s="9"/>
      <c r="K73" s="9"/>
      <c r="L73" s="9"/>
      <c r="M73" s="9"/>
      <c r="N73" s="9"/>
      <c r="O73" s="9"/>
      <c r="P73" s="9"/>
      <c r="Q73" s="9"/>
      <c r="R73" s="9"/>
      <c r="S73" s="9"/>
      <c r="U73" s="34" t="s">
        <v>47</v>
      </c>
    </row>
    <row r="74" spans="3:23" x14ac:dyDescent="0.2">
      <c r="E74" s="10" t="str">
        <f>+Input!$E$14</f>
        <v>$m</v>
      </c>
      <c r="F74" s="21" t="s">
        <v>59</v>
      </c>
      <c r="G74" s="21" t="s">
        <v>60</v>
      </c>
      <c r="H74" s="21" t="s">
        <v>61</v>
      </c>
      <c r="I74" s="21" t="s">
        <v>62</v>
      </c>
      <c r="K74" s="47" t="s">
        <v>109</v>
      </c>
      <c r="L74" s="47" t="s">
        <v>28</v>
      </c>
      <c r="M74" s="47" t="s">
        <v>106</v>
      </c>
      <c r="N74" s="47" t="s">
        <v>61</v>
      </c>
      <c r="O74" s="48" t="s">
        <v>99</v>
      </c>
      <c r="P74" s="48" t="s">
        <v>29</v>
      </c>
      <c r="Q74" s="48" t="s">
        <v>100</v>
      </c>
      <c r="R74" s="48" t="s">
        <v>62</v>
      </c>
      <c r="S74" s="21" t="s">
        <v>98</v>
      </c>
      <c r="U74" s="33" t="s">
        <v>80</v>
      </c>
    </row>
    <row r="75" spans="3:23" ht="3" customHeight="1" x14ac:dyDescent="0.2"/>
    <row r="76" spans="3:23" x14ac:dyDescent="0.2">
      <c r="E76" s="13" t="s">
        <v>35</v>
      </c>
      <c r="F76" s="16">
        <v>4038.172</v>
      </c>
      <c r="G76" s="16">
        <v>-1585.4190000000001</v>
      </c>
      <c r="H76" s="16">
        <v>922.95100000000002</v>
      </c>
      <c r="I76" s="16">
        <v>2556.8440000000001</v>
      </c>
      <c r="K76" s="16">
        <v>463.07799999999997</v>
      </c>
      <c r="L76" s="16">
        <v>614.202</v>
      </c>
      <c r="M76" s="16">
        <f>928.137-SUM(K76:L76)</f>
        <v>-149.14300000000003</v>
      </c>
      <c r="N76" s="16">
        <f>I76-SUM(K76:M76)</f>
        <v>1628.7070000000001</v>
      </c>
      <c r="O76" s="16">
        <v>411.48500000000001</v>
      </c>
      <c r="P76" s="16">
        <f>895.682-O76</f>
        <v>484.197</v>
      </c>
      <c r="Q76" s="16">
        <f>1592.226-SUM(O76:P76)</f>
        <v>696.5440000000001</v>
      </c>
      <c r="R76" s="16">
        <f>I76-SUM(O76:Q76)</f>
        <v>964.61799999999994</v>
      </c>
      <c r="S76" s="16">
        <v>-182.727</v>
      </c>
      <c r="U76" s="25">
        <f>IFERROR((I76/F76)^(1/3)-1,"n/a")</f>
        <v>-0.14130327592383696</v>
      </c>
    </row>
    <row r="77" spans="3:23" x14ac:dyDescent="0.2">
      <c r="E77" s="13" t="s">
        <v>36</v>
      </c>
      <c r="F77" s="18">
        <v>-1124.74</v>
      </c>
      <c r="G77" s="18">
        <v>-663.822</v>
      </c>
      <c r="H77" s="18">
        <v>5.3920000000000003</v>
      </c>
      <c r="I77" s="18">
        <v>-282.38499999999999</v>
      </c>
      <c r="K77" s="18">
        <v>-26.08</v>
      </c>
      <c r="L77" s="18">
        <v>-12.754</v>
      </c>
      <c r="M77" s="18">
        <f>-85.117-SUM(K77:L77)</f>
        <v>-46.283000000000008</v>
      </c>
      <c r="N77" s="18">
        <f>I77-SUM(K77:M77)</f>
        <v>-197.26799999999997</v>
      </c>
      <c r="O77" s="18">
        <v>-125.681</v>
      </c>
      <c r="P77" s="18">
        <f>-144.292-O77</f>
        <v>-18.611000000000004</v>
      </c>
      <c r="Q77" s="18">
        <f>-232.969-SUM(O77:P77)</f>
        <v>-88.676999999999992</v>
      </c>
      <c r="R77" s="18">
        <f>I77-SUM(O77:Q77)</f>
        <v>-49.415999999999997</v>
      </c>
      <c r="S77" s="18">
        <v>-231.65299999999999</v>
      </c>
      <c r="U77" s="25">
        <f>IFERROR((I77/F77)^(1/3)-1,"n/a")</f>
        <v>-0.36914459589093829</v>
      </c>
    </row>
    <row r="78" spans="3:23" x14ac:dyDescent="0.2">
      <c r="E78" s="5" t="s">
        <v>37</v>
      </c>
      <c r="F78" s="17">
        <f t="shared" ref="F78:H78" si="75">+F76+F77</f>
        <v>2913.4319999999998</v>
      </c>
      <c r="G78" s="17">
        <f t="shared" si="75"/>
        <v>-2249.241</v>
      </c>
      <c r="H78" s="17">
        <f t="shared" si="75"/>
        <v>928.34300000000007</v>
      </c>
      <c r="I78" s="17">
        <f>+I76+I77</f>
        <v>2274.4589999999998</v>
      </c>
      <c r="K78" s="17">
        <f t="shared" ref="K78:N78" si="76">+K76+K77</f>
        <v>436.99799999999999</v>
      </c>
      <c r="L78" s="17">
        <f t="shared" si="76"/>
        <v>601.44799999999998</v>
      </c>
      <c r="M78" s="17">
        <f t="shared" si="76"/>
        <v>-195.42600000000004</v>
      </c>
      <c r="N78" s="17">
        <f t="shared" si="76"/>
        <v>1431.4390000000001</v>
      </c>
      <c r="O78" s="17">
        <f>+O76+O77</f>
        <v>285.80400000000003</v>
      </c>
      <c r="P78" s="17">
        <f>+P76+P77</f>
        <v>465.58600000000001</v>
      </c>
      <c r="Q78" s="17">
        <f t="shared" ref="Q78:S78" si="77">+Q76+Q77</f>
        <v>607.86700000000008</v>
      </c>
      <c r="R78" s="17">
        <f t="shared" si="77"/>
        <v>915.202</v>
      </c>
      <c r="S78" s="17">
        <f t="shared" si="77"/>
        <v>-414.38</v>
      </c>
      <c r="U78" s="35">
        <f>IFERROR((I78/F78)^(1/3)-1,"n/a")</f>
        <v>-7.9216046658247219E-2</v>
      </c>
    </row>
    <row r="79" spans="3:23" x14ac:dyDescent="0.2">
      <c r="E79" s="13" t="s">
        <v>112</v>
      </c>
      <c r="F79" s="16">
        <v>9976.0840000000007</v>
      </c>
      <c r="G79" s="16">
        <v>-5838.518</v>
      </c>
      <c r="H79" s="16">
        <v>-811.33199999999999</v>
      </c>
      <c r="I79" s="16">
        <v>2828.9209999999998</v>
      </c>
      <c r="K79" s="16">
        <v>460.12900000000002</v>
      </c>
      <c r="L79" s="16">
        <v>-1142.2629999999999</v>
      </c>
      <c r="M79" s="16">
        <f>-1734.128-SUM(K79:L79)</f>
        <v>-1051.9940000000001</v>
      </c>
      <c r="N79" s="16">
        <f>I79-SUM(K79:M79)</f>
        <v>4563.049</v>
      </c>
      <c r="O79" s="16">
        <v>1927.721</v>
      </c>
      <c r="P79" s="16">
        <f>993.988-O79</f>
        <v>-933.73299999999995</v>
      </c>
      <c r="Q79" s="16">
        <f>682.663-SUM(O79:P79)</f>
        <v>-311.32500000000005</v>
      </c>
      <c r="R79" s="16">
        <f>I79-SUM(O79:Q79)</f>
        <v>2146.2579999999998</v>
      </c>
      <c r="S79" s="16">
        <v>-893.80200000000002</v>
      </c>
      <c r="U79" s="25">
        <f>IFERROR((I79/F79)^(1/3)-1,"n/a")</f>
        <v>-0.34301784391940782</v>
      </c>
      <c r="W79" s="30" t="s">
        <v>131</v>
      </c>
    </row>
    <row r="82" spans="6:19" x14ac:dyDescent="0.2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6:19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6:19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6:19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6:19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6:19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6:19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6:19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6:19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6:19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6:19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</row>
  </sheetData>
  <conditionalFormatting sqref="B2">
    <cfRule type="cellIs" dxfId="2" priority="6" operator="equal">
      <formula>TRUE</formula>
    </cfRule>
  </conditionalFormatting>
  <conditionalFormatting sqref="C48">
    <cfRule type="cellIs" dxfId="1" priority="9" operator="equal">
      <formula>TRUE</formula>
    </cfRule>
  </conditionalFormatting>
  <conditionalFormatting sqref="C71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0:I30 K80:P220 S80:S220 K41:M75 K78:M78 M76:M77 M79 K30:M39" formulaRange="1"/>
    <ignoredError sqref="Q221:R231" formula="1"/>
    <ignoredError sqref="Q80:R220 S41:S79 N41:R75 Q76:Q77 Q79 N78:R78 O76:O77 O79 N30:S3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2025-07-10T10:05:31Z</dcterms:modified>
</cp:coreProperties>
</file>