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4429F930-1CB2-48B8-B033-FA01FAF771FF}" xr6:coauthVersionLast="47" xr6:coauthVersionMax="47" xr10:uidLastSave="{00000000-0000-0000-0000-000000000000}"/>
  <bookViews>
    <workbookView xWindow="5520" yWindow="3645" windowWidth="26070" windowHeight="14550" tabRatio="767" activeTab="6" xr2:uid="{A454576F-BA0E-4C95-85A1-1E0F525C6E61}"/>
    <workbookView xWindow="25695" yWindow="0" windowWidth="26010" windowHeight="20985" activeTab="6" xr2:uid="{86BB5FE7-7F59-48E1-932A-2B108A8A5023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2" r:id="rId6"/>
    <sheet name="Historical" sheetId="10" r:id="rId7"/>
    <sheet name="INPUT&gt;&gt;" sheetId="6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" i="12" l="1"/>
  <c r="F28" i="12" l="1"/>
  <c r="F27" i="12"/>
  <c r="G27" i="12" s="1"/>
  <c r="H27" i="12" s="1"/>
  <c r="I27" i="12" s="1"/>
  <c r="J27" i="12" s="1"/>
  <c r="K27" i="12" s="1"/>
  <c r="F26" i="12"/>
  <c r="G26" i="12"/>
  <c r="F25" i="12"/>
  <c r="G25" i="12" s="1"/>
  <c r="H25" i="12" s="1"/>
  <c r="I25" i="12" s="1"/>
  <c r="J25" i="12" s="1"/>
  <c r="K25" i="12" s="1"/>
  <c r="E8" i="12"/>
  <c r="F17" i="12"/>
  <c r="F16" i="12"/>
  <c r="F12" i="12"/>
  <c r="F13" i="12"/>
  <c r="E19" i="12"/>
  <c r="E9" i="12"/>
  <c r="H24" i="12"/>
  <c r="G24" i="12"/>
  <c r="F24" i="12"/>
  <c r="K24" i="12"/>
  <c r="J24" i="12"/>
  <c r="I24" i="12"/>
  <c r="E20" i="12"/>
  <c r="D5" i="12"/>
  <c r="D4" i="12"/>
  <c r="D3" i="12"/>
  <c r="B2" i="12"/>
  <c r="F29" i="12" l="1"/>
  <c r="F31" i="12" s="1"/>
  <c r="F32" i="12" s="1"/>
  <c r="F33" i="12" s="1"/>
  <c r="F14" i="12"/>
  <c r="G29" i="12"/>
  <c r="G31" i="12" s="1"/>
  <c r="G28" i="12"/>
  <c r="H28" i="12" s="1"/>
  <c r="I28" i="12" s="1"/>
  <c r="J28" i="12" s="1"/>
  <c r="K28" i="12" s="1"/>
  <c r="H26" i="12"/>
  <c r="G32" i="12" l="1"/>
  <c r="G33" i="12" s="1"/>
  <c r="I26" i="12"/>
  <c r="H29" i="12"/>
  <c r="H31" i="12" s="1"/>
  <c r="H32" i="12" s="1"/>
  <c r="H33" i="12" l="1"/>
  <c r="I29" i="12"/>
  <c r="I31" i="12" s="1"/>
  <c r="I32" i="12" s="1"/>
  <c r="J26" i="12"/>
  <c r="I33" i="12" l="1"/>
  <c r="K26" i="12"/>
  <c r="K29" i="12" s="1"/>
  <c r="K31" i="12" s="1"/>
  <c r="J29" i="12"/>
  <c r="J31" i="12" s="1"/>
  <c r="J32" i="12" s="1"/>
  <c r="K32" i="12" l="1"/>
  <c r="K33" i="12" s="1"/>
  <c r="J33" i="12"/>
  <c r="F34" i="12" l="1"/>
  <c r="S30" i="10"/>
  <c r="R30" i="10"/>
  <c r="Q30" i="10"/>
  <c r="P30" i="10"/>
  <c r="O30" i="10"/>
  <c r="N30" i="10"/>
  <c r="M30" i="10"/>
  <c r="L30" i="10"/>
  <c r="K30" i="10"/>
  <c r="I30" i="10"/>
  <c r="H30" i="10"/>
  <c r="G30" i="10"/>
  <c r="F30" i="10"/>
  <c r="P69" i="10"/>
  <c r="P67" i="10"/>
  <c r="Q67" i="10" s="1"/>
  <c r="P66" i="10"/>
  <c r="N37" i="10"/>
  <c r="R37" i="10"/>
  <c r="Q29" i="10"/>
  <c r="P29" i="10"/>
  <c r="M29" i="10"/>
  <c r="L29" i="10"/>
  <c r="K29" i="10"/>
  <c r="N26" i="10"/>
  <c r="N24" i="10"/>
  <c r="N23" i="10"/>
  <c r="N21" i="10"/>
  <c r="N19" i="10"/>
  <c r="N18" i="10"/>
  <c r="N17" i="10"/>
  <c r="N16" i="10"/>
  <c r="N15" i="10"/>
  <c r="N14" i="10"/>
  <c r="N13" i="10"/>
  <c r="N12" i="10"/>
  <c r="N11" i="10"/>
  <c r="N29" i="10" s="1"/>
  <c r="R26" i="10"/>
  <c r="R24" i="10"/>
  <c r="R23" i="10"/>
  <c r="R21" i="10"/>
  <c r="R19" i="10"/>
  <c r="R18" i="10"/>
  <c r="R17" i="10"/>
  <c r="R16" i="10"/>
  <c r="R15" i="10"/>
  <c r="R14" i="10"/>
  <c r="R13" i="10"/>
  <c r="R12" i="10"/>
  <c r="R11" i="10"/>
  <c r="S29" i="10" s="1"/>
  <c r="M69" i="10"/>
  <c r="N69" i="10" s="1"/>
  <c r="M67" i="10"/>
  <c r="N67" i="10" s="1"/>
  <c r="M66" i="10"/>
  <c r="N66" i="10" s="1"/>
  <c r="Q69" i="10"/>
  <c r="R69" i="10" s="1"/>
  <c r="Q66" i="10"/>
  <c r="R66" i="10" s="1"/>
  <c r="K68" i="10"/>
  <c r="K57" i="10"/>
  <c r="K58" i="10" s="1"/>
  <c r="K53" i="10"/>
  <c r="K61" i="10" s="1"/>
  <c r="K52" i="10"/>
  <c r="K46" i="10"/>
  <c r="K20" i="10"/>
  <c r="K22" i="10" s="1"/>
  <c r="K31" i="10" s="1"/>
  <c r="L68" i="10"/>
  <c r="O68" i="10"/>
  <c r="S68" i="10"/>
  <c r="R56" i="10"/>
  <c r="N56" i="10"/>
  <c r="N49" i="10"/>
  <c r="N48" i="10"/>
  <c r="N47" i="10"/>
  <c r="N44" i="10"/>
  <c r="N43" i="10"/>
  <c r="P58" i="10"/>
  <c r="S57" i="10"/>
  <c r="S58" i="10" s="1"/>
  <c r="Q57" i="10"/>
  <c r="Q58" i="10" s="1"/>
  <c r="P57" i="10"/>
  <c r="O57" i="10"/>
  <c r="O58" i="10" s="1"/>
  <c r="M57" i="10"/>
  <c r="M58" i="10" s="1"/>
  <c r="L57" i="10"/>
  <c r="L58" i="10" s="1"/>
  <c r="I57" i="10"/>
  <c r="I58" i="10" s="1"/>
  <c r="H57" i="10"/>
  <c r="H58" i="10" s="1"/>
  <c r="G57" i="10"/>
  <c r="G58" i="10" s="1"/>
  <c r="F57" i="10"/>
  <c r="F58" i="10" s="1"/>
  <c r="N60" i="10"/>
  <c r="R60" i="10"/>
  <c r="S45" i="10"/>
  <c r="S46" i="10" s="1"/>
  <c r="I45" i="10"/>
  <c r="R45" i="10" s="1"/>
  <c r="I44" i="10"/>
  <c r="R44" i="10" s="1"/>
  <c r="H45" i="10"/>
  <c r="N45" i="10" s="1"/>
  <c r="H44" i="10"/>
  <c r="G45" i="10"/>
  <c r="G44" i="10"/>
  <c r="F45" i="10"/>
  <c r="F44" i="10"/>
  <c r="S50" i="10"/>
  <c r="S51" i="10" s="1"/>
  <c r="S52" i="10" s="1"/>
  <c r="M52" i="10"/>
  <c r="M46" i="10"/>
  <c r="M20" i="10"/>
  <c r="M22" i="10" s="1"/>
  <c r="M31" i="10" s="1"/>
  <c r="L52" i="10"/>
  <c r="L46" i="10"/>
  <c r="L20" i="10"/>
  <c r="L22" i="10" s="1"/>
  <c r="L31" i="10" s="1"/>
  <c r="R55" i="10"/>
  <c r="R49" i="10"/>
  <c r="R48" i="10"/>
  <c r="R47" i="10"/>
  <c r="R57" i="10" s="1"/>
  <c r="R43" i="10"/>
  <c r="Q52" i="10"/>
  <c r="Q46" i="10"/>
  <c r="S20" i="10"/>
  <c r="S22" i="10" s="1"/>
  <c r="S31" i="10" s="1"/>
  <c r="Q20" i="10"/>
  <c r="Q22" i="10" s="1"/>
  <c r="Q31" i="10" s="1"/>
  <c r="P46" i="10"/>
  <c r="P20" i="10"/>
  <c r="P22" i="10" s="1"/>
  <c r="P31" i="10" s="1"/>
  <c r="O46" i="10"/>
  <c r="O20" i="10"/>
  <c r="O22" i="10" s="1"/>
  <c r="O31" i="10" s="1"/>
  <c r="F51" i="10"/>
  <c r="G51" i="10"/>
  <c r="H50" i="10"/>
  <c r="H51" i="10" s="1"/>
  <c r="N51" i="10" s="1"/>
  <c r="I50" i="10"/>
  <c r="I51" i="10" s="1"/>
  <c r="R51" i="10" s="1"/>
  <c r="U48" i="10"/>
  <c r="U21" i="10"/>
  <c r="F20" i="10"/>
  <c r="F22" i="10" s="1"/>
  <c r="F25" i="10" s="1"/>
  <c r="U24" i="10"/>
  <c r="U18" i="10"/>
  <c r="U17" i="10"/>
  <c r="U16" i="10"/>
  <c r="U15" i="10"/>
  <c r="U14" i="10"/>
  <c r="I20" i="10"/>
  <c r="I22" i="10" s="1"/>
  <c r="I25" i="10" s="1"/>
  <c r="H20" i="10"/>
  <c r="H22" i="10" s="1"/>
  <c r="H25" i="10" s="1"/>
  <c r="G20" i="10"/>
  <c r="G22" i="10" s="1"/>
  <c r="G25" i="10" s="1"/>
  <c r="N50" i="10" l="1"/>
  <c r="N52" i="10" s="1"/>
  <c r="R29" i="10"/>
  <c r="R20" i="10"/>
  <c r="N57" i="10"/>
  <c r="N58" i="10" s="1"/>
  <c r="P68" i="10"/>
  <c r="R67" i="10"/>
  <c r="N68" i="10"/>
  <c r="R68" i="10"/>
  <c r="N20" i="10"/>
  <c r="N22" i="10" s="1"/>
  <c r="O29" i="10"/>
  <c r="R22" i="10"/>
  <c r="R31" i="10" s="1"/>
  <c r="M68" i="10"/>
  <c r="Q68" i="10"/>
  <c r="K25" i="10"/>
  <c r="K32" i="10" s="1"/>
  <c r="R58" i="10"/>
  <c r="N46" i="10"/>
  <c r="M53" i="10"/>
  <c r="M61" i="10" s="1"/>
  <c r="R50" i="10"/>
  <c r="R52" i="10" s="1"/>
  <c r="M25" i="10"/>
  <c r="M32" i="10" s="1"/>
  <c r="L53" i="10"/>
  <c r="L61" i="10" s="1"/>
  <c r="L25" i="10"/>
  <c r="L32" i="10" s="1"/>
  <c r="R46" i="10"/>
  <c r="S53" i="10"/>
  <c r="S61" i="10" s="1"/>
  <c r="Q25" i="10"/>
  <c r="Q32" i="10" s="1"/>
  <c r="Q53" i="10"/>
  <c r="Q61" i="10" s="1"/>
  <c r="S25" i="10"/>
  <c r="S32" i="10" s="1"/>
  <c r="P25" i="10"/>
  <c r="P52" i="10"/>
  <c r="P53" i="10" s="1"/>
  <c r="P61" i="10" s="1"/>
  <c r="O25" i="10"/>
  <c r="O32" i="10" s="1"/>
  <c r="U45" i="10"/>
  <c r="O52" i="10"/>
  <c r="O53" i="10" s="1"/>
  <c r="O61" i="10" s="1"/>
  <c r="U44" i="10"/>
  <c r="U20" i="10"/>
  <c r="E63" i="10"/>
  <c r="E8" i="10"/>
  <c r="E40" i="10"/>
  <c r="N53" i="10" l="1"/>
  <c r="N61" i="10" s="1"/>
  <c r="P27" i="10"/>
  <c r="P32" i="10"/>
  <c r="N25" i="10"/>
  <c r="N32" i="10" s="1"/>
  <c r="N31" i="10"/>
  <c r="R25" i="10"/>
  <c r="R32" i="10" s="1"/>
  <c r="K27" i="10"/>
  <c r="R53" i="10"/>
  <c r="R61" i="10" s="1"/>
  <c r="M27" i="10"/>
  <c r="Q27" i="10"/>
  <c r="Q33" i="10" s="1"/>
  <c r="L27" i="10"/>
  <c r="S27" i="10"/>
  <c r="O27" i="10"/>
  <c r="G16" i="4"/>
  <c r="H16" i="4" s="1"/>
  <c r="I16" i="4" s="1"/>
  <c r="J16" i="4" s="1"/>
  <c r="U69" i="10"/>
  <c r="U67" i="10"/>
  <c r="U54" i="10"/>
  <c r="U50" i="10"/>
  <c r="U49" i="10"/>
  <c r="U47" i="10"/>
  <c r="U66" i="10"/>
  <c r="U43" i="10"/>
  <c r="U26" i="10"/>
  <c r="U19" i="10"/>
  <c r="U13" i="10"/>
  <c r="U12" i="10"/>
  <c r="U11" i="10"/>
  <c r="F52" i="10"/>
  <c r="G52" i="10"/>
  <c r="F46" i="10"/>
  <c r="G46" i="10"/>
  <c r="F31" i="10"/>
  <c r="E64" i="10"/>
  <c r="E41" i="10"/>
  <c r="E9" i="10"/>
  <c r="H68" i="10"/>
  <c r="G68" i="10"/>
  <c r="F68" i="10"/>
  <c r="I68" i="10"/>
  <c r="I29" i="10"/>
  <c r="G29" i="10"/>
  <c r="F29" i="10"/>
  <c r="H52" i="10"/>
  <c r="I52" i="10"/>
  <c r="H46" i="10"/>
  <c r="I46" i="10"/>
  <c r="H31" i="10"/>
  <c r="G31" i="10"/>
  <c r="D5" i="10"/>
  <c r="D3" i="10"/>
  <c r="A3" i="4"/>
  <c r="A1" i="4"/>
  <c r="A3" i="2"/>
  <c r="A1" i="2"/>
  <c r="A2" i="3"/>
  <c r="A2" i="2" s="1"/>
  <c r="R27" i="10" l="1"/>
  <c r="P38" i="10"/>
  <c r="P33" i="10"/>
  <c r="M33" i="10"/>
  <c r="N27" i="10"/>
  <c r="N38" i="10" s="1"/>
  <c r="L33" i="10"/>
  <c r="K33" i="10"/>
  <c r="S33" i="10"/>
  <c r="K38" i="10"/>
  <c r="Q38" i="10"/>
  <c r="M38" i="10"/>
  <c r="L38" i="10"/>
  <c r="S38" i="10"/>
  <c r="O38" i="10"/>
  <c r="U23" i="10"/>
  <c r="U46" i="10"/>
  <c r="U52" i="10"/>
  <c r="U55" i="10"/>
  <c r="U51" i="10"/>
  <c r="U68" i="10"/>
  <c r="G53" i="10"/>
  <c r="G61" i="10" s="1"/>
  <c r="F53" i="10"/>
  <c r="F61" i="10" s="1"/>
  <c r="I53" i="10"/>
  <c r="I61" i="10" s="1"/>
  <c r="H53" i="10"/>
  <c r="H61" i="10" s="1"/>
  <c r="A2" i="4"/>
  <c r="D4" i="10"/>
  <c r="A2" i="1"/>
  <c r="A3" i="1"/>
  <c r="A1" i="3"/>
  <c r="R33" i="10" l="1"/>
  <c r="R38" i="10"/>
  <c r="N33" i="10"/>
  <c r="O33" i="10"/>
  <c r="U53" i="10"/>
  <c r="H27" i="10"/>
  <c r="H38" i="10" s="1"/>
  <c r="H32" i="10"/>
  <c r="G27" i="10"/>
  <c r="G38" i="10" s="1"/>
  <c r="G32" i="10"/>
  <c r="F27" i="10"/>
  <c r="F32" i="10"/>
  <c r="I31" i="10"/>
  <c r="U22" i="10"/>
  <c r="A1" i="1"/>
  <c r="G33" i="10" l="1"/>
  <c r="H33" i="10"/>
  <c r="F33" i="10"/>
  <c r="F38" i="10"/>
  <c r="U25" i="10"/>
  <c r="I32" i="10"/>
  <c r="I27" i="10"/>
  <c r="C61" i="10" a="1"/>
  <c r="C61" i="10" s="1"/>
  <c r="I33" i="10" l="1"/>
  <c r="U27" i="10"/>
  <c r="I38" i="10"/>
  <c r="C38" i="10" s="1" a="1"/>
  <c r="C38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<sst xmlns="http://schemas.openxmlformats.org/spreadsheetml/2006/main" count="165" uniqueCount="132">
  <si>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</si>
  <si>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</si>
  <si>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</si>
  <si>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</si>
  <si>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</si>
  <si>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</si>
  <si>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</si>
  <si>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</si>
  <si>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</si>
  <si>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</si>
  <si>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</si>
  <si>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</si>
  <si>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</si>
  <si>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</si>
  <si>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</si>
  <si>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</si>
  <si>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</si>
  <si>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</si>
  <si>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</si>
  <si>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</si>
  <si>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</si>
  <si>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</si>
  <si>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</si>
  <si>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</si>
  <si>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</si>
  <si>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</si>
  <si>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</si>
  <si>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</si>
  <si>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23</t>
  </si>
  <si>
    <t>Jun 24</t>
  </si>
  <si>
    <t>Cash</t>
  </si>
  <si>
    <t>Receivables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</si>
  <si>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</si>
  <si>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</si>
  <si>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</si>
  <si>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</si>
  <si>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</si>
  <si>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</si>
  <si>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</si>
  <si>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</si>
  <si>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</si>
  <si>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</si>
  <si>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</si>
  <si>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</si>
  <si>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</si>
  <si>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</si>
  <si>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</si>
  <si>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</si>
  <si>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</si>
  <si>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</si>
  <si>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</si>
  <si>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</si>
  <si>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</si>
  <si>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</si>
  <si>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</si>
  <si>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</si>
  <si>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</si>
  <si>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</si>
  <si>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</si>
  <si>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</si>
  <si>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</si>
  <si>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</si>
  <si>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</si>
  <si>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 xml:space="preserve">Source: </t>
  </si>
  <si>
    <t>Coinbase Global, Inc.</t>
  </si>
  <si>
    <t>COIN</t>
  </si>
  <si>
    <t>US</t>
  </si>
  <si>
    <t>Nasdaq</t>
  </si>
  <si>
    <t>NASDAQ:COIN</t>
  </si>
  <si>
    <t>31/12/2024</t>
  </si>
  <si>
    <t>$m</t>
  </si>
  <si>
    <t>EBIT</t>
  </si>
  <si>
    <t>Transaction expense</t>
  </si>
  <si>
    <t>Technology and development</t>
  </si>
  <si>
    <t>Sales and marketing</t>
  </si>
  <si>
    <t>G&amp;A</t>
  </si>
  <si>
    <t>Gains on crypto held (operations)</t>
  </si>
  <si>
    <t>Crypto impairment</t>
  </si>
  <si>
    <t>Restructuring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</si>
  <si>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</si>
  <si>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</si>
  <si>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</si>
  <si>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</si>
  <si>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</si>
  <si>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</si>
  <si>
    <t>Crypto held as investment</t>
  </si>
  <si>
    <t>Other non-current</t>
  </si>
  <si>
    <t>Non-current assets</t>
  </si>
  <si>
    <t>Crypto held for operations</t>
  </si>
  <si>
    <t>USDC</t>
  </si>
  <si>
    <t>Other current assets</t>
  </si>
  <si>
    <t>Total debt (Koyfin)</t>
  </si>
  <si>
    <t>Net debt/ (cash)</t>
  </si>
  <si>
    <t>n/a</t>
  </si>
  <si>
    <t>Q1 FY25</t>
  </si>
  <si>
    <t>Q4 FY24</t>
  </si>
  <si>
    <t>Q1 FY24</t>
  </si>
  <si>
    <t>Q3 FY24</t>
  </si>
  <si>
    <t>Mar 25</t>
  </si>
  <si>
    <t>Mar 24</t>
  </si>
  <si>
    <t>Sep 24</t>
  </si>
  <si>
    <t>Other income/ (expense)</t>
  </si>
  <si>
    <t>Q2 FY24</t>
  </si>
  <si>
    <t>Q4 FY23</t>
  </si>
  <si>
    <t>Q3 FY23</t>
  </si>
  <si>
    <t>Q2 FY23</t>
  </si>
  <si>
    <t>Sep 23</t>
  </si>
  <si>
    <t>Goodwill</t>
  </si>
  <si>
    <t>Total cash (incl. USDC)</t>
  </si>
  <si>
    <t>Mar 23</t>
  </si>
  <si>
    <t>Q1 FY23</t>
  </si>
  <si>
    <t>calc.</t>
  </si>
  <si>
    <t>FinCF</t>
  </si>
  <si>
    <t>Development ratio</t>
  </si>
  <si>
    <t>MCap</t>
  </si>
  <si>
    <t>Debt</t>
  </si>
  <si>
    <t>EV</t>
  </si>
  <si>
    <t>FY25E</t>
  </si>
  <si>
    <t>FY26E</t>
  </si>
  <si>
    <t>FY27E</t>
  </si>
  <si>
    <t>FY28E</t>
  </si>
  <si>
    <t>FY29E</t>
  </si>
  <si>
    <t>Retention of earnings</t>
  </si>
  <si>
    <t>No retention needed, TV growth retention</t>
  </si>
  <si>
    <t>Distributable profits</t>
  </si>
  <si>
    <t>Risk premium</t>
  </si>
  <si>
    <t>Discount factor</t>
  </si>
  <si>
    <t>Present values</t>
  </si>
  <si>
    <t>Sum of present values</t>
  </si>
  <si>
    <t>P/E (FY24)</t>
  </si>
  <si>
    <t>P/B (Dec24)</t>
  </si>
  <si>
    <t>Movement coming from custodial customer funds (FS like)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</si>
</sst>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9" formatCode="[$-409]d\-mmm\-yy;@"/>
    <numFmt numFmtId="170" formatCode="#,###.0\x"/>
    <numFmt numFmtId="171" formatCode="0.00%;\(0.0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5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  <xf numFmtId="166" fontId="6" fillId="0" borderId="0" xfId="1" applyNumberFormat="1" applyFont="1" applyBorder="1" applyAlignment="1">
      <alignment horizontal="right"/>
    </xf>
    <xf numFmtId="166" fontId="6" fillId="0" borderId="8" xfId="1" applyNumberFormat="1" applyFont="1" applyBorder="1" applyAlignment="1">
      <alignment horizontal="right"/>
    </xf>
    <xf numFmtId="166" fontId="6" fillId="0" borderId="2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7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169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70" fontId="0" fillId="0" borderId="0" xfId="0" applyNumberFormat="1"/>
    <xf numFmtId="0" fontId="8" fillId="9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164" fontId="2" fillId="0" borderId="5" xfId="0" applyNumberFormat="1" applyFont="1" applyBorder="1"/>
    <xf numFmtId="171" fontId="6" fillId="0" borderId="0" xfId="1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onst\valuations\BHP.xlsx" TargetMode="External"/><Relationship Id="rId1" Type="http://schemas.openxmlformats.org/officeDocument/2006/relationships/externalLinkPath" Target="BH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anual"/>
      <sheetName val="Disclaimer"/>
      <sheetName val="Input"/>
      <sheetName val="WORKINGS&gt;&gt;"/>
      <sheetName val="Valuation"/>
      <sheetName val="Model"/>
      <sheetName val="Historical"/>
      <sheetName val="INPUT&gt;&gt;"/>
    </sheetNames>
    <sheetDataSet>
      <sheetData sheetId="0">
        <row r="2">
          <cell r="A2" t="str">
            <v>Indicative valuation of BHP Group Limited: Public information</v>
          </cell>
        </row>
        <row r="3">
          <cell r="A3" t="str">
            <v>Educational purposes only, no financial advice</v>
          </cell>
        </row>
      </sheetData>
      <sheetData sheetId="1" refreshError="1"/>
      <sheetData sheetId="2" refreshError="1"/>
      <sheetData sheetId="3">
        <row r="14">
          <cell r="E14" t="str">
            <v>USDmn</v>
          </cell>
        </row>
      </sheetData>
      <sheetData sheetId="4" refreshError="1"/>
      <sheetData sheetId="5" refreshError="1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  <sheetView workbookViewId="1"/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  <sheetView workbookViewId="1"/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  <sheetView workbookViewId="1"/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6" sqref="E6"/>
    </sheetView>
    <sheetView workbookViewId="1"/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64</v>
      </c>
    </row>
    <row r="8" spans="1:11" x14ac:dyDescent="0.2">
      <c r="B8" t="s">
        <v>17</v>
      </c>
      <c r="E8" s="11" t="s">
        <v>65</v>
      </c>
    </row>
    <row r="9" spans="1:11" x14ac:dyDescent="0.2">
      <c r="B9" t="s">
        <v>21</v>
      </c>
      <c r="E9" s="11" t="s">
        <v>66</v>
      </c>
    </row>
    <row r="10" spans="1:11" x14ac:dyDescent="0.2">
      <c r="B10" t="s">
        <v>22</v>
      </c>
      <c r="E10" s="11" t="s">
        <v>67</v>
      </c>
    </row>
    <row r="11" spans="1:11" x14ac:dyDescent="0.2">
      <c r="B11" t="s">
        <v>18</v>
      </c>
      <c r="E11" s="11" t="s">
        <v>68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57</v>
      </c>
      <c r="E13" s="43" t="s">
        <v>69</v>
      </c>
    </row>
    <row r="14" spans="1:11" x14ac:dyDescent="0.2">
      <c r="B14" t="s">
        <v>41</v>
      </c>
      <c r="E14" s="11" t="s">
        <v>70</v>
      </c>
    </row>
    <row r="16" spans="1:11" x14ac:dyDescent="0.2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49</v>
      </c>
    </row>
    <row r="18" spans="2:11" x14ac:dyDescent="0.2">
      <c r="B18" t="s">
        <v>51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2">
      <c r="B21" s="5" t="s">
        <v>53</v>
      </c>
    </row>
    <row r="22" spans="2:11" x14ac:dyDescent="0.2">
      <c r="B22" t="s">
        <v>54</v>
      </c>
      <c r="E22" s="42"/>
    </row>
    <row r="23" spans="2:11" x14ac:dyDescent="0.2">
      <c r="B23" t="s">
        <v>55</v>
      </c>
      <c r="E23" s="42"/>
    </row>
    <row r="24" spans="2:11" x14ac:dyDescent="0.2">
      <c r="B24" t="s">
        <v>56</v>
      </c>
      <c r="E24" s="11"/>
    </row>
    <row r="25" spans="2:11" x14ac:dyDescent="0.2">
      <c r="B25" t="s">
        <v>58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  <sheetView workbookViewId="1"/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D482-AAB1-49D6-A5E7-E46604FB02BA}">
  <sheetPr>
    <tabColor rgb="FF0070C0"/>
  </sheetPr>
  <dimension ref="A1:P704"/>
  <sheetViews>
    <sheetView showGridLines="0" topLeftCell="C1" zoomScale="160" zoomScaleNormal="160" workbookViewId="0">
      <selection activeCell="F22" sqref="F22"/>
    </sheetView>
    <sheetView workbookViewId="1"/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8" max="8" width="9.7109375" bestFit="1" customWidth="1"/>
  </cols>
  <sheetData>
    <row r="1" spans="2:16" s="8" customFormat="1" outlineLevel="1" x14ac:dyDescent="0.2">
      <c r="B1" s="8">
        <v>0.1</v>
      </c>
    </row>
    <row r="2" spans="2:16" s="8" customFormat="1" outlineLevel="1" x14ac:dyDescent="0.2">
      <c r="B2" s="15" t="e">
        <f>AND(C:C)</f>
        <v>#VALUE!</v>
      </c>
    </row>
    <row r="3" spans="2:16" x14ac:dyDescent="0.2">
      <c r="D3" s="5" t="str">
        <f ca="1">MID(CELL("filename",D3),FIND("]",CELL("filename",D3))+1,256)</f>
        <v>Valuation</v>
      </c>
    </row>
    <row r="4" spans="2:16" x14ac:dyDescent="0.2">
      <c r="D4" s="6" t="str">
        <f>[1]Cover!$A$2</f>
        <v>Indicative valuation of BHP Group Limited: Public information</v>
      </c>
    </row>
    <row r="5" spans="2:16" x14ac:dyDescent="0.2">
      <c r="D5" s="6" t="str">
        <f>[1]Cover!$A$3</f>
        <v>Educational purposes only, no financial advice</v>
      </c>
    </row>
    <row r="8" spans="2:16" x14ac:dyDescent="0.2">
      <c r="E8" s="5" t="str">
        <f>Input!$E$8</f>
        <v>COIN</v>
      </c>
      <c r="P8" s="9"/>
    </row>
    <row r="9" spans="2:16" x14ac:dyDescent="0.2">
      <c r="E9" s="10" t="str">
        <f>+Input!$E$14</f>
        <v>$m</v>
      </c>
      <c r="F9" s="32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2:16" ht="3" customHeight="1" x14ac:dyDescent="0.2"/>
    <row r="11" spans="2:16" x14ac:dyDescent="0.2">
      <c r="E11" s="5" t="s">
        <v>114</v>
      </c>
      <c r="F11" s="17">
        <v>50752</v>
      </c>
      <c r="G11" s="49"/>
      <c r="H11" s="49">
        <v>45787</v>
      </c>
      <c r="I11" s="16"/>
      <c r="J11" s="16"/>
      <c r="K11" s="16"/>
      <c r="L11" s="16"/>
      <c r="M11" s="16"/>
      <c r="N11" s="16"/>
      <c r="O11" s="16"/>
      <c r="P11" s="16"/>
    </row>
    <row r="12" spans="2:16" x14ac:dyDescent="0.2">
      <c r="E12" s="13" t="s">
        <v>30</v>
      </c>
      <c r="F12" s="16">
        <f>Historical!S57*-1</f>
        <v>-10276.223</v>
      </c>
      <c r="G12" s="50"/>
      <c r="H12" s="50" t="s">
        <v>62</v>
      </c>
      <c r="I12" s="16"/>
      <c r="J12" s="16"/>
      <c r="K12" s="16"/>
      <c r="L12" s="16"/>
      <c r="M12" s="16"/>
      <c r="N12" s="16"/>
      <c r="O12" s="16"/>
      <c r="P12" s="16"/>
    </row>
    <row r="13" spans="2:16" x14ac:dyDescent="0.2">
      <c r="E13" s="13" t="s">
        <v>115</v>
      </c>
      <c r="F13" s="16">
        <f>+Historical!S56</f>
        <v>4509.7</v>
      </c>
      <c r="G13" s="50"/>
      <c r="H13" s="50" t="s">
        <v>62</v>
      </c>
      <c r="I13" s="16"/>
      <c r="J13" s="16"/>
      <c r="K13" s="16"/>
      <c r="L13" s="16"/>
      <c r="M13" s="16"/>
      <c r="N13" s="16"/>
      <c r="O13" s="16"/>
      <c r="P13" s="16"/>
    </row>
    <row r="14" spans="2:16" x14ac:dyDescent="0.2">
      <c r="E14" s="5" t="s">
        <v>116</v>
      </c>
      <c r="F14" s="17">
        <f>SUM(F11:F13)</f>
        <v>44985.476999999999</v>
      </c>
      <c r="G14" s="50"/>
      <c r="H14" s="50"/>
      <c r="I14" s="16"/>
      <c r="J14" s="16"/>
      <c r="K14" s="16"/>
      <c r="L14" s="16"/>
      <c r="M14" s="16"/>
      <c r="N14" s="16"/>
      <c r="O14" s="16"/>
      <c r="P14" s="16"/>
    </row>
    <row r="15" spans="2:16" x14ac:dyDescent="0.2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16" x14ac:dyDescent="0.2">
      <c r="E16" t="s">
        <v>129</v>
      </c>
      <c r="F16" s="51">
        <f>+F11/Historical!I27</f>
        <v>19.678441730455905</v>
      </c>
      <c r="G16" s="50"/>
      <c r="H16" s="50"/>
      <c r="I16" s="16"/>
      <c r="J16" s="16"/>
      <c r="K16" s="16"/>
      <c r="L16" s="16"/>
      <c r="M16" s="16"/>
      <c r="N16" s="16"/>
      <c r="O16" s="16"/>
      <c r="P16" s="16"/>
    </row>
    <row r="17" spans="5:16" x14ac:dyDescent="0.2">
      <c r="E17" t="s">
        <v>130</v>
      </c>
      <c r="F17" s="51">
        <f>+F11/Historical!I55</f>
        <v>4.938482074551696</v>
      </c>
      <c r="G17" s="50"/>
      <c r="H17" s="50"/>
      <c r="I17" s="16"/>
      <c r="J17" s="16"/>
      <c r="K17" s="16"/>
      <c r="L17" s="16"/>
      <c r="M17" s="16"/>
      <c r="N17" s="16"/>
      <c r="O17" s="16"/>
      <c r="P17" s="16"/>
    </row>
    <row r="18" spans="5:16" x14ac:dyDescent="0.2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5:16" x14ac:dyDescent="0.2">
      <c r="E19" s="5" t="str">
        <f>Input!$E$8&amp;" - DDM valuation"</f>
        <v>COIN - DDM valuation</v>
      </c>
      <c r="P19" s="9"/>
    </row>
    <row r="20" spans="5:16" x14ac:dyDescent="0.2">
      <c r="E20" s="10" t="str">
        <f>+[1]Input!$E$14</f>
        <v>USDmn</v>
      </c>
      <c r="F20" s="52" t="s">
        <v>117</v>
      </c>
      <c r="G20" s="52" t="s">
        <v>118</v>
      </c>
      <c r="H20" s="52" t="s">
        <v>119</v>
      </c>
      <c r="I20" s="52" t="s">
        <v>120</v>
      </c>
      <c r="J20" s="52" t="s">
        <v>121</v>
      </c>
      <c r="K20" s="53" t="s">
        <v>49</v>
      </c>
      <c r="L20" s="16"/>
      <c r="M20" s="16"/>
      <c r="N20" s="16"/>
      <c r="O20" s="16"/>
      <c r="P20" s="16"/>
    </row>
    <row r="21" spans="5:16" ht="3" customHeight="1" x14ac:dyDescent="0.2"/>
    <row r="22" spans="5:16" x14ac:dyDescent="0.2">
      <c r="E22" s="5" t="s">
        <v>25</v>
      </c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</row>
    <row r="23" spans="5:16" x14ac:dyDescent="0.2">
      <c r="E23" t="s">
        <v>122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/>
      <c r="L23" s="16"/>
      <c r="M23" s="16" t="s">
        <v>123</v>
      </c>
      <c r="N23" s="16"/>
      <c r="O23" s="16"/>
      <c r="P23" s="16"/>
    </row>
    <row r="24" spans="5:16" x14ac:dyDescent="0.2">
      <c r="E24" s="5" t="s">
        <v>124</v>
      </c>
      <c r="F24" s="54">
        <f>SUM(F22:F23)</f>
        <v>0</v>
      </c>
      <c r="G24" s="54">
        <f t="shared" ref="G24:K24" si="0">SUM(G22:G23)</f>
        <v>0</v>
      </c>
      <c r="H24" s="54">
        <f t="shared" si="0"/>
        <v>0</v>
      </c>
      <c r="I24" s="54">
        <f t="shared" si="0"/>
        <v>0</v>
      </c>
      <c r="J24" s="54">
        <f t="shared" si="0"/>
        <v>0</v>
      </c>
      <c r="K24" s="54">
        <f t="shared" si="0"/>
        <v>0</v>
      </c>
      <c r="L24" s="16"/>
      <c r="M24" s="16"/>
      <c r="N24" s="16"/>
      <c r="O24" s="16"/>
      <c r="P24" s="16"/>
    </row>
    <row r="25" spans="5:16" outlineLevel="1" x14ac:dyDescent="0.2">
      <c r="E25" t="s">
        <v>54</v>
      </c>
      <c r="F25" s="55">
        <f>+Input!E22</f>
        <v>0</v>
      </c>
      <c r="G25" s="55">
        <f>F25</f>
        <v>0</v>
      </c>
      <c r="H25" s="55">
        <f t="shared" ref="H25:K27" si="1">G25</f>
        <v>0</v>
      </c>
      <c r="I25" s="55">
        <f t="shared" si="1"/>
        <v>0</v>
      </c>
      <c r="J25" s="55">
        <f t="shared" si="1"/>
        <v>0</v>
      </c>
      <c r="K25" s="55">
        <f t="shared" si="1"/>
        <v>0</v>
      </c>
      <c r="L25" s="16"/>
      <c r="M25" s="16"/>
      <c r="N25" s="16"/>
      <c r="O25" s="16"/>
      <c r="P25" s="16"/>
    </row>
    <row r="26" spans="5:16" outlineLevel="1" x14ac:dyDescent="0.2">
      <c r="E26" t="s">
        <v>56</v>
      </c>
      <c r="F26" s="46">
        <f>+Input!E24</f>
        <v>0</v>
      </c>
      <c r="G26" s="46">
        <f>F26</f>
        <v>0</v>
      </c>
      <c r="H26" s="46">
        <f t="shared" si="1"/>
        <v>0</v>
      </c>
      <c r="I26" s="46">
        <f t="shared" si="1"/>
        <v>0</v>
      </c>
      <c r="J26" s="46">
        <f t="shared" si="1"/>
        <v>0</v>
      </c>
      <c r="K26" s="46">
        <f t="shared" si="1"/>
        <v>0</v>
      </c>
      <c r="L26" s="16"/>
      <c r="M26" s="16"/>
      <c r="N26" s="16"/>
      <c r="O26" s="16"/>
      <c r="P26" s="16"/>
    </row>
    <row r="27" spans="5:16" outlineLevel="1" x14ac:dyDescent="0.2">
      <c r="E27" t="s">
        <v>55</v>
      </c>
      <c r="F27" s="55">
        <f>+Input!E23</f>
        <v>0</v>
      </c>
      <c r="G27" s="55">
        <f>F27</f>
        <v>0</v>
      </c>
      <c r="H27" s="55">
        <f t="shared" si="1"/>
        <v>0</v>
      </c>
      <c r="I27" s="55">
        <f t="shared" si="1"/>
        <v>0</v>
      </c>
      <c r="J27" s="55">
        <f t="shared" si="1"/>
        <v>0</v>
      </c>
      <c r="K27" s="55">
        <f t="shared" si="1"/>
        <v>0</v>
      </c>
      <c r="L27" s="16"/>
      <c r="M27" s="16"/>
      <c r="N27" s="16"/>
      <c r="O27" s="16"/>
      <c r="P27" s="16"/>
    </row>
    <row r="28" spans="5:16" outlineLevel="1" x14ac:dyDescent="0.2">
      <c r="E28" t="s">
        <v>58</v>
      </c>
      <c r="F28" s="55">
        <f>+Input!E25</f>
        <v>0</v>
      </c>
      <c r="G28" s="55">
        <f t="shared" ref="G28:K28" si="2">F28</f>
        <v>0</v>
      </c>
      <c r="H28" s="55">
        <f t="shared" si="2"/>
        <v>0</v>
      </c>
      <c r="I28" s="55">
        <f t="shared" si="2"/>
        <v>0</v>
      </c>
      <c r="J28" s="55">
        <f t="shared" si="2"/>
        <v>0</v>
      </c>
      <c r="K28" s="55">
        <f t="shared" si="2"/>
        <v>0</v>
      </c>
      <c r="L28" s="16"/>
      <c r="M28" s="16"/>
      <c r="N28" s="16"/>
      <c r="O28" s="16"/>
      <c r="P28" s="16"/>
    </row>
    <row r="29" spans="5:16" outlineLevel="1" x14ac:dyDescent="0.2">
      <c r="E29" t="s">
        <v>125</v>
      </c>
      <c r="F29" s="55">
        <f>F26*F27+F28</f>
        <v>0</v>
      </c>
      <c r="G29" s="55">
        <f t="shared" ref="G29:K29" si="3">G26*G27+G28</f>
        <v>0</v>
      </c>
      <c r="H29" s="55">
        <f t="shared" si="3"/>
        <v>0</v>
      </c>
      <c r="I29" s="55">
        <f t="shared" si="3"/>
        <v>0</v>
      </c>
      <c r="J29" s="55">
        <f t="shared" si="3"/>
        <v>0</v>
      </c>
      <c r="K29" s="55">
        <f t="shared" si="3"/>
        <v>0</v>
      </c>
      <c r="L29" s="55"/>
      <c r="M29" s="16"/>
      <c r="N29" s="16"/>
      <c r="O29" s="16"/>
      <c r="P29" s="16"/>
    </row>
    <row r="30" spans="5:16" outlineLevel="1" x14ac:dyDescent="0.2">
      <c r="E30" t="s">
        <v>51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f>+Input!K18*-1</f>
        <v>-0.01</v>
      </c>
      <c r="L30" s="16"/>
      <c r="M30" s="16"/>
      <c r="N30" s="16"/>
      <c r="O30" s="16"/>
      <c r="P30" s="16"/>
    </row>
    <row r="31" spans="5:16" outlineLevel="1" x14ac:dyDescent="0.2">
      <c r="E31" t="s">
        <v>53</v>
      </c>
      <c r="F31" s="55">
        <f>F29+F25+F30</f>
        <v>0</v>
      </c>
      <c r="G31" s="55">
        <f t="shared" ref="G31:K31" si="4">G29+G25+G30</f>
        <v>0</v>
      </c>
      <c r="H31" s="55">
        <f t="shared" si="4"/>
        <v>0</v>
      </c>
      <c r="I31" s="55">
        <f t="shared" si="4"/>
        <v>0</v>
      </c>
      <c r="J31" s="55">
        <f t="shared" si="4"/>
        <v>0</v>
      </c>
      <c r="K31" s="55">
        <f t="shared" si="4"/>
        <v>-0.01</v>
      </c>
      <c r="L31" s="16"/>
      <c r="M31" s="16"/>
      <c r="N31" s="16"/>
      <c r="O31" s="16"/>
      <c r="P31" s="16"/>
    </row>
    <row r="32" spans="5:16" x14ac:dyDescent="0.2">
      <c r="E32" t="s">
        <v>126</v>
      </c>
      <c r="F32" s="46">
        <f>1/(1+F31)^1</f>
        <v>1</v>
      </c>
      <c r="G32" s="46">
        <f>F32/(1+G31)^1</f>
        <v>1</v>
      </c>
      <c r="H32" s="46">
        <f t="shared" ref="H32:J32" si="5">G32/(1+H31)^1</f>
        <v>1</v>
      </c>
      <c r="I32" s="46">
        <f t="shared" si="5"/>
        <v>1</v>
      </c>
      <c r="J32" s="46">
        <f t="shared" si="5"/>
        <v>1</v>
      </c>
      <c r="K32" s="46">
        <f>J32/K31</f>
        <v>-100</v>
      </c>
      <c r="L32" s="16"/>
      <c r="M32" s="16"/>
      <c r="N32" s="16"/>
      <c r="O32" s="16"/>
      <c r="P32" s="16"/>
    </row>
    <row r="33" spans="5:16" x14ac:dyDescent="0.2">
      <c r="E33" s="5" t="s">
        <v>127</v>
      </c>
      <c r="F33" s="17">
        <f>F24*F32</f>
        <v>0</v>
      </c>
      <c r="G33" s="17">
        <f t="shared" ref="G33:K33" si="6">G24*G32</f>
        <v>0</v>
      </c>
      <c r="H33" s="17">
        <f t="shared" si="6"/>
        <v>0</v>
      </c>
      <c r="I33" s="17">
        <f t="shared" si="6"/>
        <v>0</v>
      </c>
      <c r="J33" s="17">
        <f t="shared" si="6"/>
        <v>0</v>
      </c>
      <c r="K33" s="17">
        <f t="shared" si="6"/>
        <v>0</v>
      </c>
      <c r="L33" s="16"/>
      <c r="M33" s="16"/>
      <c r="N33" s="16"/>
      <c r="O33" s="16"/>
      <c r="P33" s="16"/>
    </row>
    <row r="34" spans="5:16" x14ac:dyDescent="0.2">
      <c r="E34" s="5" t="s">
        <v>128</v>
      </c>
      <c r="F34" s="17">
        <f>SUM(F33:K33)</f>
        <v>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5:16" x14ac:dyDescent="0.2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5:16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5:16" x14ac:dyDescent="0.2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5:16" x14ac:dyDescent="0.2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5:16" x14ac:dyDescent="0.2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5:16" x14ac:dyDescent="0.2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5:16" x14ac:dyDescent="0.2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5:16" x14ac:dyDescent="0.2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5:16" x14ac:dyDescent="0.2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5:16" x14ac:dyDescent="0.2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5:16" x14ac:dyDescent="0.2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5:16" x14ac:dyDescent="0.2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5:16" x14ac:dyDescent="0.2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5:16" x14ac:dyDescent="0.2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6:16" x14ac:dyDescent="0.2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6:16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6:16" x14ac:dyDescent="0.2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6:16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6:16" x14ac:dyDescent="0.2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6:16" x14ac:dyDescent="0.2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6:16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6:16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6:16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6:16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6:16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6:16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6:16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6:16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6:16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6:16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6:16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6:16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6:16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6:16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6:16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6:16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6:16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6:16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6:16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6:16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6:16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6:16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6:16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6:16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6:16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6:16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6:16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6:16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6:16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6:16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6:16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6:16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6:16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6:16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6:16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6:16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6:16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6:16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6:16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6:16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6:16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6:16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6:16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6:16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6:16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6:16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6:16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6:16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6:16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6:16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6:16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6:16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6:16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6:16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6:16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6:16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6:16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6:16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6:16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6:16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6:16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6:16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6:16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6:16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6:16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6:16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6:16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6:16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6:16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6:16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6:16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6:16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6:16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6:16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6:16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6:16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6:16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6:16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6:16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6:16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6:16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6:16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6:16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6:16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6:16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6:16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6:16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6:16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6:16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6:16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6:16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6:16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6:16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6:16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6:16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6:16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6:16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6:16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6:16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6:16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6:16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6:16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6:16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6:16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6:16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6:16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6:16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6:16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6:16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6:16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6:16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6:16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6:16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6:16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6:16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6:16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6:16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6:16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6:16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6:16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6:16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6:16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6:16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6:16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6:16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6:16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6:16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6:16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6:16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6:16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6:16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6:16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6:16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6:16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6:16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6:16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6:16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6:16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6:16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6:16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6:16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6:16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6:16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6:16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6:16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6:16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6:16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6:16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6:16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6:16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6:16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6:16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6:16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6:16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6:16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6:16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6:16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6:16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6:16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6:16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6:16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6:16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6:16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6:16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6:16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6:16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6:16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6:16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6:16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6:16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6:16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6:16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6:16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6:16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6:16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6:16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6:16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6:16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6:16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6:16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6:16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6:16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6:16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6:16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6:16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6:16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6:16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6:16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6:16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6:16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6:16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6:16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6:16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6:16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6:16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6:16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6:16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6:16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6:16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6:16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6:16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6:16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6:16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6:16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6:16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6:16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6:16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6:16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6:16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6:16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6:16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6:16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6:16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6:16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6:16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6:16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6:16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6:16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6:16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spans="6:16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spans="6:16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spans="6:16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spans="6:16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spans="6:16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6:16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spans="6:16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spans="6:16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6:16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6:16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spans="6:16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6:16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6:16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6:16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6:16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6:16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6:16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6:16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6:16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6:16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6:16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6:16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6:16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6:16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6:16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6:16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6:16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6:16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6:16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6:16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spans="6:16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spans="6:16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spans="6:16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spans="6:16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spans="6:16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spans="6:16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spans="6:16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spans="6:16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spans="6:16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spans="6:16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spans="6:16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6:16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6:16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spans="6:16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spans="6:16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6:16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spans="6:16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6:16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6:16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spans="6:16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spans="6:16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spans="6:16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6:16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6:16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spans="6:16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6:16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6:16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6:16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6:16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6:16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spans="6:16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spans="6:16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spans="6:16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spans="6:16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6:16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spans="6:16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6:16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6:16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6:16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spans="6:16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spans="6:16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spans="6:16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spans="6:16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spans="6:16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6:16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6:16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6:16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spans="6:16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spans="6:16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6:16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6:16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6:16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6:16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6:16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6:16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spans="6:16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spans="6:16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spans="6:16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spans="6:16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spans="6:16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6:16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6:16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spans="6:16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spans="6:16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6:16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spans="6:16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spans="6:16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spans="6:16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6:16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6:16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6:16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spans="6:16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6:16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spans="6:16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spans="6:16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spans="6:16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6:16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6:16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spans="6:16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spans="6:16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spans="6:16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spans="6:16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6:16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6:16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6:16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6:16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6:16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6:16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6:16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6:16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6:16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6:16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spans="6:16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spans="6:16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spans="6:16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spans="6:16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spans="6:16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spans="6:16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spans="6:16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spans="6:16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6:16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6:16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spans="6:16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spans="6:16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spans="6:16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spans="6:16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spans="6:16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spans="6:16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spans="6:16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spans="6:16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spans="6:16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6:16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spans="6:16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6:16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6:16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spans="6:16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6:16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spans="6:16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6:16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6:16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spans="6:16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spans="6:16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spans="6:16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spans="6:16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spans="6:16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spans="6:16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6:16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6:16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6:16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6:16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6:16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6:16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6:16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6:16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6:16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6:16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6:16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6:16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6:16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6:16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spans="6:16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spans="6:16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spans="6:16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spans="6:16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6:16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spans="6:16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spans="6:16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spans="6:16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spans="6:16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spans="6:16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spans="6:16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spans="6:16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spans="6:16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spans="6:16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spans="6:16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spans="6:16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spans="6:16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spans="6:16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spans="6:16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spans="6:16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spans="6:16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spans="6:16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spans="6:16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spans="6:16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spans="6:16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6:16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spans="6:16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spans="6:16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6:16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spans="6:16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spans="6:16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spans="6:16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spans="6:16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spans="6:16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spans="6:16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spans="6:16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spans="6:16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spans="6:16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6:16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spans="6:16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spans="6:16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spans="6:16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6:16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6:16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6:16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spans="6:16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spans="6:16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spans="6:16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spans="6:16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spans="6:16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spans="6:16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spans="6:16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spans="6:16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spans="6:16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spans="6:16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spans="6:16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spans="6:16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spans="6:16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spans="6:16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spans="6:16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spans="6:16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6:16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spans="6:16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spans="6:16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spans="6:16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6:16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6:16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spans="6:16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spans="6:16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spans="6:16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spans="6:16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spans="6:16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spans="6:16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spans="6:16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spans="6:16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spans="6:16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spans="6:16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spans="6:16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spans="6:16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spans="6:16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spans="6:16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spans="6:16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spans="6:16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spans="6:16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spans="6:16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spans="6:16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spans="6:16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spans="6:16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spans="6:16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spans="6:16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spans="6:16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spans="6:16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spans="6:16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spans="6:16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spans="6:16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spans="6:16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spans="6:16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spans="6:16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spans="6:16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spans="6:16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spans="6:16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spans="6:16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spans="6:16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spans="6:16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spans="6:16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spans="6:16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spans="6:16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spans="6:16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spans="6:16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spans="6:16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spans="6:16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spans="6:16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spans="6:16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spans="6:16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spans="6:16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spans="6:16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spans="6:16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spans="6:16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6:16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6:16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spans="6:16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spans="6:16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6:16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spans="6:16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6:16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6:16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spans="6:16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spans="6:16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spans="6:16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6:16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6:16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spans="6:16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spans="6:16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spans="6:16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spans="6:16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spans="6:16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spans="6:16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6:16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spans="6:16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6:16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spans="6:16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spans="6:16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spans="6:16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spans="6:16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spans="6:16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spans="6:16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spans="6:16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spans="6:16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spans="6:16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spans="6:16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spans="6:16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spans="6:16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spans="6:16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spans="6:16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spans="6:16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spans="6:16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spans="6:16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6:16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6:16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spans="6:16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spans="6:16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6:16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6:16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6:16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6:16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spans="6:16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spans="6:16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spans="6:16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spans="6:16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spans="6:16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spans="6:16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spans="6:16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spans="6:16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spans="6:16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spans="6:16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spans="6:16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spans="6:16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spans="6:16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spans="6:16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spans="6:16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6:16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spans="6:16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spans="6:16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spans="6:16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spans="6:16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spans="6:16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spans="6:16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spans="6:16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6:16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spans="6:16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spans="6:16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spans="6:16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spans="6:16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spans="6:16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6:16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spans="6:16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spans="6:16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spans="6:16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spans="6:16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spans="6:16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spans="6:16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spans="6:16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spans="6:16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spans="6:16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spans="6:16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6:16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spans="6:16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spans="6:16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spans="6:16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spans="6:16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spans="6:16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spans="6:16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6:16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spans="6:16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spans="6:16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spans="6:16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spans="6:16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6:16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spans="6:16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spans="6:16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spans="6:16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spans="6:16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6:16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spans="6:16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spans="6:16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spans="6:16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spans="6:16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spans="6:16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6:16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spans="6:16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spans="6:16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spans="6:16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spans="6:16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spans="6:16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spans="6:16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spans="6:16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spans="6:16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6:16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spans="6:16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spans="6:16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spans="6:16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spans="6:16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spans="6:16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spans="6:16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spans="6:16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spans="6:16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spans="6:16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spans="6:16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spans="6:16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6:16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spans="6:16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spans="6:16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spans="6:16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spans="6:16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spans="6:16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spans="6:16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spans="6:16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spans="6:16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spans="6:16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spans="6:16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6:16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</sheetData>
  <conditionalFormatting sqref="B2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W763"/>
  <sheetViews>
    <sheetView showGridLines="0" tabSelected="1" zoomScale="115" zoomScaleNormal="115" workbookViewId="0">
      <selection activeCell="H6" sqref="H6"/>
    </sheetView>
    <sheetView tabSelected="1" workbookViewId="1">
      <selection activeCell="I32" sqref="I32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0" max="10" width="1.28515625" customWidth="1"/>
    <col min="23" max="23" width="52.85546875" style="30" bestFit="1" customWidth="1"/>
  </cols>
  <sheetData>
    <row r="1" spans="2:23" s="8" customFormat="1" outlineLevel="1" x14ac:dyDescent="0.2">
      <c r="B1" s="8">
        <v>0.1</v>
      </c>
    </row>
    <row r="2" spans="2:23" s="8" customFormat="1" outlineLevel="1" x14ac:dyDescent="0.2">
      <c r="B2" s="15" t="b">
        <f>AND(C:C)</f>
        <v>1</v>
      </c>
    </row>
    <row r="3" spans="2:23" x14ac:dyDescent="0.2">
      <c r="D3" s="5" t="str">
        <f ca="1">MID(CELL("filename",D3),FIND("]",CELL("filename",D3))+1,256)</f>
        <v>Historical</v>
      </c>
    </row>
    <row r="4" spans="2:23" x14ac:dyDescent="0.2">
      <c r="D4" s="6" t="str">
        <f>Cover!$A$2</f>
        <v>Indicative valuation of Coinbase Global, Inc.: Public information</v>
      </c>
    </row>
    <row r="5" spans="2:23" x14ac:dyDescent="0.2">
      <c r="D5" s="6" t="str">
        <f>Cover!$A$3</f>
        <v>Educational purposes only, no financial advice</v>
      </c>
    </row>
    <row r="6" spans="2:23" x14ac:dyDescent="0.2">
      <c r="S6" s="16"/>
    </row>
    <row r="8" spans="2:23" x14ac:dyDescent="0.2">
      <c r="E8" s="5" t="str">
        <f>Input!$E$8&amp;" - P&amp;L"</f>
        <v>COIN - P&amp;L</v>
      </c>
      <c r="I8" s="9"/>
      <c r="K8" s="9"/>
      <c r="L8" s="9"/>
      <c r="M8" s="9"/>
      <c r="N8" s="41" t="s">
        <v>111</v>
      </c>
      <c r="O8" s="5"/>
      <c r="P8" s="9"/>
      <c r="Q8" s="9"/>
      <c r="R8" s="41" t="s">
        <v>111</v>
      </c>
      <c r="S8" s="9"/>
      <c r="U8" s="34" t="s">
        <v>47</v>
      </c>
      <c r="W8" s="31" t="s">
        <v>42</v>
      </c>
    </row>
    <row r="9" spans="2:23" x14ac:dyDescent="0.2">
      <c r="E9" s="10" t="str">
        <f>+Input!$E$14</f>
        <v>$m</v>
      </c>
      <c r="F9" s="32" t="s">
        <v>46</v>
      </c>
      <c r="G9" s="32" t="s">
        <v>45</v>
      </c>
      <c r="H9" s="32" t="s">
        <v>44</v>
      </c>
      <c r="I9" s="32" t="s">
        <v>43</v>
      </c>
      <c r="K9" s="47" t="s">
        <v>110</v>
      </c>
      <c r="L9" s="47" t="s">
        <v>105</v>
      </c>
      <c r="M9" s="47" t="s">
        <v>104</v>
      </c>
      <c r="N9" s="47" t="s">
        <v>103</v>
      </c>
      <c r="O9" s="48" t="s">
        <v>96</v>
      </c>
      <c r="P9" s="48" t="s">
        <v>102</v>
      </c>
      <c r="Q9" s="48" t="s">
        <v>97</v>
      </c>
      <c r="R9" s="48" t="s">
        <v>95</v>
      </c>
      <c r="S9" s="32" t="s">
        <v>94</v>
      </c>
      <c r="U9" s="33" t="s">
        <v>48</v>
      </c>
    </row>
    <row r="10" spans="2:23" ht="3" customHeight="1" x14ac:dyDescent="0.2"/>
    <row r="11" spans="2:23" x14ac:dyDescent="0.2">
      <c r="E11" s="14" t="s">
        <v>81</v>
      </c>
      <c r="F11" s="17">
        <v>7839.4440000000004</v>
      </c>
      <c r="G11" s="17">
        <v>3194.2080000000001</v>
      </c>
      <c r="H11" s="17">
        <v>3108.3829999999998</v>
      </c>
      <c r="I11" s="17">
        <v>6564.0280000000002</v>
      </c>
      <c r="K11" s="17">
        <v>772.529</v>
      </c>
      <c r="L11" s="17">
        <v>707.91099999999994</v>
      </c>
      <c r="M11" s="17">
        <v>674.14800000000002</v>
      </c>
      <c r="N11" s="17">
        <f>H11-SUM(K11:M11)</f>
        <v>953.79499999999962</v>
      </c>
      <c r="O11" s="17">
        <v>1637.57</v>
      </c>
      <c r="P11" s="17">
        <v>1449.6279999999999</v>
      </c>
      <c r="Q11" s="17">
        <v>1205.193</v>
      </c>
      <c r="R11" s="17">
        <f>I11-SUM(O11:Q11)</f>
        <v>2271.6370000000006</v>
      </c>
      <c r="S11" s="17">
        <v>2034.2950000000001</v>
      </c>
      <c r="U11" s="35">
        <f>IFERROR((I11/F11)^(1/3)-1,"n/a")</f>
        <v>-5.7470277979168927E-2</v>
      </c>
    </row>
    <row r="12" spans="2:23" x14ac:dyDescent="0.2">
      <c r="E12" s="13" t="s">
        <v>72</v>
      </c>
      <c r="F12" s="16">
        <v>-1267.924</v>
      </c>
      <c r="G12" s="16">
        <v>-629.88</v>
      </c>
      <c r="H12" s="16">
        <v>-420.70499999999998</v>
      </c>
      <c r="I12" s="16">
        <v>-897.70699999999999</v>
      </c>
      <c r="K12" s="16">
        <v>-96.369</v>
      </c>
      <c r="L12" s="16">
        <v>-108.2</v>
      </c>
      <c r="M12" s="16">
        <v>-90.576999999999998</v>
      </c>
      <c r="N12" s="16">
        <f t="shared" ref="N12:N26" si="0">H12-SUM(K12:M12)</f>
        <v>-125.55899999999997</v>
      </c>
      <c r="O12" s="16">
        <v>-217.40700000000001</v>
      </c>
      <c r="P12" s="16">
        <v>-191.477</v>
      </c>
      <c r="Q12" s="16">
        <v>-171.78100000000001</v>
      </c>
      <c r="R12" s="16">
        <f t="shared" ref="R12:R26" si="1">I12-SUM(O12:Q12)</f>
        <v>-317.04200000000003</v>
      </c>
      <c r="S12" s="16">
        <v>-303.02600000000001</v>
      </c>
      <c r="U12" s="25">
        <f>IFERROR((I12/F12)^(1/3)-1,"n/a")</f>
        <v>-0.10872074872291071</v>
      </c>
    </row>
    <row r="13" spans="2:23" x14ac:dyDescent="0.2">
      <c r="E13" s="13" t="s">
        <v>73</v>
      </c>
      <c r="F13" s="16">
        <v>-1291.5609999999999</v>
      </c>
      <c r="G13" s="16">
        <v>-2326.3539999999998</v>
      </c>
      <c r="H13" s="16">
        <v>-1324.5409999999999</v>
      </c>
      <c r="I13" s="16">
        <v>-1468.252</v>
      </c>
      <c r="K13" s="16">
        <v>-358.03100000000001</v>
      </c>
      <c r="L13" s="16">
        <v>-320.66699999999997</v>
      </c>
      <c r="M13" s="16">
        <v>-322.75599999999997</v>
      </c>
      <c r="N13" s="16">
        <f t="shared" si="0"/>
        <v>-323.08699999999999</v>
      </c>
      <c r="O13" s="16">
        <v>-357.863</v>
      </c>
      <c r="P13" s="16">
        <v>-364.25799999999998</v>
      </c>
      <c r="Q13" s="16">
        <v>-377.44</v>
      </c>
      <c r="R13" s="16">
        <f t="shared" si="1"/>
        <v>-368.69100000000003</v>
      </c>
      <c r="S13" s="16">
        <v>-355.36799999999999</v>
      </c>
      <c r="U13" s="25">
        <f>IFERROR((I13/F13)^(1/3)-1,"n/a")</f>
        <v>4.3666858777077211E-2</v>
      </c>
    </row>
    <row r="14" spans="2:23" x14ac:dyDescent="0.2">
      <c r="E14" s="13" t="s">
        <v>74</v>
      </c>
      <c r="F14" s="16">
        <v>-663.68899999999996</v>
      </c>
      <c r="G14" s="16">
        <v>-510.089</v>
      </c>
      <c r="H14" s="16">
        <v>-332.31200000000001</v>
      </c>
      <c r="I14" s="16">
        <v>-654.44399999999996</v>
      </c>
      <c r="K14" s="16">
        <v>-63.975999999999999</v>
      </c>
      <c r="L14" s="16">
        <v>-83.852999999999994</v>
      </c>
      <c r="M14" s="16">
        <v>-78.177999999999997</v>
      </c>
      <c r="N14" s="16">
        <f t="shared" si="0"/>
        <v>-106.30500000000001</v>
      </c>
      <c r="O14" s="16">
        <v>-98.584999999999994</v>
      </c>
      <c r="P14" s="16">
        <v>-165.262</v>
      </c>
      <c r="Q14" s="16">
        <v>-164.77</v>
      </c>
      <c r="R14" s="16">
        <f t="shared" si="1"/>
        <v>-225.827</v>
      </c>
      <c r="S14" s="16">
        <v>-247.28299999999999</v>
      </c>
      <c r="U14" s="25">
        <f>IFERROR((I14/F14)^(1/3)-1,"n/a")</f>
        <v>-4.6649671056675501E-3</v>
      </c>
    </row>
    <row r="15" spans="2:23" x14ac:dyDescent="0.2">
      <c r="E15" s="13" t="s">
        <v>75</v>
      </c>
      <c r="F15" s="16">
        <v>-909.39200000000005</v>
      </c>
      <c r="G15" s="16">
        <v>-1600.586</v>
      </c>
      <c r="H15" s="16">
        <v>-1074.308</v>
      </c>
      <c r="I15" s="16">
        <v>-1300.2570000000001</v>
      </c>
      <c r="K15" s="16">
        <v>-248.761</v>
      </c>
      <c r="L15" s="16">
        <v>-258.988</v>
      </c>
      <c r="M15" s="16">
        <v>-252.63</v>
      </c>
      <c r="N15" s="16">
        <f t="shared" si="0"/>
        <v>-313.92899999999997</v>
      </c>
      <c r="O15" s="16">
        <v>-287.23599999999999</v>
      </c>
      <c r="P15" s="16">
        <v>-320.11500000000001</v>
      </c>
      <c r="Q15" s="16">
        <v>-330.387</v>
      </c>
      <c r="R15" s="16">
        <f t="shared" si="1"/>
        <v>-362.51900000000001</v>
      </c>
      <c r="S15" s="16">
        <v>-394.346</v>
      </c>
      <c r="U15" s="25">
        <f>IFERROR((I15/F15)^(1/3)-1,"n/a")</f>
        <v>0.12657304808481507</v>
      </c>
    </row>
    <row r="16" spans="2:23" x14ac:dyDescent="0.2">
      <c r="E16" s="13" t="s">
        <v>76</v>
      </c>
      <c r="F16" s="16">
        <v>0</v>
      </c>
      <c r="G16" s="16">
        <v>0</v>
      </c>
      <c r="H16" s="16">
        <v>0</v>
      </c>
      <c r="I16" s="16">
        <v>71.724999999999994</v>
      </c>
      <c r="K16" s="16">
        <v>0</v>
      </c>
      <c r="L16" s="16">
        <v>0</v>
      </c>
      <c r="M16" s="16">
        <v>0</v>
      </c>
      <c r="N16" s="16">
        <f t="shared" si="0"/>
        <v>0</v>
      </c>
      <c r="O16" s="16">
        <v>86.358000000000004</v>
      </c>
      <c r="P16" s="16">
        <v>-31.015999999999998</v>
      </c>
      <c r="Q16" s="16">
        <v>0.14199999999999999</v>
      </c>
      <c r="R16" s="16">
        <f t="shared" si="1"/>
        <v>16.240999999999985</v>
      </c>
      <c r="S16" s="16">
        <v>-34.365000000000002</v>
      </c>
      <c r="U16" s="25">
        <f>IFERROR((I16/F17)^(1/3)-1,"n/a")</f>
        <v>-1.7765600890436968</v>
      </c>
    </row>
    <row r="17" spans="5:21" x14ac:dyDescent="0.2">
      <c r="E17" s="13" t="s">
        <v>77</v>
      </c>
      <c r="F17" s="16">
        <v>-153.16</v>
      </c>
      <c r="G17" s="16">
        <v>-722.21100000000001</v>
      </c>
      <c r="H17" s="16">
        <v>34.674999999999997</v>
      </c>
      <c r="I17" s="16">
        <v>0</v>
      </c>
      <c r="K17" s="16">
        <v>-17.962</v>
      </c>
      <c r="L17" s="16">
        <v>8.0530000000000008</v>
      </c>
      <c r="M17" s="16">
        <v>-7.18</v>
      </c>
      <c r="N17" s="16">
        <f t="shared" si="0"/>
        <v>51.763999999999996</v>
      </c>
      <c r="O17" s="16">
        <v>0</v>
      </c>
      <c r="P17" s="16">
        <v>0</v>
      </c>
      <c r="Q17" s="16">
        <v>0</v>
      </c>
      <c r="R17" s="16">
        <f t="shared" si="1"/>
        <v>0</v>
      </c>
      <c r="S17" s="16">
        <v>0</v>
      </c>
      <c r="U17" s="25" t="str">
        <f>IFERROR((I17/#REF!)^(1/3)-1,"n/a")</f>
        <v>n/a</v>
      </c>
    </row>
    <row r="18" spans="5:21" x14ac:dyDescent="0.2">
      <c r="E18" s="13" t="s">
        <v>78</v>
      </c>
      <c r="F18" s="16">
        <v>0</v>
      </c>
      <c r="G18" s="16">
        <v>-40.703000000000003</v>
      </c>
      <c r="H18" s="16">
        <v>-142.59399999999999</v>
      </c>
      <c r="I18" s="16">
        <v>0</v>
      </c>
      <c r="K18" s="16">
        <v>-144.489</v>
      </c>
      <c r="L18" s="16">
        <v>1.0349999999999999</v>
      </c>
      <c r="M18" s="16">
        <v>0.86</v>
      </c>
      <c r="N18" s="16">
        <f t="shared" si="0"/>
        <v>0</v>
      </c>
      <c r="O18" s="16">
        <v>0</v>
      </c>
      <c r="P18" s="16">
        <v>0</v>
      </c>
      <c r="Q18" s="16">
        <v>0</v>
      </c>
      <c r="R18" s="16">
        <f t="shared" si="1"/>
        <v>0</v>
      </c>
      <c r="S18" s="16">
        <v>0</v>
      </c>
      <c r="U18" s="25" t="str">
        <f t="shared" ref="U18:U27" si="2">IFERROR((I18/F18)^(1/3)-1,"n/a")</f>
        <v>n/a</v>
      </c>
    </row>
    <row r="19" spans="5:21" x14ac:dyDescent="0.2">
      <c r="E19" s="13" t="s">
        <v>101</v>
      </c>
      <c r="F19" s="18">
        <v>-477.14800000000002</v>
      </c>
      <c r="G19" s="18">
        <v>-74.593000000000004</v>
      </c>
      <c r="H19" s="18">
        <v>-10.26</v>
      </c>
      <c r="I19" s="18">
        <v>-7.9329999999999998</v>
      </c>
      <c r="K19" s="18">
        <v>33.183999999999997</v>
      </c>
      <c r="L19" s="18">
        <v>-18.866</v>
      </c>
      <c r="M19" s="18">
        <v>-3.512</v>
      </c>
      <c r="N19" s="18">
        <f t="shared" si="0"/>
        <v>-21.065999999999995</v>
      </c>
      <c r="O19" s="18">
        <v>-2.3759999999999999</v>
      </c>
      <c r="P19" s="18">
        <v>-34.383000000000003</v>
      </c>
      <c r="Q19" s="18">
        <v>8.5559999999999992</v>
      </c>
      <c r="R19" s="18">
        <f t="shared" si="1"/>
        <v>20.270000000000003</v>
      </c>
      <c r="S19" s="18">
        <v>5.899</v>
      </c>
      <c r="U19" s="25">
        <f t="shared" si="2"/>
        <v>-0.74477211859552561</v>
      </c>
    </row>
    <row r="20" spans="5:21" x14ac:dyDescent="0.2">
      <c r="E20" s="44" t="s">
        <v>79</v>
      </c>
      <c r="F20" s="16">
        <f>SUM(F12:F19)</f>
        <v>-4762.8739999999998</v>
      </c>
      <c r="G20" s="16">
        <f>SUM(G12:G19)</f>
        <v>-5904.4160000000002</v>
      </c>
      <c r="H20" s="16">
        <f t="shared" ref="H20:I20" si="3">SUM(H12:H19)</f>
        <v>-3270.0450000000001</v>
      </c>
      <c r="I20" s="16">
        <f t="shared" si="3"/>
        <v>-4256.8679999999995</v>
      </c>
      <c r="K20" s="16">
        <f t="shared" ref="K20" si="4">SUM(K12:K19)</f>
        <v>-896.404</v>
      </c>
      <c r="L20" s="16">
        <f t="shared" ref="L20:M20" si="5">SUM(L12:L19)</f>
        <v>-781.48599999999988</v>
      </c>
      <c r="M20" s="16">
        <f t="shared" si="5"/>
        <v>-753.97299999999984</v>
      </c>
      <c r="N20" s="16">
        <f t="shared" ref="N20" si="6">SUM(N12:N19)</f>
        <v>-838.18200000000002</v>
      </c>
      <c r="O20" s="16">
        <f t="shared" ref="O20:P20" si="7">SUM(O12:O19)</f>
        <v>-877.10899999999992</v>
      </c>
      <c r="P20" s="16">
        <f t="shared" si="7"/>
        <v>-1106.5110000000002</v>
      </c>
      <c r="Q20" s="16">
        <f t="shared" ref="Q20:S20" si="8">SUM(Q12:Q19)</f>
        <v>-1035.6799999999998</v>
      </c>
      <c r="R20" s="16">
        <f t="shared" si="8"/>
        <v>-1237.5680000000002</v>
      </c>
      <c r="S20" s="16">
        <f t="shared" si="8"/>
        <v>-1328.4890000000003</v>
      </c>
      <c r="U20" s="25">
        <f t="shared" si="2"/>
        <v>-3.6747014727023908E-2</v>
      </c>
    </row>
    <row r="21" spans="5:21" x14ac:dyDescent="0.2">
      <c r="E21" s="44" t="s">
        <v>84</v>
      </c>
      <c r="F21" s="18">
        <v>-20.463000000000001</v>
      </c>
      <c r="G21" s="18">
        <v>-265.47300000000001</v>
      </c>
      <c r="H21" s="18">
        <v>167.583</v>
      </c>
      <c r="I21" s="18">
        <v>29.074000000000002</v>
      </c>
      <c r="K21" s="18">
        <v>-20.265000000000001</v>
      </c>
      <c r="L21" s="18">
        <v>16.564</v>
      </c>
      <c r="M21" s="18">
        <v>135.30699999999999</v>
      </c>
      <c r="N21" s="18">
        <f t="shared" si="0"/>
        <v>35.977000000000004</v>
      </c>
      <c r="O21" s="18">
        <v>45.604999999999997</v>
      </c>
      <c r="P21" s="18">
        <v>-63.826999999999998</v>
      </c>
      <c r="Q21" s="18">
        <v>40.104999999999997</v>
      </c>
      <c r="R21" s="18">
        <f t="shared" si="1"/>
        <v>7.1910000000000061</v>
      </c>
      <c r="S21" s="18">
        <v>-6.1879999999999997</v>
      </c>
      <c r="U21" s="25">
        <f t="shared" si="2"/>
        <v>-2.1242040890623182</v>
      </c>
    </row>
    <row r="22" spans="5:21" x14ac:dyDescent="0.2">
      <c r="E22" s="5" t="s">
        <v>71</v>
      </c>
      <c r="F22" s="17">
        <f>SUM(F11,F20:F21)</f>
        <v>3056.1070000000004</v>
      </c>
      <c r="G22" s="17">
        <f t="shared" ref="G22:I22" si="9">SUM(G11,G20:G21)</f>
        <v>-2975.681</v>
      </c>
      <c r="H22" s="17">
        <f t="shared" si="9"/>
        <v>5.9209999999997365</v>
      </c>
      <c r="I22" s="17">
        <f t="shared" si="9"/>
        <v>2336.2340000000008</v>
      </c>
      <c r="K22" s="17">
        <f t="shared" ref="K22" si="10">SUM(K11,K20:K21)</f>
        <v>-144.13999999999999</v>
      </c>
      <c r="L22" s="17">
        <f t="shared" ref="L22:M22" si="11">SUM(L11,L20:L21)</f>
        <v>-57.010999999999932</v>
      </c>
      <c r="M22" s="17">
        <f t="shared" si="11"/>
        <v>55.48200000000017</v>
      </c>
      <c r="N22" s="17">
        <f t="shared" ref="N22" si="12">SUM(N11,N20:N21)</f>
        <v>151.58999999999961</v>
      </c>
      <c r="O22" s="17">
        <f t="shared" ref="O22:P22" si="13">SUM(O11,O20:O21)</f>
        <v>806.06600000000003</v>
      </c>
      <c r="P22" s="17">
        <f t="shared" si="13"/>
        <v>279.28999999999974</v>
      </c>
      <c r="Q22" s="17">
        <f t="shared" ref="Q22:S22" si="14">SUM(Q11,Q20:Q21)</f>
        <v>209.61800000000014</v>
      </c>
      <c r="R22" s="17">
        <f t="shared" si="14"/>
        <v>1041.2600000000004</v>
      </c>
      <c r="S22" s="17">
        <f t="shared" si="14"/>
        <v>699.61799999999982</v>
      </c>
      <c r="U22" s="35">
        <f t="shared" si="2"/>
        <v>-8.5642717665108004E-2</v>
      </c>
    </row>
    <row r="23" spans="5:21" x14ac:dyDescent="0.2">
      <c r="E23" s="13" t="s">
        <v>83</v>
      </c>
      <c r="F23" s="16">
        <v>-29.16</v>
      </c>
      <c r="G23" s="16">
        <v>-88.900999999999996</v>
      </c>
      <c r="H23" s="16">
        <v>-82.766000000000005</v>
      </c>
      <c r="I23" s="16">
        <v>-80.644999999999996</v>
      </c>
      <c r="K23" s="16">
        <v>-21.536000000000001</v>
      </c>
      <c r="L23" s="16">
        <v>-21.672000000000001</v>
      </c>
      <c r="M23" s="16">
        <v>-20.821000000000002</v>
      </c>
      <c r="N23" s="16">
        <f t="shared" si="0"/>
        <v>-18.737000000000009</v>
      </c>
      <c r="O23" s="16">
        <v>-19.071000000000002</v>
      </c>
      <c r="P23" s="16">
        <v>-20.507000000000001</v>
      </c>
      <c r="Q23" s="16">
        <v>-20.53</v>
      </c>
      <c r="R23" s="16">
        <f t="shared" si="1"/>
        <v>-20.536999999999992</v>
      </c>
      <c r="S23" s="16">
        <v>-20.510999999999999</v>
      </c>
      <c r="U23" s="25">
        <f t="shared" si="2"/>
        <v>0.40366447586925847</v>
      </c>
    </row>
    <row r="24" spans="5:21" x14ac:dyDescent="0.2">
      <c r="E24" s="13" t="s">
        <v>82</v>
      </c>
      <c r="F24" s="18">
        <v>0</v>
      </c>
      <c r="G24" s="18">
        <v>0</v>
      </c>
      <c r="H24" s="18">
        <v>0</v>
      </c>
      <c r="I24" s="18">
        <v>687.05499999999995</v>
      </c>
      <c r="K24" s="18">
        <v>0</v>
      </c>
      <c r="L24" s="18">
        <v>0</v>
      </c>
      <c r="M24" s="18">
        <v>0</v>
      </c>
      <c r="N24" s="18">
        <f t="shared" si="0"/>
        <v>0</v>
      </c>
      <c r="O24" s="18">
        <v>650.42899999999997</v>
      </c>
      <c r="P24" s="18">
        <v>-319.02</v>
      </c>
      <c r="Q24" s="18">
        <v>-120.50700000000001</v>
      </c>
      <c r="R24" s="18">
        <f t="shared" si="1"/>
        <v>476.15299999999996</v>
      </c>
      <c r="S24" s="18">
        <v>-596.65099999999995</v>
      </c>
      <c r="U24" s="25" t="str">
        <f t="shared" si="2"/>
        <v>n/a</v>
      </c>
    </row>
    <row r="25" spans="5:21" x14ac:dyDescent="0.2">
      <c r="E25" s="14" t="s">
        <v>23</v>
      </c>
      <c r="F25" s="17">
        <f>SUM(F22:F24)</f>
        <v>3026.9470000000006</v>
      </c>
      <c r="G25" s="17">
        <f>SUM(G22:G24)</f>
        <v>-3064.5819999999999</v>
      </c>
      <c r="H25" s="17">
        <f t="shared" ref="H25:I25" si="15">SUM(H22:H24)</f>
        <v>-76.845000000000269</v>
      </c>
      <c r="I25" s="17">
        <f t="shared" si="15"/>
        <v>2942.6440000000007</v>
      </c>
      <c r="K25" s="17">
        <f t="shared" ref="K25" si="16">SUM(K22:K24)</f>
        <v>-165.67599999999999</v>
      </c>
      <c r="L25" s="17">
        <f t="shared" ref="L25:M25" si="17">SUM(L22:L24)</f>
        <v>-78.682999999999936</v>
      </c>
      <c r="M25" s="17">
        <f t="shared" si="17"/>
        <v>34.661000000000172</v>
      </c>
      <c r="N25" s="17">
        <f t="shared" ref="N25" si="18">SUM(N22:N24)</f>
        <v>132.85299999999961</v>
      </c>
      <c r="O25" s="17">
        <f t="shared" ref="O25:P25" si="19">SUM(O22:O24)</f>
        <v>1437.424</v>
      </c>
      <c r="P25" s="17">
        <f t="shared" si="19"/>
        <v>-60.237000000000251</v>
      </c>
      <c r="Q25" s="17">
        <f t="shared" ref="Q25:S25" si="20">SUM(Q22:Q24)</f>
        <v>68.581000000000131</v>
      </c>
      <c r="R25" s="17">
        <f t="shared" si="20"/>
        <v>1496.8760000000004</v>
      </c>
      <c r="S25" s="17">
        <f t="shared" si="20"/>
        <v>82.455999999999904</v>
      </c>
      <c r="U25" s="35">
        <f t="shared" si="2"/>
        <v>-9.3711557464645212E-3</v>
      </c>
    </row>
    <row r="26" spans="5:21" x14ac:dyDescent="0.2">
      <c r="E26" t="s">
        <v>24</v>
      </c>
      <c r="F26" s="16">
        <v>597.173</v>
      </c>
      <c r="G26" s="16">
        <v>439.63299999999998</v>
      </c>
      <c r="H26" s="16">
        <v>171.71600000000001</v>
      </c>
      <c r="I26" s="16">
        <v>-363.57799999999997</v>
      </c>
      <c r="K26" s="16">
        <v>86.78</v>
      </c>
      <c r="L26" s="16">
        <v>-18.722000000000001</v>
      </c>
      <c r="M26" s="16">
        <v>-36.926000000000002</v>
      </c>
      <c r="N26" s="16">
        <f t="shared" si="0"/>
        <v>140.584</v>
      </c>
      <c r="O26" s="16">
        <v>-261.17899999999997</v>
      </c>
      <c r="P26" s="16">
        <v>96.387</v>
      </c>
      <c r="Q26" s="16">
        <v>6.9139999999999997</v>
      </c>
      <c r="R26" s="16">
        <f t="shared" si="1"/>
        <v>-205.7</v>
      </c>
      <c r="S26" s="16">
        <v>-16.847999999999999</v>
      </c>
      <c r="U26" s="25">
        <f t="shared" si="2"/>
        <v>-1.847550941915804</v>
      </c>
    </row>
    <row r="27" spans="5:21" ht="13.5" thickBot="1" x14ac:dyDescent="0.25">
      <c r="E27" s="5" t="s">
        <v>25</v>
      </c>
      <c r="F27" s="20">
        <f>SUM(F25:F26)</f>
        <v>3624.1200000000008</v>
      </c>
      <c r="G27" s="20">
        <f>SUM(G25:G26)</f>
        <v>-2624.9490000000001</v>
      </c>
      <c r="H27" s="20">
        <f>SUM(H25:H26)</f>
        <v>94.870999999999739</v>
      </c>
      <c r="I27" s="20">
        <f>SUM(I25:I26)</f>
        <v>2579.0660000000007</v>
      </c>
      <c r="K27" s="20">
        <f t="shared" ref="K27:N27" si="21">SUM(K25:K26)</f>
        <v>-78.895999999999987</v>
      </c>
      <c r="L27" s="20">
        <f t="shared" si="21"/>
        <v>-97.404999999999944</v>
      </c>
      <c r="M27" s="20">
        <f t="shared" si="21"/>
        <v>-2.26499999999983</v>
      </c>
      <c r="N27" s="20">
        <f t="shared" si="21"/>
        <v>273.43699999999961</v>
      </c>
      <c r="O27" s="20">
        <f>SUM(O25:O26)</f>
        <v>1176.2449999999999</v>
      </c>
      <c r="P27" s="20">
        <f>SUM(P25:P26)</f>
        <v>36.14999999999975</v>
      </c>
      <c r="Q27" s="20">
        <f t="shared" ref="Q27:S27" si="22">SUM(Q25:Q26)</f>
        <v>75.495000000000132</v>
      </c>
      <c r="R27" s="20">
        <f t="shared" si="22"/>
        <v>1291.1760000000004</v>
      </c>
      <c r="S27" s="20">
        <f t="shared" si="22"/>
        <v>65.607999999999905</v>
      </c>
      <c r="U27" s="35">
        <f t="shared" si="2"/>
        <v>-0.10720182138865331</v>
      </c>
    </row>
    <row r="28" spans="5:21" ht="3" customHeight="1" x14ac:dyDescent="0.2"/>
    <row r="29" spans="5:21" x14ac:dyDescent="0.2">
      <c r="E29" s="36" t="s">
        <v>38</v>
      </c>
      <c r="F29" s="23" t="str">
        <f>IFERROR(+F11/#REF!-1,"n/a")</f>
        <v>n/a</v>
      </c>
      <c r="G29" s="23">
        <f>IFERROR(+G11/F11-1,"n/a")</f>
        <v>-0.59254661427519606</v>
      </c>
      <c r="H29" s="23">
        <v>0.01</v>
      </c>
      <c r="I29" s="24">
        <f>IFERROR(+I11/H11-1,"n/a")</f>
        <v>1.1117178931939855</v>
      </c>
      <c r="K29" s="23" t="str">
        <f t="shared" ref="K29:R29" si="23">IFERROR(+K11/J11-1,"n/a")</f>
        <v>n/a</v>
      </c>
      <c r="L29" s="23">
        <f t="shared" si="23"/>
        <v>-8.3644756378077778E-2</v>
      </c>
      <c r="M29" s="23">
        <f t="shared" si="23"/>
        <v>-4.7693848520505955E-2</v>
      </c>
      <c r="N29" s="23">
        <f t="shared" si="23"/>
        <v>0.41481544111975355</v>
      </c>
      <c r="O29" s="23">
        <f t="shared" si="23"/>
        <v>0.71689933371426839</v>
      </c>
      <c r="P29" s="23">
        <f t="shared" si="23"/>
        <v>-0.11476883430937301</v>
      </c>
      <c r="Q29" s="23">
        <f t="shared" si="23"/>
        <v>-0.16861912159533343</v>
      </c>
      <c r="R29" s="23">
        <f t="shared" si="23"/>
        <v>0.88487404092124722</v>
      </c>
      <c r="S29" s="23">
        <f>IFERROR(+S11/R11-1,"n/a")</f>
        <v>-0.10448060143412019</v>
      </c>
    </row>
    <row r="30" spans="5:21" x14ac:dyDescent="0.2">
      <c r="E30" s="37" t="s">
        <v>113</v>
      </c>
      <c r="F30" s="25">
        <f>+F13/-F11</f>
        <v>0.16475160738440123</v>
      </c>
      <c r="G30" s="25">
        <f t="shared" ref="G30:S30" si="24">+G13/-G11</f>
        <v>0.72830385497750927</v>
      </c>
      <c r="H30" s="25">
        <f t="shared" si="24"/>
        <v>0.42611898212028571</v>
      </c>
      <c r="I30" s="25">
        <f t="shared" si="24"/>
        <v>0.22368155650768093</v>
      </c>
      <c r="K30" s="25">
        <f t="shared" si="24"/>
        <v>0.46345315192051045</v>
      </c>
      <c r="L30" s="25">
        <f t="shared" si="24"/>
        <v>0.4529764334782197</v>
      </c>
      <c r="M30" s="25">
        <f t="shared" si="24"/>
        <v>0.47876134023982858</v>
      </c>
      <c r="N30" s="25">
        <f t="shared" si="24"/>
        <v>0.33873840814850165</v>
      </c>
      <c r="O30" s="25">
        <f t="shared" si="24"/>
        <v>0.21853294820984753</v>
      </c>
      <c r="P30" s="25">
        <f t="shared" si="24"/>
        <v>0.25127687930972636</v>
      </c>
      <c r="Q30" s="25">
        <f t="shared" si="24"/>
        <v>0.31317805529902681</v>
      </c>
      <c r="R30" s="25">
        <f t="shared" si="24"/>
        <v>0.16230189946721238</v>
      </c>
      <c r="S30" s="25">
        <f t="shared" si="24"/>
        <v>0.17468852845826194</v>
      </c>
    </row>
    <row r="31" spans="5:21" x14ac:dyDescent="0.2">
      <c r="E31" s="37" t="s">
        <v>39</v>
      </c>
      <c r="F31" s="25">
        <f>IFERROR(+F22/F11,"n/a")</f>
        <v>0.38983721294520379</v>
      </c>
      <c r="G31" s="25">
        <f>IFERROR(+G22/G11,"n/a")</f>
        <v>-0.93158648403610533</v>
      </c>
      <c r="H31" s="25">
        <f>IFERROR(+H22/H11,"n/a")</f>
        <v>1.9048489198402311E-3</v>
      </c>
      <c r="I31" s="26">
        <f>IFERROR(+I22/I11,"n/a")</f>
        <v>0.35591469140594778</v>
      </c>
      <c r="K31" s="25">
        <f t="shared" ref="K31:R31" si="25">IFERROR(+K22/K11,"n/a")</f>
        <v>-0.18658199239122414</v>
      </c>
      <c r="L31" s="25">
        <f t="shared" si="25"/>
        <v>-8.0534134940691601E-2</v>
      </c>
      <c r="M31" s="25">
        <f t="shared" si="25"/>
        <v>8.229943573221335E-2</v>
      </c>
      <c r="N31" s="25">
        <f t="shared" si="25"/>
        <v>0.15893352345105569</v>
      </c>
      <c r="O31" s="25">
        <f t="shared" si="25"/>
        <v>0.49223300377999113</v>
      </c>
      <c r="P31" s="25">
        <f t="shared" si="25"/>
        <v>0.19266322118502108</v>
      </c>
      <c r="Q31" s="25">
        <f t="shared" si="25"/>
        <v>0.17392898896691247</v>
      </c>
      <c r="R31" s="25">
        <f t="shared" si="25"/>
        <v>0.45837429131502971</v>
      </c>
      <c r="S31" s="25">
        <f>IFERROR(+S22/S11,"n/a")</f>
        <v>0.34391177287463215</v>
      </c>
    </row>
    <row r="32" spans="5:21" x14ac:dyDescent="0.2">
      <c r="E32" s="37" t="s">
        <v>52</v>
      </c>
      <c r="F32" s="25">
        <f>-F26/F25</f>
        <v>-0.19728558180899761</v>
      </c>
      <c r="G32" s="25">
        <f>-G26/G25</f>
        <v>0.14345610592243901</v>
      </c>
      <c r="H32" s="25">
        <f>-H26/H25</f>
        <v>2.2345760947361497</v>
      </c>
      <c r="I32" s="26">
        <f>-I26/I25</f>
        <v>0.12355487106153509</v>
      </c>
      <c r="K32" s="25">
        <f t="shared" ref="K32:R32" si="26">-K26/K25</f>
        <v>0.52379342813684548</v>
      </c>
      <c r="L32" s="25">
        <f t="shared" si="26"/>
        <v>-0.23794212218649538</v>
      </c>
      <c r="M32" s="25">
        <f t="shared" si="26"/>
        <v>1.0653472202186844</v>
      </c>
      <c r="N32" s="25">
        <f t="shared" si="26"/>
        <v>-1.0581921371741732</v>
      </c>
      <c r="O32" s="25">
        <f t="shared" si="26"/>
        <v>0.18169934549583142</v>
      </c>
      <c r="P32" s="25">
        <f t="shared" si="26"/>
        <v>1.6001294885203381</v>
      </c>
      <c r="Q32" s="25">
        <f t="shared" si="26"/>
        <v>-0.1008150945597175</v>
      </c>
      <c r="R32" s="25">
        <f t="shared" si="26"/>
        <v>0.13741953241283841</v>
      </c>
      <c r="S32" s="25">
        <f>-S26/S25</f>
        <v>0.20432715630154286</v>
      </c>
    </row>
    <row r="33" spans="3:21" x14ac:dyDescent="0.2">
      <c r="E33" s="38" t="s">
        <v>40</v>
      </c>
      <c r="F33" s="27" t="str">
        <f>IFERROR(+F27/#REF!-1,"n/a")</f>
        <v>n/a</v>
      </c>
      <c r="G33" s="27">
        <f t="shared" ref="G33:I33" si="27">IFERROR(+G27/F27-1,"n/a")</f>
        <v>-1.7242996920631766</v>
      </c>
      <c r="H33" s="27">
        <f t="shared" si="27"/>
        <v>-1.0361420355214519</v>
      </c>
      <c r="I33" s="28">
        <f t="shared" si="27"/>
        <v>26.184977495757479</v>
      </c>
      <c r="K33" s="27" t="str">
        <f t="shared" ref="K33" si="28">IFERROR(+K27/J27-1,"n/a")</f>
        <v>n/a</v>
      </c>
      <c r="L33" s="27">
        <f t="shared" ref="L33" si="29">IFERROR(+L27/K27-1,"n/a")</f>
        <v>0.23459997972013746</v>
      </c>
      <c r="M33" s="27">
        <f t="shared" ref="M33" si="30">IFERROR(+M27/L27-1,"n/a")</f>
        <v>-0.97674657358451999</v>
      </c>
      <c r="N33" s="27">
        <f t="shared" ref="N33" si="31">IFERROR(+N27/M27-1,"n/a")</f>
        <v>-121.72273730685215</v>
      </c>
      <c r="O33" s="27">
        <f t="shared" ref="O33" si="32">IFERROR(+O27/N27-1,"n/a")</f>
        <v>3.3017038659727893</v>
      </c>
      <c r="P33" s="27">
        <f t="shared" ref="P33" si="33">IFERROR(+P27/O27-1,"n/a")</f>
        <v>-0.96926660687186794</v>
      </c>
      <c r="Q33" s="27">
        <f>IFERROR(+Q27/P27-1,"n/a")</f>
        <v>1.0883817427386071</v>
      </c>
      <c r="R33" s="27">
        <f t="shared" ref="R33" si="34">IFERROR(+R27/Q27-1,"n/a")</f>
        <v>16.102801510033753</v>
      </c>
      <c r="S33" s="27">
        <f t="shared" ref="S33" si="35">IFERROR(+S27/R27-1,"n/a")</f>
        <v>-0.94918740744871355</v>
      </c>
    </row>
    <row r="34" spans="3:21" ht="3" customHeight="1" x14ac:dyDescent="0.2"/>
    <row r="35" spans="3:21" ht="10.5" customHeight="1" x14ac:dyDescent="0.2">
      <c r="E35" s="29" t="s">
        <v>63</v>
      </c>
      <c r="F35" s="16"/>
      <c r="G35" s="16"/>
      <c r="H35" s="16"/>
      <c r="I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3:21" x14ac:dyDescent="0.2">
      <c r="F36" s="16"/>
      <c r="G36" s="16"/>
      <c r="H36" s="16"/>
      <c r="I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3:21" x14ac:dyDescent="0.2">
      <c r="E37" s="8" t="s">
        <v>27</v>
      </c>
      <c r="F37" s="19">
        <v>3624.12</v>
      </c>
      <c r="G37" s="19">
        <v>-2624.9490000000001</v>
      </c>
      <c r="H37" s="19">
        <v>94.870999999999995</v>
      </c>
      <c r="I37" s="19">
        <v>2579.0659999999998</v>
      </c>
      <c r="K37" s="19">
        <v>-78.896000000000001</v>
      </c>
      <c r="L37" s="19">
        <v>-97.405000000000001</v>
      </c>
      <c r="M37" s="19">
        <v>-2.2650000000000001</v>
      </c>
      <c r="N37" s="19">
        <f>H37-SUM(K37:M37)</f>
        <v>273.43699999999995</v>
      </c>
      <c r="O37" s="19">
        <v>1176.2449999999999</v>
      </c>
      <c r="P37" s="19">
        <v>36.15</v>
      </c>
      <c r="Q37" s="19">
        <v>75.495000000000005</v>
      </c>
      <c r="R37" s="19">
        <f>I37-SUM(O37:Q37)</f>
        <v>1291.1759999999999</v>
      </c>
      <c r="S37" s="19">
        <v>65.608000000000004</v>
      </c>
    </row>
    <row r="38" spans="3:21" x14ac:dyDescent="0.2">
      <c r="C38" s="15" t="b" cm="1">
        <f t="array" ref="C38">AND(F38:I38&lt;$B$1,F38:I38&gt;-$B$1)</f>
        <v>1</v>
      </c>
      <c r="E38" s="8" t="s">
        <v>26</v>
      </c>
      <c r="F38" s="19">
        <f t="shared" ref="F38:I38" si="36">+F37-F27</f>
        <v>0</v>
      </c>
      <c r="G38" s="19">
        <f t="shared" si="36"/>
        <v>0</v>
      </c>
      <c r="H38" s="19">
        <f t="shared" si="36"/>
        <v>2.5579538487363607E-13</v>
      </c>
      <c r="I38" s="19">
        <f t="shared" si="36"/>
        <v>0</v>
      </c>
      <c r="J38" s="46"/>
      <c r="K38" s="19">
        <f t="shared" ref="K38" si="37">+K37-K27</f>
        <v>0</v>
      </c>
      <c r="L38" s="19">
        <f t="shared" ref="L38:M38" si="38">+L37-L27</f>
        <v>0</v>
      </c>
      <c r="M38" s="19">
        <f t="shared" si="38"/>
        <v>-1.7008616737257398E-13</v>
      </c>
      <c r="N38" s="19">
        <f t="shared" ref="N38" si="39">+N37-N27</f>
        <v>0</v>
      </c>
      <c r="O38" s="19">
        <f t="shared" ref="O38:P38" si="40">+O37-O27</f>
        <v>0</v>
      </c>
      <c r="P38" s="19">
        <f t="shared" si="40"/>
        <v>2.4868995751603507E-13</v>
      </c>
      <c r="Q38" s="19">
        <f t="shared" ref="Q38:S38" si="41">+Q37-Q27</f>
        <v>-1.2789769243681803E-13</v>
      </c>
      <c r="R38" s="19">
        <f t="shared" si="41"/>
        <v>0</v>
      </c>
      <c r="S38" s="19">
        <f t="shared" si="41"/>
        <v>0</v>
      </c>
    </row>
    <row r="39" spans="3:21" x14ac:dyDescent="0.2">
      <c r="F39" s="16"/>
      <c r="G39" s="16"/>
      <c r="H39" s="16"/>
      <c r="I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3:21" x14ac:dyDescent="0.2">
      <c r="E40" s="5" t="str">
        <f>Input!$E$8&amp;" - BS"</f>
        <v>COIN - BS</v>
      </c>
      <c r="I40" s="9"/>
      <c r="K40" s="9"/>
      <c r="L40" s="9"/>
      <c r="M40" s="9"/>
      <c r="N40" s="9"/>
      <c r="O40" s="9"/>
      <c r="P40" s="9"/>
      <c r="Q40" s="9"/>
      <c r="R40" s="9"/>
      <c r="S40" s="9"/>
      <c r="U40" s="34" t="s">
        <v>47</v>
      </c>
    </row>
    <row r="41" spans="3:21" x14ac:dyDescent="0.2">
      <c r="E41" s="10" t="str">
        <f>+Input!$E$14</f>
        <v>$m</v>
      </c>
      <c r="F41" s="21" t="s">
        <v>59</v>
      </c>
      <c r="G41" s="21" t="s">
        <v>60</v>
      </c>
      <c r="H41" s="21" t="s">
        <v>61</v>
      </c>
      <c r="I41" s="21" t="s">
        <v>62</v>
      </c>
      <c r="K41" s="47" t="s">
        <v>109</v>
      </c>
      <c r="L41" s="47" t="s">
        <v>28</v>
      </c>
      <c r="M41" s="47" t="s">
        <v>106</v>
      </c>
      <c r="N41" s="47" t="s">
        <v>61</v>
      </c>
      <c r="O41" s="48" t="s">
        <v>99</v>
      </c>
      <c r="P41" s="48" t="s">
        <v>29</v>
      </c>
      <c r="Q41" s="48" t="s">
        <v>100</v>
      </c>
      <c r="R41" s="48" t="s">
        <v>62</v>
      </c>
      <c r="S41" s="21" t="s">
        <v>98</v>
      </c>
      <c r="U41" s="33" t="s">
        <v>80</v>
      </c>
    </row>
    <row r="42" spans="3:21" ht="3" customHeight="1" x14ac:dyDescent="0.2"/>
    <row r="43" spans="3:21" x14ac:dyDescent="0.2">
      <c r="E43" s="13" t="s">
        <v>85</v>
      </c>
      <c r="F43" s="16">
        <v>988.19299999999998</v>
      </c>
      <c r="G43" s="16">
        <v>424.39299999999997</v>
      </c>
      <c r="H43" s="16">
        <v>330.61</v>
      </c>
      <c r="I43" s="16">
        <v>1552.9949999999999</v>
      </c>
      <c r="K43" s="16"/>
      <c r="L43" s="16"/>
      <c r="M43" s="16"/>
      <c r="N43" s="16">
        <f>H43</f>
        <v>330.61</v>
      </c>
      <c r="O43" s="16"/>
      <c r="P43" s="16"/>
      <c r="Q43" s="16"/>
      <c r="R43" s="16">
        <f>I43</f>
        <v>1552.9949999999999</v>
      </c>
      <c r="S43" s="16">
        <v>1268.001</v>
      </c>
      <c r="U43" s="25">
        <f t="shared" ref="U43:U55" si="42">IFERROR((I43/F43)^(1/3)-1,"n/a")</f>
        <v>0.16263330970848489</v>
      </c>
    </row>
    <row r="44" spans="3:21" x14ac:dyDescent="0.2">
      <c r="E44" s="13" t="s">
        <v>107</v>
      </c>
      <c r="F44" s="16">
        <f>625.758</f>
        <v>625.75800000000004</v>
      </c>
      <c r="G44" s="16">
        <f>1073.906</f>
        <v>1073.9059999999999</v>
      </c>
      <c r="H44" s="16">
        <f>1139.67</f>
        <v>1139.67</v>
      </c>
      <c r="I44" s="16">
        <f>1139.67</f>
        <v>1139.67</v>
      </c>
      <c r="K44" s="16"/>
      <c r="L44" s="16"/>
      <c r="M44" s="16"/>
      <c r="N44" s="16">
        <f>H44</f>
        <v>1139.67</v>
      </c>
      <c r="O44" s="16"/>
      <c r="P44" s="16"/>
      <c r="Q44" s="16"/>
      <c r="R44" s="16">
        <f t="shared" ref="R44:R45" si="43">I44</f>
        <v>1139.67</v>
      </c>
      <c r="S44" s="16">
        <v>1153.6210000000001</v>
      </c>
      <c r="U44" s="25">
        <f t="shared" si="42"/>
        <v>0.2212115466122897</v>
      </c>
    </row>
    <row r="45" spans="3:21" x14ac:dyDescent="0.2">
      <c r="E45" s="13" t="s">
        <v>86</v>
      </c>
      <c r="F45" s="18">
        <f>98.385+59.23+952.307+176.689</f>
        <v>1286.6110000000001</v>
      </c>
      <c r="G45" s="18">
        <f>69.357+171.853+1401.72+135.429</f>
        <v>1778.3590000000002</v>
      </c>
      <c r="H45" s="18">
        <f>1272.233+192.55+375.622+86.422</f>
        <v>1926.827</v>
      </c>
      <c r="I45" s="18">
        <f>941.298+200.08+548.451+46.804</f>
        <v>1736.633</v>
      </c>
      <c r="K45" s="18"/>
      <c r="L45" s="18"/>
      <c r="M45" s="18"/>
      <c r="N45" s="18">
        <f>H45</f>
        <v>1926.827</v>
      </c>
      <c r="O45" s="18"/>
      <c r="P45" s="18"/>
      <c r="Q45" s="18"/>
      <c r="R45" s="18">
        <f t="shared" si="43"/>
        <v>1736.633</v>
      </c>
      <c r="S45" s="18">
        <f>995.529+860.067</f>
        <v>1855.596</v>
      </c>
      <c r="U45" s="25">
        <f t="shared" si="42"/>
        <v>0.10514754450632835</v>
      </c>
    </row>
    <row r="46" spans="3:21" x14ac:dyDescent="0.2">
      <c r="E46" s="5" t="s">
        <v>87</v>
      </c>
      <c r="F46" s="17">
        <f>SUM(F43:F45)</f>
        <v>2900.5619999999999</v>
      </c>
      <c r="G46" s="17">
        <f>SUM(G43:G45)</f>
        <v>3276.6580000000004</v>
      </c>
      <c r="H46" s="17">
        <f>SUM(H43:H45)</f>
        <v>3397.107</v>
      </c>
      <c r="I46" s="17">
        <f>SUM(I43:I45)</f>
        <v>4429.2979999999998</v>
      </c>
      <c r="K46" s="17">
        <f t="shared" ref="K46:N46" si="44">SUM(K43:K45)</f>
        <v>0</v>
      </c>
      <c r="L46" s="17">
        <f t="shared" si="44"/>
        <v>0</v>
      </c>
      <c r="M46" s="17">
        <f t="shared" si="44"/>
        <v>0</v>
      </c>
      <c r="N46" s="17">
        <f t="shared" si="44"/>
        <v>3397.107</v>
      </c>
      <c r="O46" s="17">
        <f>SUM(O43:O45)</f>
        <v>0</v>
      </c>
      <c r="P46" s="17">
        <f>SUM(P43:P45)</f>
        <v>0</v>
      </c>
      <c r="Q46" s="17">
        <f t="shared" ref="Q46:S46" si="45">SUM(Q43:Q45)</f>
        <v>0</v>
      </c>
      <c r="R46" s="17">
        <f t="shared" si="45"/>
        <v>4429.2979999999998</v>
      </c>
      <c r="S46" s="17">
        <f t="shared" si="45"/>
        <v>4277.2180000000008</v>
      </c>
      <c r="U46" s="35">
        <f t="shared" si="42"/>
        <v>0.15155384322346599</v>
      </c>
    </row>
    <row r="47" spans="3:21" x14ac:dyDescent="0.2">
      <c r="E47" s="13" t="s">
        <v>30</v>
      </c>
      <c r="F47" s="16">
        <v>7123.4780000000001</v>
      </c>
      <c r="G47" s="16">
        <v>4425.0209999999997</v>
      </c>
      <c r="H47" s="16">
        <v>5139.3509999999997</v>
      </c>
      <c r="I47" s="16">
        <v>8543.9030000000002</v>
      </c>
      <c r="K47" s="16"/>
      <c r="L47" s="16"/>
      <c r="M47" s="16"/>
      <c r="N47" s="16">
        <f t="shared" ref="N47:N51" si="46">H47</f>
        <v>5139.3509999999997</v>
      </c>
      <c r="O47" s="16"/>
      <c r="P47" s="16"/>
      <c r="Q47" s="16"/>
      <c r="R47" s="16">
        <f t="shared" ref="R47:R51" si="47">I47</f>
        <v>8543.9030000000002</v>
      </c>
      <c r="S47" s="16">
        <v>8051.1689999999999</v>
      </c>
      <c r="U47" s="25">
        <f t="shared" si="42"/>
        <v>6.2481574428890241E-2</v>
      </c>
    </row>
    <row r="48" spans="3:21" x14ac:dyDescent="0.2">
      <c r="E48" s="13" t="s">
        <v>89</v>
      </c>
      <c r="F48" s="16">
        <v>100.096</v>
      </c>
      <c r="G48" s="16">
        <v>861.149</v>
      </c>
      <c r="H48" s="16">
        <v>576.02800000000002</v>
      </c>
      <c r="I48" s="16">
        <v>1241.808</v>
      </c>
      <c r="K48" s="16"/>
      <c r="L48" s="16"/>
      <c r="M48" s="16"/>
      <c r="N48" s="16">
        <f t="shared" si="46"/>
        <v>576.02800000000002</v>
      </c>
      <c r="O48" s="16"/>
      <c r="P48" s="16"/>
      <c r="Q48" s="16"/>
      <c r="R48" s="16">
        <f t="shared" si="47"/>
        <v>1241.808</v>
      </c>
      <c r="S48" s="16">
        <v>2225.0540000000001</v>
      </c>
      <c r="U48" s="25">
        <f t="shared" si="42"/>
        <v>1.3149728938807121</v>
      </c>
    </row>
    <row r="49" spans="3:21" x14ac:dyDescent="0.2">
      <c r="E49" s="13" t="s">
        <v>88</v>
      </c>
      <c r="F49" s="45" t="s">
        <v>93</v>
      </c>
      <c r="G49" s="45" t="s">
        <v>93</v>
      </c>
      <c r="H49" s="16">
        <v>74.102999999999994</v>
      </c>
      <c r="I49" s="16">
        <v>82.781000000000006</v>
      </c>
      <c r="K49" s="16"/>
      <c r="L49" s="16"/>
      <c r="M49" s="16"/>
      <c r="N49" s="16">
        <f t="shared" si="46"/>
        <v>74.102999999999994</v>
      </c>
      <c r="O49" s="16"/>
      <c r="P49" s="16"/>
      <c r="Q49" s="16"/>
      <c r="R49" s="16">
        <f t="shared" si="47"/>
        <v>82.781000000000006</v>
      </c>
      <c r="S49" s="16">
        <v>67.484999999999999</v>
      </c>
      <c r="U49" s="25" t="str">
        <f t="shared" si="42"/>
        <v>n/a</v>
      </c>
    </row>
    <row r="50" spans="3:21" x14ac:dyDescent="0.2">
      <c r="E50" s="13" t="s">
        <v>31</v>
      </c>
      <c r="F50" s="16">
        <v>304.70600000000002</v>
      </c>
      <c r="G50" s="16">
        <v>404.37599999999998</v>
      </c>
      <c r="H50" s="16">
        <f>193.425+168.29</f>
        <v>361.71500000000003</v>
      </c>
      <c r="I50" s="16">
        <f>475.37+265.251</f>
        <v>740.62099999999998</v>
      </c>
      <c r="K50" s="16"/>
      <c r="L50" s="16"/>
      <c r="M50" s="16"/>
      <c r="N50" s="16">
        <f t="shared" si="46"/>
        <v>361.71500000000003</v>
      </c>
      <c r="O50" s="16"/>
      <c r="P50" s="16"/>
      <c r="Q50" s="16"/>
      <c r="R50" s="16">
        <f t="shared" si="47"/>
        <v>740.62099999999998</v>
      </c>
      <c r="S50" s="16">
        <f>245.112+454.473</f>
        <v>699.58500000000004</v>
      </c>
      <c r="U50" s="25">
        <f t="shared" si="42"/>
        <v>0.34453363801232051</v>
      </c>
    </row>
    <row r="51" spans="3:21" x14ac:dyDescent="0.2">
      <c r="E51" s="13" t="s">
        <v>90</v>
      </c>
      <c r="F51" s="18">
        <f>18373.863-SUM(F47:F50)</f>
        <v>10845.583000000001</v>
      </c>
      <c r="G51" s="18">
        <f>86448.215-SUM(G47:G50)</f>
        <v>80757.668999999994</v>
      </c>
      <c r="H51" s="18">
        <f>11356.794-SUM(H47:H50)</f>
        <v>5205.5969999999998</v>
      </c>
      <c r="I51" s="18">
        <f>18112.653-SUM(I47:I50)</f>
        <v>7503.5399999999991</v>
      </c>
      <c r="K51" s="18"/>
      <c r="L51" s="18"/>
      <c r="M51" s="18"/>
      <c r="N51" s="18">
        <f t="shared" si="46"/>
        <v>5205.5969999999998</v>
      </c>
      <c r="O51" s="18"/>
      <c r="P51" s="18"/>
      <c r="Q51" s="18"/>
      <c r="R51" s="18">
        <f t="shared" si="47"/>
        <v>7503.5399999999991</v>
      </c>
      <c r="S51" s="18">
        <f>17453.788-SUM(S47:S50)</f>
        <v>6410.494999999999</v>
      </c>
      <c r="U51" s="25">
        <f t="shared" si="42"/>
        <v>-0.11555445256443708</v>
      </c>
    </row>
    <row r="52" spans="3:21" x14ac:dyDescent="0.2">
      <c r="E52" s="5" t="s">
        <v>32</v>
      </c>
      <c r="F52" s="17">
        <f>SUM(F47:F51)</f>
        <v>18373.863000000001</v>
      </c>
      <c r="G52" s="17">
        <f>SUM(G47:G51)</f>
        <v>86448.214999999997</v>
      </c>
      <c r="H52" s="17">
        <f>SUM(H47:H51)</f>
        <v>11356.794</v>
      </c>
      <c r="I52" s="17">
        <f>SUM(I47:I51)</f>
        <v>18112.652999999998</v>
      </c>
      <c r="K52" s="17">
        <f t="shared" ref="K52:N52" si="48">SUM(K47:K51)</f>
        <v>0</v>
      </c>
      <c r="L52" s="17">
        <f t="shared" si="48"/>
        <v>0</v>
      </c>
      <c r="M52" s="17">
        <f t="shared" si="48"/>
        <v>0</v>
      </c>
      <c r="N52" s="17">
        <f t="shared" si="48"/>
        <v>11356.794</v>
      </c>
      <c r="O52" s="17">
        <f>SUM(O47:O51)</f>
        <v>0</v>
      </c>
      <c r="P52" s="17">
        <f>SUM(P47:P51)</f>
        <v>0</v>
      </c>
      <c r="Q52" s="17">
        <f t="shared" ref="Q52:S52" si="49">SUM(Q47:Q51)</f>
        <v>0</v>
      </c>
      <c r="R52" s="17">
        <f t="shared" si="49"/>
        <v>18112.652999999998</v>
      </c>
      <c r="S52" s="17">
        <f t="shared" si="49"/>
        <v>17453.788</v>
      </c>
      <c r="U52" s="35">
        <f t="shared" si="42"/>
        <v>-4.7614318775033304E-3</v>
      </c>
    </row>
    <row r="53" spans="3:21" ht="13.5" thickBot="1" x14ac:dyDescent="0.25">
      <c r="E53" s="5" t="s">
        <v>33</v>
      </c>
      <c r="F53" s="20">
        <f>+F52+F46</f>
        <v>21274.425000000003</v>
      </c>
      <c r="G53" s="20">
        <f>+G52+G46</f>
        <v>89724.872999999992</v>
      </c>
      <c r="H53" s="20">
        <f>+H52+H46</f>
        <v>14753.901</v>
      </c>
      <c r="I53" s="20">
        <f>+I52+I46</f>
        <v>22541.950999999997</v>
      </c>
      <c r="K53" s="20">
        <f t="shared" ref="K53:N53" si="50">+K52+K46</f>
        <v>0</v>
      </c>
      <c r="L53" s="20">
        <f t="shared" si="50"/>
        <v>0</v>
      </c>
      <c r="M53" s="20">
        <f t="shared" si="50"/>
        <v>0</v>
      </c>
      <c r="N53" s="20">
        <f t="shared" si="50"/>
        <v>14753.901</v>
      </c>
      <c r="O53" s="20">
        <f>+O52+O46</f>
        <v>0</v>
      </c>
      <c r="P53" s="20">
        <f>+P52+P46</f>
        <v>0</v>
      </c>
      <c r="Q53" s="20">
        <f t="shared" ref="Q53:S53" si="51">+Q52+Q46</f>
        <v>0</v>
      </c>
      <c r="R53" s="20">
        <f t="shared" si="51"/>
        <v>22541.950999999997</v>
      </c>
      <c r="S53" s="20">
        <f t="shared" si="51"/>
        <v>21731.006000000001</v>
      </c>
      <c r="U53" s="35">
        <f t="shared" si="42"/>
        <v>1.9478074846015492E-2</v>
      </c>
    </row>
    <row r="54" spans="3:21" ht="3" customHeight="1" x14ac:dyDescent="0.2">
      <c r="F54" s="16"/>
      <c r="G54" s="16"/>
      <c r="H54" s="16"/>
      <c r="I54" s="16"/>
      <c r="K54" s="16"/>
      <c r="L54" s="16"/>
      <c r="M54" s="16"/>
      <c r="N54" s="16"/>
      <c r="O54" s="16"/>
      <c r="P54" s="16"/>
      <c r="Q54" s="16"/>
      <c r="R54" s="16"/>
      <c r="S54" s="16"/>
      <c r="U54" s="25" t="str">
        <f t="shared" si="42"/>
        <v>n/a</v>
      </c>
    </row>
    <row r="55" spans="3:21" x14ac:dyDescent="0.2">
      <c r="E55" s="5" t="s">
        <v>34</v>
      </c>
      <c r="F55" s="17">
        <v>6381.6890000000003</v>
      </c>
      <c r="G55" s="17">
        <v>5454.5569999999998</v>
      </c>
      <c r="H55" s="17">
        <v>6281.6490000000003</v>
      </c>
      <c r="I55" s="17">
        <v>10276.842000000001</v>
      </c>
      <c r="K55" s="17"/>
      <c r="L55" s="17"/>
      <c r="M55" s="17"/>
      <c r="N55" s="17"/>
      <c r="O55" s="17"/>
      <c r="P55" s="17"/>
      <c r="Q55" s="17"/>
      <c r="R55" s="17">
        <f>I55</f>
        <v>10276.842000000001</v>
      </c>
      <c r="S55" s="17">
        <v>10468.24</v>
      </c>
      <c r="U55" s="35">
        <f t="shared" si="42"/>
        <v>0.17212703022075493</v>
      </c>
    </row>
    <row r="56" spans="3:21" x14ac:dyDescent="0.2">
      <c r="E56" t="s">
        <v>91</v>
      </c>
      <c r="F56" s="16">
        <v>3938</v>
      </c>
      <c r="G56" s="16">
        <v>3641.3</v>
      </c>
      <c r="H56" s="16">
        <v>3046.8</v>
      </c>
      <c r="I56" s="16">
        <v>4629.6000000000004</v>
      </c>
      <c r="K56" s="16">
        <v>3499.7</v>
      </c>
      <c r="L56" s="16">
        <v>3499.7</v>
      </c>
      <c r="M56" s="16">
        <v>3203.6</v>
      </c>
      <c r="N56" s="16">
        <f>H56</f>
        <v>3046.8</v>
      </c>
      <c r="O56" s="16">
        <v>4506.6000000000004</v>
      </c>
      <c r="P56" s="16">
        <v>4465.5</v>
      </c>
      <c r="Q56" s="16">
        <v>4496.3</v>
      </c>
      <c r="R56" s="16">
        <f>I56</f>
        <v>4629.6000000000004</v>
      </c>
      <c r="S56" s="16">
        <v>4509.7</v>
      </c>
      <c r="U56" s="35"/>
    </row>
    <row r="57" spans="3:21" x14ac:dyDescent="0.2">
      <c r="E57" t="s">
        <v>108</v>
      </c>
      <c r="F57" s="16">
        <f>SUM(F47:F48)</f>
        <v>7223.5740000000005</v>
      </c>
      <c r="G57" s="16">
        <f t="shared" ref="G57:S57" si="52">SUM(G47:G48)</f>
        <v>5286.17</v>
      </c>
      <c r="H57" s="16">
        <f t="shared" si="52"/>
        <v>5715.3789999999999</v>
      </c>
      <c r="I57" s="16">
        <f t="shared" si="52"/>
        <v>9785.7109999999993</v>
      </c>
      <c r="K57" s="16">
        <f t="shared" ref="K57" si="53">SUM(K47:K48)</f>
        <v>0</v>
      </c>
      <c r="L57" s="16">
        <f t="shared" si="52"/>
        <v>0</v>
      </c>
      <c r="M57" s="16">
        <f t="shared" si="52"/>
        <v>0</v>
      </c>
      <c r="N57" s="16">
        <f t="shared" si="52"/>
        <v>5715.3789999999999</v>
      </c>
      <c r="O57" s="16">
        <f t="shared" si="52"/>
        <v>0</v>
      </c>
      <c r="P57" s="16">
        <f t="shared" si="52"/>
        <v>0</v>
      </c>
      <c r="Q57" s="16">
        <f t="shared" si="52"/>
        <v>0</v>
      </c>
      <c r="R57" s="16">
        <f t="shared" si="52"/>
        <v>9785.7109999999993</v>
      </c>
      <c r="S57" s="16">
        <f t="shared" si="52"/>
        <v>10276.223</v>
      </c>
      <c r="U57" s="35"/>
    </row>
    <row r="58" spans="3:21" x14ac:dyDescent="0.2">
      <c r="E58" s="5" t="s">
        <v>92</v>
      </c>
      <c r="F58" s="17">
        <f>+F56-F57</f>
        <v>-3285.5740000000005</v>
      </c>
      <c r="G58" s="17">
        <f t="shared" ref="G58:I58" si="54">+G56-G57</f>
        <v>-1644.87</v>
      </c>
      <c r="H58" s="17">
        <f t="shared" si="54"/>
        <v>-2668.5789999999997</v>
      </c>
      <c r="I58" s="17">
        <f t="shared" si="54"/>
        <v>-5156.110999999999</v>
      </c>
      <c r="K58" s="17">
        <f t="shared" ref="K58:L58" si="55">+K56-K57</f>
        <v>3499.7</v>
      </c>
      <c r="L58" s="17">
        <f t="shared" si="55"/>
        <v>3499.7</v>
      </c>
      <c r="M58" s="17">
        <f t="shared" ref="M58" si="56">+M56-M57</f>
        <v>3203.6</v>
      </c>
      <c r="N58" s="17">
        <f t="shared" ref="N58" si="57">+N56-N57</f>
        <v>-2668.5789999999997</v>
      </c>
      <c r="O58" s="17">
        <f t="shared" ref="O58" si="58">+O56-O57</f>
        <v>4506.6000000000004</v>
      </c>
      <c r="P58" s="17">
        <f t="shared" ref="P58" si="59">+P56-P57</f>
        <v>4465.5</v>
      </c>
      <c r="Q58" s="17">
        <f t="shared" ref="Q58" si="60">+Q56-Q57</f>
        <v>4496.3</v>
      </c>
      <c r="R58" s="17">
        <f t="shared" ref="R58" si="61">+R56-R57</f>
        <v>-5156.110999999999</v>
      </c>
      <c r="S58" s="17">
        <f t="shared" ref="S58" si="62">+S56-S57</f>
        <v>-5766.5230000000001</v>
      </c>
      <c r="U58" s="35"/>
    </row>
    <row r="59" spans="3:21" x14ac:dyDescent="0.2">
      <c r="F59" s="16"/>
      <c r="G59" s="16"/>
      <c r="H59" s="16"/>
      <c r="I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3:21" x14ac:dyDescent="0.2">
      <c r="E60" s="8" t="s">
        <v>27</v>
      </c>
      <c r="F60" s="19">
        <v>21274.424999999999</v>
      </c>
      <c r="G60" s="19">
        <v>89724.873000000007</v>
      </c>
      <c r="H60" s="19">
        <v>14753.901</v>
      </c>
      <c r="I60" s="19">
        <v>22541.951000000001</v>
      </c>
      <c r="K60" s="19"/>
      <c r="L60" s="19"/>
      <c r="M60" s="19"/>
      <c r="N60" s="19">
        <f>H60</f>
        <v>14753.901</v>
      </c>
      <c r="O60" s="19"/>
      <c r="P60" s="19"/>
      <c r="Q60" s="19"/>
      <c r="R60" s="19">
        <f>I60</f>
        <v>22541.951000000001</v>
      </c>
      <c r="S60" s="19">
        <v>21731.006000000001</v>
      </c>
    </row>
    <row r="61" spans="3:21" x14ac:dyDescent="0.2">
      <c r="C61" s="15" t="b" cm="1">
        <f t="array" ref="C61">AND(F61:I61&lt;$B$1,F61:I61&gt;-$B$1)</f>
        <v>1</v>
      </c>
      <c r="E61" s="8" t="s">
        <v>26</v>
      </c>
      <c r="F61" s="19">
        <f t="shared" ref="F61:I61" si="63">+F60-F53</f>
        <v>0</v>
      </c>
      <c r="G61" s="19">
        <f t="shared" si="63"/>
        <v>0</v>
      </c>
      <c r="H61" s="19">
        <f t="shared" si="63"/>
        <v>0</v>
      </c>
      <c r="I61" s="19">
        <f t="shared" si="63"/>
        <v>0</v>
      </c>
      <c r="K61" s="19">
        <f t="shared" ref="K61" si="64">+K60-K53</f>
        <v>0</v>
      </c>
      <c r="L61" s="19">
        <f t="shared" ref="L61:M61" si="65">+L60-L53</f>
        <v>0</v>
      </c>
      <c r="M61" s="19">
        <f t="shared" si="65"/>
        <v>0</v>
      </c>
      <c r="N61" s="19">
        <f t="shared" ref="N61" si="66">+N60-N53</f>
        <v>0</v>
      </c>
      <c r="O61" s="19">
        <f t="shared" ref="O61:P61" si="67">+O60-O53</f>
        <v>0</v>
      </c>
      <c r="P61" s="19">
        <f t="shared" si="67"/>
        <v>0</v>
      </c>
      <c r="Q61" s="19">
        <f t="shared" ref="Q61:S61" si="68">+Q60-Q53</f>
        <v>0</v>
      </c>
      <c r="R61" s="19">
        <f t="shared" si="68"/>
        <v>0</v>
      </c>
      <c r="S61" s="19">
        <f t="shared" si="68"/>
        <v>0</v>
      </c>
    </row>
    <row r="62" spans="3:21" x14ac:dyDescent="0.2">
      <c r="F62" s="16"/>
      <c r="G62" s="16"/>
      <c r="H62" s="16"/>
      <c r="I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3:21" x14ac:dyDescent="0.2">
      <c r="E63" s="5" t="str">
        <f>Input!$E$8&amp;" - CF"</f>
        <v>COIN - CF</v>
      </c>
      <c r="I63" s="9"/>
      <c r="K63" s="9"/>
      <c r="L63" s="9"/>
      <c r="M63" s="9"/>
      <c r="N63" s="9"/>
      <c r="O63" s="9"/>
      <c r="P63" s="9"/>
      <c r="Q63" s="9"/>
      <c r="R63" s="9"/>
      <c r="S63" s="9"/>
      <c r="U63" s="34" t="s">
        <v>47</v>
      </c>
    </row>
    <row r="64" spans="3:21" x14ac:dyDescent="0.2">
      <c r="E64" s="10" t="str">
        <f>+Input!$E$14</f>
        <v>$m</v>
      </c>
      <c r="F64" s="21" t="s">
        <v>59</v>
      </c>
      <c r="G64" s="21" t="s">
        <v>60</v>
      </c>
      <c r="H64" s="21" t="s">
        <v>61</v>
      </c>
      <c r="I64" s="21" t="s">
        <v>62</v>
      </c>
      <c r="K64" s="47" t="s">
        <v>109</v>
      </c>
      <c r="L64" s="47" t="s">
        <v>28</v>
      </c>
      <c r="M64" s="47" t="s">
        <v>106</v>
      </c>
      <c r="N64" s="47" t="s">
        <v>61</v>
      </c>
      <c r="O64" s="48" t="s">
        <v>99</v>
      </c>
      <c r="P64" s="48" t="s">
        <v>29</v>
      </c>
      <c r="Q64" s="48" t="s">
        <v>100</v>
      </c>
      <c r="R64" s="48" t="s">
        <v>62</v>
      </c>
      <c r="S64" s="21" t="s">
        <v>98</v>
      </c>
      <c r="U64" s="33" t="s">
        <v>80</v>
      </c>
    </row>
    <row r="65" spans="5:23" ht="3" customHeight="1" x14ac:dyDescent="0.2"/>
    <row r="66" spans="5:23" x14ac:dyDescent="0.2">
      <c r="E66" s="13" t="s">
        <v>35</v>
      </c>
      <c r="F66" s="16">
        <v>4038.172</v>
      </c>
      <c r="G66" s="16">
        <v>-1585.4190000000001</v>
      </c>
      <c r="H66" s="16">
        <v>922.95100000000002</v>
      </c>
      <c r="I66" s="16">
        <v>2556.8440000000001</v>
      </c>
      <c r="K66" s="16">
        <v>463.07799999999997</v>
      </c>
      <c r="L66" s="16">
        <v>614.202</v>
      </c>
      <c r="M66" s="16">
        <f>928.137-SUM(K66:L66)</f>
        <v>-149.14300000000003</v>
      </c>
      <c r="N66" s="16">
        <f>I66-SUM(K66:M66)</f>
        <v>1628.7070000000001</v>
      </c>
      <c r="O66" s="16">
        <v>411.48500000000001</v>
      </c>
      <c r="P66" s="16">
        <f>895.682-O66</f>
        <v>484.197</v>
      </c>
      <c r="Q66" s="16">
        <f>1592.226-SUM(O66:P66)</f>
        <v>696.5440000000001</v>
      </c>
      <c r="R66" s="16">
        <f>I66-SUM(O66:Q66)</f>
        <v>964.61799999999994</v>
      </c>
      <c r="S66" s="16">
        <v>-182.727</v>
      </c>
      <c r="U66" s="25">
        <f>IFERROR((I66/F66)^(1/3)-1,"n/a")</f>
        <v>-0.14130327592383696</v>
      </c>
    </row>
    <row r="67" spans="5:23" x14ac:dyDescent="0.2">
      <c r="E67" s="13" t="s">
        <v>36</v>
      </c>
      <c r="F67" s="18">
        <v>-1124.74</v>
      </c>
      <c r="G67" s="18">
        <v>-663.822</v>
      </c>
      <c r="H67" s="18">
        <v>5.3920000000000003</v>
      </c>
      <c r="I67" s="18">
        <v>-282.38499999999999</v>
      </c>
      <c r="K67" s="18">
        <v>-26.08</v>
      </c>
      <c r="L67" s="18">
        <v>-12.754</v>
      </c>
      <c r="M67" s="18">
        <f>-85.117-SUM(K67:L67)</f>
        <v>-46.283000000000008</v>
      </c>
      <c r="N67" s="18">
        <f>I67-SUM(K67:M67)</f>
        <v>-197.26799999999997</v>
      </c>
      <c r="O67" s="18">
        <v>-125.681</v>
      </c>
      <c r="P67" s="18">
        <f>-144.292-O67</f>
        <v>-18.611000000000004</v>
      </c>
      <c r="Q67" s="18">
        <f>-232.969-SUM(O67:P67)</f>
        <v>-88.676999999999992</v>
      </c>
      <c r="R67" s="18">
        <f>I67-SUM(O67:Q67)</f>
        <v>-49.415999999999997</v>
      </c>
      <c r="S67" s="18">
        <v>-231.65299999999999</v>
      </c>
      <c r="U67" s="25">
        <f>IFERROR((I67/F67)^(1/3)-1,"n/a")</f>
        <v>-0.36914459589093829</v>
      </c>
    </row>
    <row r="68" spans="5:23" x14ac:dyDescent="0.2">
      <c r="E68" s="5" t="s">
        <v>37</v>
      </c>
      <c r="F68" s="17">
        <f t="shared" ref="F68:H68" si="69">+F66+F67</f>
        <v>2913.4319999999998</v>
      </c>
      <c r="G68" s="17">
        <f t="shared" si="69"/>
        <v>-2249.241</v>
      </c>
      <c r="H68" s="17">
        <f t="shared" si="69"/>
        <v>928.34300000000007</v>
      </c>
      <c r="I68" s="17">
        <f>+I66+I67</f>
        <v>2274.4589999999998</v>
      </c>
      <c r="K68" s="17">
        <f t="shared" ref="K68:N68" si="70">+K66+K67</f>
        <v>436.99799999999999</v>
      </c>
      <c r="L68" s="17">
        <f t="shared" si="70"/>
        <v>601.44799999999998</v>
      </c>
      <c r="M68" s="17">
        <f t="shared" si="70"/>
        <v>-195.42600000000004</v>
      </c>
      <c r="N68" s="17">
        <f t="shared" si="70"/>
        <v>1431.4390000000001</v>
      </c>
      <c r="O68" s="17">
        <f>+O66+O67</f>
        <v>285.80400000000003</v>
      </c>
      <c r="P68" s="17">
        <f>+P66+P67</f>
        <v>465.58600000000001</v>
      </c>
      <c r="Q68" s="17">
        <f t="shared" ref="Q68:S68" si="71">+Q66+Q67</f>
        <v>607.86700000000008</v>
      </c>
      <c r="R68" s="17">
        <f t="shared" si="71"/>
        <v>915.202</v>
      </c>
      <c r="S68" s="17">
        <f t="shared" si="71"/>
        <v>-414.38</v>
      </c>
      <c r="U68" s="35">
        <f>IFERROR((I68/F68)^(1/3)-1,"n/a")</f>
        <v>-7.9216046658247219E-2</v>
      </c>
    </row>
    <row r="69" spans="5:23" x14ac:dyDescent="0.2">
      <c r="E69" s="13" t="s">
        <v>112</v>
      </c>
      <c r="F69" s="16">
        <v>9976.0840000000007</v>
      </c>
      <c r="G69" s="16">
        <v>-5838.518</v>
      </c>
      <c r="H69" s="16">
        <v>-811.33199999999999</v>
      </c>
      <c r="I69" s="16">
        <v>2828.9209999999998</v>
      </c>
      <c r="K69" s="16">
        <v>460.12900000000002</v>
      </c>
      <c r="L69" s="16">
        <v>-1142.2629999999999</v>
      </c>
      <c r="M69" s="16">
        <f>-1734.128-SUM(K69:L69)</f>
        <v>-1051.9940000000001</v>
      </c>
      <c r="N69" s="16">
        <f>I69-SUM(K69:M69)</f>
        <v>4563.049</v>
      </c>
      <c r="O69" s="16">
        <v>1927.721</v>
      </c>
      <c r="P69" s="16">
        <f>993.988-O69</f>
        <v>-933.73299999999995</v>
      </c>
      <c r="Q69" s="16">
        <f>682.663-SUM(O69:P69)</f>
        <v>-311.32500000000005</v>
      </c>
      <c r="R69" s="16">
        <f>I69-SUM(O69:Q69)</f>
        <v>2146.2579999999998</v>
      </c>
      <c r="S69" s="16">
        <v>-893.80200000000002</v>
      </c>
      <c r="U69" s="25">
        <f>IFERROR((I69/F69)^(1/3)-1,"n/a")</f>
        <v>-0.34301784391940782</v>
      </c>
      <c r="W69" s="30" t="s">
        <v>131</v>
      </c>
    </row>
    <row r="72" spans="5:23" x14ac:dyDescent="0.2">
      <c r="F72" s="16"/>
      <c r="G72" s="16"/>
      <c r="H72" s="16"/>
      <c r="I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5:23" x14ac:dyDescent="0.2">
      <c r="F73" s="16"/>
      <c r="G73" s="16"/>
      <c r="H73" s="16"/>
      <c r="I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5:23" x14ac:dyDescent="0.2">
      <c r="F74" s="16"/>
      <c r="G74" s="16"/>
      <c r="H74" s="16"/>
      <c r="I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5:23" x14ac:dyDescent="0.2">
      <c r="F75" s="16"/>
      <c r="G75" s="16"/>
      <c r="H75" s="16"/>
      <c r="I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5:23" x14ac:dyDescent="0.2">
      <c r="F76" s="16"/>
      <c r="G76" s="16"/>
      <c r="H76" s="16"/>
      <c r="I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5:23" x14ac:dyDescent="0.2">
      <c r="F77" s="16"/>
      <c r="G77" s="16"/>
      <c r="H77" s="16"/>
      <c r="I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5:23" x14ac:dyDescent="0.2">
      <c r="F78" s="16"/>
      <c r="G78" s="16"/>
      <c r="H78" s="16"/>
      <c r="I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5:23" x14ac:dyDescent="0.2">
      <c r="F79" s="16"/>
      <c r="G79" s="16"/>
      <c r="H79" s="16"/>
      <c r="I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5:23" x14ac:dyDescent="0.2">
      <c r="F80" s="16"/>
      <c r="G80" s="16"/>
      <c r="H80" s="16"/>
      <c r="I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6:19" x14ac:dyDescent="0.2">
      <c r="F81" s="16"/>
      <c r="G81" s="16"/>
      <c r="H81" s="16"/>
      <c r="I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6:19" x14ac:dyDescent="0.2">
      <c r="F82" s="16"/>
      <c r="G82" s="16"/>
      <c r="H82" s="16"/>
      <c r="I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6:19" x14ac:dyDescent="0.2">
      <c r="F83" s="16"/>
      <c r="G83" s="16"/>
      <c r="H83" s="16"/>
      <c r="I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6:19" x14ac:dyDescent="0.2">
      <c r="F84" s="16"/>
      <c r="G84" s="16"/>
      <c r="H84" s="16"/>
      <c r="I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6:19" x14ac:dyDescent="0.2">
      <c r="F85" s="16"/>
      <c r="G85" s="16"/>
      <c r="H85" s="16"/>
      <c r="I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6:19" x14ac:dyDescent="0.2">
      <c r="F86" s="16"/>
      <c r="G86" s="16"/>
      <c r="H86" s="16"/>
      <c r="I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6:19" x14ac:dyDescent="0.2">
      <c r="F87" s="16"/>
      <c r="G87" s="16"/>
      <c r="H87" s="16"/>
      <c r="I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6:19" x14ac:dyDescent="0.2">
      <c r="F88" s="16"/>
      <c r="G88" s="16"/>
      <c r="H88" s="16"/>
      <c r="I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6:19" x14ac:dyDescent="0.2">
      <c r="F89" s="16"/>
      <c r="G89" s="16"/>
      <c r="H89" s="16"/>
      <c r="I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6:19" x14ac:dyDescent="0.2">
      <c r="F90" s="16"/>
      <c r="G90" s="16"/>
      <c r="H90" s="16"/>
      <c r="I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6:19" x14ac:dyDescent="0.2">
      <c r="F91" s="16"/>
      <c r="G91" s="16"/>
      <c r="H91" s="16"/>
      <c r="I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6:19" x14ac:dyDescent="0.2">
      <c r="F92" s="16"/>
      <c r="G92" s="16"/>
      <c r="H92" s="16"/>
      <c r="I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6:19" x14ac:dyDescent="0.2">
      <c r="F93" s="16"/>
      <c r="G93" s="16"/>
      <c r="H93" s="16"/>
      <c r="I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6:19" x14ac:dyDescent="0.2">
      <c r="F94" s="16"/>
      <c r="G94" s="16"/>
      <c r="H94" s="16"/>
      <c r="I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6:19" x14ac:dyDescent="0.2">
      <c r="F95" s="16"/>
      <c r="G95" s="16"/>
      <c r="H95" s="16"/>
      <c r="I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6:19" x14ac:dyDescent="0.2">
      <c r="F96" s="16"/>
      <c r="G96" s="16"/>
      <c r="H96" s="16"/>
      <c r="I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6:19" x14ac:dyDescent="0.2">
      <c r="F97" s="16"/>
      <c r="G97" s="16"/>
      <c r="H97" s="16"/>
      <c r="I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6:19" x14ac:dyDescent="0.2">
      <c r="F98" s="16"/>
      <c r="G98" s="16"/>
      <c r="H98" s="16"/>
      <c r="I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6:19" x14ac:dyDescent="0.2">
      <c r="F99" s="16"/>
      <c r="G99" s="16"/>
      <c r="H99" s="16"/>
      <c r="I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6:19" x14ac:dyDescent="0.2">
      <c r="F100" s="16"/>
      <c r="G100" s="16"/>
      <c r="H100" s="16"/>
      <c r="I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6:19" x14ac:dyDescent="0.2">
      <c r="F101" s="16"/>
      <c r="G101" s="16"/>
      <c r="H101" s="16"/>
      <c r="I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6:19" x14ac:dyDescent="0.2">
      <c r="F102" s="16"/>
      <c r="G102" s="16"/>
      <c r="H102" s="16"/>
      <c r="I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6:19" x14ac:dyDescent="0.2">
      <c r="F103" s="16"/>
      <c r="G103" s="16"/>
      <c r="H103" s="16"/>
      <c r="I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6:19" x14ac:dyDescent="0.2">
      <c r="F104" s="16"/>
      <c r="G104" s="16"/>
      <c r="H104" s="16"/>
      <c r="I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6:19" x14ac:dyDescent="0.2">
      <c r="F105" s="16"/>
      <c r="G105" s="16"/>
      <c r="H105" s="16"/>
      <c r="I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6:19" x14ac:dyDescent="0.2">
      <c r="F106" s="16"/>
      <c r="G106" s="16"/>
      <c r="H106" s="16"/>
      <c r="I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6:19" x14ac:dyDescent="0.2">
      <c r="F107" s="16"/>
      <c r="G107" s="16"/>
      <c r="H107" s="16"/>
      <c r="I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6:19" x14ac:dyDescent="0.2">
      <c r="F108" s="16"/>
      <c r="G108" s="16"/>
      <c r="H108" s="16"/>
      <c r="I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6:19" x14ac:dyDescent="0.2">
      <c r="F109" s="16"/>
      <c r="G109" s="16"/>
      <c r="H109" s="16"/>
      <c r="I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6:19" x14ac:dyDescent="0.2">
      <c r="F110" s="16"/>
      <c r="G110" s="16"/>
      <c r="H110" s="16"/>
      <c r="I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6:19" x14ac:dyDescent="0.2">
      <c r="F111" s="16"/>
      <c r="G111" s="16"/>
      <c r="H111" s="16"/>
      <c r="I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6:19" x14ac:dyDescent="0.2">
      <c r="F112" s="16"/>
      <c r="G112" s="16"/>
      <c r="H112" s="16"/>
      <c r="I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6:19" x14ac:dyDescent="0.2">
      <c r="F113" s="16"/>
      <c r="G113" s="16"/>
      <c r="H113" s="16"/>
      <c r="I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6:19" x14ac:dyDescent="0.2">
      <c r="F114" s="16"/>
      <c r="G114" s="16"/>
      <c r="H114" s="16"/>
      <c r="I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6:19" x14ac:dyDescent="0.2">
      <c r="F115" s="16"/>
      <c r="G115" s="16"/>
      <c r="H115" s="16"/>
      <c r="I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6:19" x14ac:dyDescent="0.2">
      <c r="F116" s="16"/>
      <c r="G116" s="16"/>
      <c r="H116" s="16"/>
      <c r="I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6:19" x14ac:dyDescent="0.2">
      <c r="F117" s="16"/>
      <c r="G117" s="16"/>
      <c r="H117" s="16"/>
      <c r="I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6:19" x14ac:dyDescent="0.2">
      <c r="F118" s="16"/>
      <c r="G118" s="16"/>
      <c r="H118" s="16"/>
      <c r="I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6:19" x14ac:dyDescent="0.2">
      <c r="F119" s="16"/>
      <c r="G119" s="16"/>
      <c r="H119" s="16"/>
      <c r="I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6:19" x14ac:dyDescent="0.2">
      <c r="F120" s="16"/>
      <c r="G120" s="16"/>
      <c r="H120" s="16"/>
      <c r="I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6:19" x14ac:dyDescent="0.2">
      <c r="F121" s="16"/>
      <c r="G121" s="16"/>
      <c r="H121" s="16"/>
      <c r="I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6:19" x14ac:dyDescent="0.2">
      <c r="F122" s="16"/>
      <c r="G122" s="16"/>
      <c r="H122" s="16"/>
      <c r="I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6:19" x14ac:dyDescent="0.2">
      <c r="F123" s="16"/>
      <c r="G123" s="16"/>
      <c r="H123" s="16"/>
      <c r="I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6:19" x14ac:dyDescent="0.2">
      <c r="F124" s="16"/>
      <c r="G124" s="16"/>
      <c r="H124" s="16"/>
      <c r="I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6:19" x14ac:dyDescent="0.2">
      <c r="F125" s="16"/>
      <c r="G125" s="16"/>
      <c r="H125" s="16"/>
      <c r="I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6:19" x14ac:dyDescent="0.2">
      <c r="F126" s="16"/>
      <c r="G126" s="16"/>
      <c r="H126" s="16"/>
      <c r="I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6:19" x14ac:dyDescent="0.2">
      <c r="F127" s="16"/>
      <c r="G127" s="16"/>
      <c r="H127" s="16"/>
      <c r="I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6:19" x14ac:dyDescent="0.2">
      <c r="F128" s="16"/>
      <c r="G128" s="16"/>
      <c r="H128" s="16"/>
      <c r="I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6:19" x14ac:dyDescent="0.2">
      <c r="F129" s="16"/>
      <c r="G129" s="16"/>
      <c r="H129" s="16"/>
      <c r="I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6:19" x14ac:dyDescent="0.2">
      <c r="F130" s="16"/>
      <c r="G130" s="16"/>
      <c r="H130" s="16"/>
      <c r="I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6:19" x14ac:dyDescent="0.2">
      <c r="F131" s="16"/>
      <c r="G131" s="16"/>
      <c r="H131" s="16"/>
      <c r="I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6:19" x14ac:dyDescent="0.2"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6:19" x14ac:dyDescent="0.2">
      <c r="F133" s="16"/>
      <c r="G133" s="16"/>
      <c r="H133" s="16"/>
      <c r="I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6:19" x14ac:dyDescent="0.2">
      <c r="F134" s="16"/>
      <c r="G134" s="16"/>
      <c r="H134" s="16"/>
      <c r="I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6:19" x14ac:dyDescent="0.2">
      <c r="F135" s="16"/>
      <c r="G135" s="16"/>
      <c r="H135" s="16"/>
      <c r="I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6:19" x14ac:dyDescent="0.2">
      <c r="F136" s="16"/>
      <c r="G136" s="16"/>
      <c r="H136" s="16"/>
      <c r="I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6:19" x14ac:dyDescent="0.2">
      <c r="F137" s="16"/>
      <c r="G137" s="16"/>
      <c r="H137" s="16"/>
      <c r="I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6:19" x14ac:dyDescent="0.2">
      <c r="F138" s="16"/>
      <c r="G138" s="16"/>
      <c r="H138" s="16"/>
      <c r="I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6:19" x14ac:dyDescent="0.2">
      <c r="F139" s="16"/>
      <c r="G139" s="16"/>
      <c r="H139" s="16"/>
      <c r="I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6:19" x14ac:dyDescent="0.2">
      <c r="F140" s="16"/>
      <c r="G140" s="16"/>
      <c r="H140" s="16"/>
      <c r="I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6:19" x14ac:dyDescent="0.2">
      <c r="F141" s="16"/>
      <c r="G141" s="16"/>
      <c r="H141" s="16"/>
      <c r="I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6:19" x14ac:dyDescent="0.2">
      <c r="F142" s="16"/>
      <c r="G142" s="16"/>
      <c r="H142" s="16"/>
      <c r="I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6:19" x14ac:dyDescent="0.2">
      <c r="F143" s="16"/>
      <c r="G143" s="16"/>
      <c r="H143" s="16"/>
      <c r="I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6:19" x14ac:dyDescent="0.2">
      <c r="F144" s="16"/>
      <c r="G144" s="16"/>
      <c r="H144" s="16"/>
      <c r="I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6:19" x14ac:dyDescent="0.2">
      <c r="F145" s="16"/>
      <c r="G145" s="16"/>
      <c r="H145" s="16"/>
      <c r="I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6:19" x14ac:dyDescent="0.2">
      <c r="F146" s="16"/>
      <c r="G146" s="16"/>
      <c r="H146" s="16"/>
      <c r="I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6:19" x14ac:dyDescent="0.2">
      <c r="F147" s="16"/>
      <c r="G147" s="16"/>
      <c r="H147" s="16"/>
      <c r="I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6:19" x14ac:dyDescent="0.2">
      <c r="F148" s="16"/>
      <c r="G148" s="16"/>
      <c r="H148" s="16"/>
      <c r="I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6:19" x14ac:dyDescent="0.2">
      <c r="F149" s="16"/>
      <c r="G149" s="16"/>
      <c r="H149" s="16"/>
      <c r="I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6:19" x14ac:dyDescent="0.2">
      <c r="F150" s="16"/>
      <c r="G150" s="16"/>
      <c r="H150" s="16"/>
      <c r="I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6:19" x14ac:dyDescent="0.2">
      <c r="F151" s="16"/>
      <c r="G151" s="16"/>
      <c r="H151" s="16"/>
      <c r="I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6:19" x14ac:dyDescent="0.2">
      <c r="F152" s="16"/>
      <c r="G152" s="16"/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6:19" x14ac:dyDescent="0.2">
      <c r="F153" s="16"/>
      <c r="G153" s="16"/>
      <c r="H153" s="16"/>
      <c r="I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6:19" x14ac:dyDescent="0.2">
      <c r="F154" s="16"/>
      <c r="G154" s="16"/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6:19" x14ac:dyDescent="0.2">
      <c r="F155" s="16"/>
      <c r="G155" s="16"/>
      <c r="H155" s="16"/>
      <c r="I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6:19" x14ac:dyDescent="0.2">
      <c r="F156" s="16"/>
      <c r="G156" s="16"/>
      <c r="H156" s="16"/>
      <c r="I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6:19" x14ac:dyDescent="0.2">
      <c r="F157" s="16"/>
      <c r="G157" s="16"/>
      <c r="H157" s="16"/>
      <c r="I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6:19" x14ac:dyDescent="0.2">
      <c r="F158" s="16"/>
      <c r="G158" s="16"/>
      <c r="H158" s="16"/>
      <c r="I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6:19" x14ac:dyDescent="0.2">
      <c r="F159" s="16"/>
      <c r="G159" s="16"/>
      <c r="H159" s="16"/>
      <c r="I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6:19" x14ac:dyDescent="0.2">
      <c r="F160" s="16"/>
      <c r="G160" s="16"/>
      <c r="H160" s="16"/>
      <c r="I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6:19" x14ac:dyDescent="0.2">
      <c r="F161" s="16"/>
      <c r="G161" s="16"/>
      <c r="H161" s="16"/>
      <c r="I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6:19" x14ac:dyDescent="0.2">
      <c r="F162" s="16"/>
      <c r="G162" s="16"/>
      <c r="H162" s="16"/>
      <c r="I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6:19" x14ac:dyDescent="0.2">
      <c r="F163" s="16"/>
      <c r="G163" s="16"/>
      <c r="H163" s="16"/>
      <c r="I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6:19" x14ac:dyDescent="0.2">
      <c r="F164" s="16"/>
      <c r="G164" s="16"/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6:19" x14ac:dyDescent="0.2">
      <c r="F165" s="16"/>
      <c r="G165" s="16"/>
      <c r="H165" s="16"/>
      <c r="I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6:19" x14ac:dyDescent="0.2">
      <c r="F166" s="16"/>
      <c r="G166" s="16"/>
      <c r="H166" s="16"/>
      <c r="I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6:19" x14ac:dyDescent="0.2">
      <c r="F167" s="16"/>
      <c r="G167" s="16"/>
      <c r="H167" s="16"/>
      <c r="I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6:19" x14ac:dyDescent="0.2">
      <c r="F168" s="16"/>
      <c r="G168" s="16"/>
      <c r="H168" s="16"/>
      <c r="I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6:19" x14ac:dyDescent="0.2">
      <c r="F169" s="16"/>
      <c r="G169" s="16"/>
      <c r="H169" s="16"/>
      <c r="I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6:19" x14ac:dyDescent="0.2">
      <c r="F170" s="16"/>
      <c r="G170" s="16"/>
      <c r="H170" s="16"/>
      <c r="I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6:19" x14ac:dyDescent="0.2">
      <c r="F171" s="16"/>
      <c r="G171" s="16"/>
      <c r="H171" s="16"/>
      <c r="I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6:19" x14ac:dyDescent="0.2">
      <c r="F172" s="16"/>
      <c r="G172" s="16"/>
      <c r="H172" s="16"/>
      <c r="I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6:19" x14ac:dyDescent="0.2">
      <c r="F173" s="16"/>
      <c r="G173" s="16"/>
      <c r="H173" s="16"/>
      <c r="I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6:19" x14ac:dyDescent="0.2">
      <c r="F174" s="16"/>
      <c r="G174" s="16"/>
      <c r="H174" s="16"/>
      <c r="I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6:19" x14ac:dyDescent="0.2">
      <c r="F175" s="16"/>
      <c r="G175" s="16"/>
      <c r="H175" s="16"/>
      <c r="I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6:19" x14ac:dyDescent="0.2">
      <c r="F176" s="16"/>
      <c r="G176" s="16"/>
      <c r="H176" s="16"/>
      <c r="I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6:19" x14ac:dyDescent="0.2">
      <c r="F177" s="16"/>
      <c r="G177" s="16"/>
      <c r="H177" s="16"/>
      <c r="I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6:19" x14ac:dyDescent="0.2">
      <c r="F178" s="16"/>
      <c r="G178" s="16"/>
      <c r="H178" s="16"/>
      <c r="I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6:19" x14ac:dyDescent="0.2">
      <c r="F179" s="16"/>
      <c r="G179" s="16"/>
      <c r="H179" s="16"/>
      <c r="I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6:19" x14ac:dyDescent="0.2">
      <c r="F180" s="16"/>
      <c r="G180" s="16"/>
      <c r="H180" s="16"/>
      <c r="I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6:19" x14ac:dyDescent="0.2">
      <c r="F181" s="16"/>
      <c r="G181" s="16"/>
      <c r="H181" s="16"/>
      <c r="I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6:19" x14ac:dyDescent="0.2">
      <c r="F182" s="16"/>
      <c r="G182" s="16"/>
      <c r="H182" s="16"/>
      <c r="I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 spans="6:19" x14ac:dyDescent="0.2">
      <c r="F183" s="16"/>
      <c r="G183" s="16"/>
      <c r="H183" s="16"/>
      <c r="I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 spans="6:19" x14ac:dyDescent="0.2">
      <c r="F184" s="16"/>
      <c r="G184" s="16"/>
      <c r="H184" s="16"/>
      <c r="I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6:19" x14ac:dyDescent="0.2">
      <c r="F185" s="16"/>
      <c r="G185" s="16"/>
      <c r="H185" s="16"/>
      <c r="I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 spans="6:19" x14ac:dyDescent="0.2">
      <c r="F186" s="16"/>
      <c r="G186" s="16"/>
      <c r="H186" s="16"/>
      <c r="I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6:19" x14ac:dyDescent="0.2">
      <c r="F187" s="16"/>
      <c r="G187" s="16"/>
      <c r="H187" s="16"/>
      <c r="I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 spans="6:19" x14ac:dyDescent="0.2">
      <c r="F188" s="16"/>
      <c r="G188" s="16"/>
      <c r="H188" s="16"/>
      <c r="I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 spans="6:19" x14ac:dyDescent="0.2">
      <c r="F189" s="16"/>
      <c r="G189" s="16"/>
      <c r="H189" s="16"/>
      <c r="I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 spans="6:19" x14ac:dyDescent="0.2">
      <c r="F190" s="16"/>
      <c r="G190" s="16"/>
      <c r="H190" s="16"/>
      <c r="I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 spans="6:19" x14ac:dyDescent="0.2">
      <c r="F191" s="16"/>
      <c r="G191" s="16"/>
      <c r="H191" s="16"/>
      <c r="I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 spans="6:19" x14ac:dyDescent="0.2">
      <c r="F192" s="16"/>
      <c r="G192" s="16"/>
      <c r="H192" s="16"/>
      <c r="I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 spans="6:19" x14ac:dyDescent="0.2">
      <c r="F193" s="16"/>
      <c r="G193" s="16"/>
      <c r="H193" s="16"/>
      <c r="I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 spans="6:19" x14ac:dyDescent="0.2">
      <c r="F194" s="16"/>
      <c r="G194" s="16"/>
      <c r="H194" s="16"/>
      <c r="I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 spans="6:19" x14ac:dyDescent="0.2">
      <c r="F195" s="16"/>
      <c r="G195" s="16"/>
      <c r="H195" s="16"/>
      <c r="I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 spans="6:19" x14ac:dyDescent="0.2">
      <c r="F196" s="16"/>
      <c r="G196" s="16"/>
      <c r="H196" s="16"/>
      <c r="I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spans="6:19" x14ac:dyDescent="0.2">
      <c r="F197" s="16"/>
      <c r="G197" s="16"/>
      <c r="H197" s="16"/>
      <c r="I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 spans="6:19" x14ac:dyDescent="0.2">
      <c r="F198" s="16"/>
      <c r="G198" s="16"/>
      <c r="H198" s="16"/>
      <c r="I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 spans="6:19" x14ac:dyDescent="0.2">
      <c r="F199" s="16"/>
      <c r="G199" s="16"/>
      <c r="H199" s="16"/>
      <c r="I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 spans="6:19" x14ac:dyDescent="0.2">
      <c r="F200" s="16"/>
      <c r="G200" s="16"/>
      <c r="H200" s="16"/>
      <c r="I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 spans="6:19" x14ac:dyDescent="0.2">
      <c r="F201" s="16"/>
      <c r="G201" s="16"/>
      <c r="H201" s="16"/>
      <c r="I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 spans="6:19" x14ac:dyDescent="0.2">
      <c r="F202" s="16"/>
      <c r="G202" s="16"/>
      <c r="H202" s="16"/>
      <c r="I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6:19" x14ac:dyDescent="0.2">
      <c r="F203" s="16"/>
      <c r="G203" s="16"/>
      <c r="H203" s="16"/>
      <c r="I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 spans="6:19" x14ac:dyDescent="0.2">
      <c r="F204" s="16"/>
      <c r="G204" s="16"/>
      <c r="H204" s="16"/>
      <c r="I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 spans="6:19" x14ac:dyDescent="0.2">
      <c r="F205" s="16"/>
      <c r="G205" s="16"/>
      <c r="H205" s="16"/>
      <c r="I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spans="6:19" x14ac:dyDescent="0.2">
      <c r="F206" s="16"/>
      <c r="G206" s="16"/>
      <c r="H206" s="16"/>
      <c r="I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6:19" x14ac:dyDescent="0.2">
      <c r="F207" s="16"/>
      <c r="G207" s="16"/>
      <c r="H207" s="16"/>
      <c r="I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 spans="6:19" x14ac:dyDescent="0.2">
      <c r="F208" s="16"/>
      <c r="G208" s="16"/>
      <c r="H208" s="16"/>
      <c r="I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 spans="6:19" x14ac:dyDescent="0.2">
      <c r="F209" s="16"/>
      <c r="G209" s="16"/>
      <c r="H209" s="16"/>
      <c r="I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 spans="6:19" x14ac:dyDescent="0.2">
      <c r="F210" s="16"/>
      <c r="G210" s="16"/>
      <c r="H210" s="16"/>
      <c r="I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spans="6:19" x14ac:dyDescent="0.2">
      <c r="F211" s="16"/>
      <c r="G211" s="16"/>
      <c r="H211" s="16"/>
      <c r="I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 spans="6:19" x14ac:dyDescent="0.2">
      <c r="F212" s="16"/>
      <c r="G212" s="16"/>
      <c r="H212" s="16"/>
      <c r="I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 spans="6:19" x14ac:dyDescent="0.2">
      <c r="F213" s="16"/>
      <c r="G213" s="16"/>
      <c r="H213" s="16"/>
      <c r="I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 spans="6:19" x14ac:dyDescent="0.2">
      <c r="F214" s="16"/>
      <c r="G214" s="16"/>
      <c r="H214" s="16"/>
      <c r="I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 spans="6:19" x14ac:dyDescent="0.2">
      <c r="F215" s="16"/>
      <c r="G215" s="16"/>
      <c r="H215" s="16"/>
      <c r="I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 spans="6:19" x14ac:dyDescent="0.2">
      <c r="F216" s="16"/>
      <c r="G216" s="16"/>
      <c r="H216" s="16"/>
      <c r="I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 spans="6:19" x14ac:dyDescent="0.2">
      <c r="F217" s="16"/>
      <c r="G217" s="16"/>
      <c r="H217" s="16"/>
      <c r="I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 spans="6:19" x14ac:dyDescent="0.2">
      <c r="F218" s="16"/>
      <c r="G218" s="16"/>
      <c r="H218" s="16"/>
      <c r="I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 spans="6:19" x14ac:dyDescent="0.2">
      <c r="F219" s="16"/>
      <c r="G219" s="16"/>
      <c r="H219" s="16"/>
      <c r="I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 spans="6:19" x14ac:dyDescent="0.2">
      <c r="F220" s="16"/>
      <c r="G220" s="16"/>
      <c r="H220" s="16"/>
      <c r="I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 spans="6:19" x14ac:dyDescent="0.2">
      <c r="F221" s="16"/>
      <c r="G221" s="16"/>
      <c r="H221" s="16"/>
      <c r="I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 spans="6:19" x14ac:dyDescent="0.2">
      <c r="F222" s="16"/>
      <c r="G222" s="16"/>
      <c r="H222" s="16"/>
      <c r="I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6:19" x14ac:dyDescent="0.2">
      <c r="F223" s="16"/>
      <c r="G223" s="16"/>
      <c r="H223" s="16"/>
      <c r="I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6:19" x14ac:dyDescent="0.2">
      <c r="F224" s="16"/>
      <c r="G224" s="16"/>
      <c r="H224" s="16"/>
      <c r="I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6:19" x14ac:dyDescent="0.2">
      <c r="F225" s="16"/>
      <c r="G225" s="16"/>
      <c r="H225" s="16"/>
      <c r="I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6:19" x14ac:dyDescent="0.2">
      <c r="F226" s="16"/>
      <c r="G226" s="16"/>
      <c r="H226" s="16"/>
      <c r="I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6:19" x14ac:dyDescent="0.2">
      <c r="F227" s="16"/>
      <c r="G227" s="16"/>
      <c r="H227" s="16"/>
      <c r="I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6:19" x14ac:dyDescent="0.2">
      <c r="F228" s="16"/>
      <c r="G228" s="16"/>
      <c r="H228" s="16"/>
      <c r="I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6:19" x14ac:dyDescent="0.2">
      <c r="F229" s="16"/>
      <c r="G229" s="16"/>
      <c r="H229" s="16"/>
      <c r="I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6:19" x14ac:dyDescent="0.2">
      <c r="F230" s="16"/>
      <c r="G230" s="16"/>
      <c r="H230" s="16"/>
      <c r="I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6:19" x14ac:dyDescent="0.2">
      <c r="F231" s="16"/>
      <c r="G231" s="16"/>
      <c r="H231" s="16"/>
      <c r="I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6:19" x14ac:dyDescent="0.2">
      <c r="F232" s="16"/>
      <c r="G232" s="16"/>
      <c r="H232" s="16"/>
      <c r="I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6:19" x14ac:dyDescent="0.2">
      <c r="F233" s="16"/>
      <c r="G233" s="16"/>
      <c r="H233" s="16"/>
      <c r="I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6:19" x14ac:dyDescent="0.2">
      <c r="F234" s="16"/>
      <c r="G234" s="16"/>
      <c r="H234" s="16"/>
      <c r="I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6:19" x14ac:dyDescent="0.2">
      <c r="F235" s="16"/>
      <c r="G235" s="16"/>
      <c r="H235" s="16"/>
      <c r="I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6:19" x14ac:dyDescent="0.2">
      <c r="F236" s="16"/>
      <c r="G236" s="16"/>
      <c r="H236" s="16"/>
      <c r="I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6:19" x14ac:dyDescent="0.2">
      <c r="F237" s="16"/>
      <c r="G237" s="16"/>
      <c r="H237" s="16"/>
      <c r="I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6:19" x14ac:dyDescent="0.2">
      <c r="F238" s="16"/>
      <c r="G238" s="16"/>
      <c r="H238" s="16"/>
      <c r="I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6:19" x14ac:dyDescent="0.2">
      <c r="F239" s="16"/>
      <c r="G239" s="16"/>
      <c r="H239" s="16"/>
      <c r="I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6:19" x14ac:dyDescent="0.2">
      <c r="F240" s="16"/>
      <c r="G240" s="16"/>
      <c r="H240" s="16"/>
      <c r="I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6:19" x14ac:dyDescent="0.2">
      <c r="F241" s="16"/>
      <c r="G241" s="16"/>
      <c r="H241" s="16"/>
      <c r="I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6:19" x14ac:dyDescent="0.2">
      <c r="F242" s="16"/>
      <c r="G242" s="16"/>
      <c r="H242" s="16"/>
      <c r="I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6:19" x14ac:dyDescent="0.2">
      <c r="F243" s="16"/>
      <c r="G243" s="16"/>
      <c r="H243" s="16"/>
      <c r="I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6:19" x14ac:dyDescent="0.2">
      <c r="F244" s="16"/>
      <c r="G244" s="16"/>
      <c r="H244" s="16"/>
      <c r="I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6:19" x14ac:dyDescent="0.2">
      <c r="F245" s="16"/>
      <c r="G245" s="16"/>
      <c r="H245" s="16"/>
      <c r="I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6:19" x14ac:dyDescent="0.2">
      <c r="F246" s="16"/>
      <c r="G246" s="16"/>
      <c r="H246" s="16"/>
      <c r="I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6:19" x14ac:dyDescent="0.2">
      <c r="F247" s="16"/>
      <c r="G247" s="16"/>
      <c r="H247" s="16"/>
      <c r="I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6:19" x14ac:dyDescent="0.2">
      <c r="F248" s="16"/>
      <c r="G248" s="16"/>
      <c r="H248" s="16"/>
      <c r="I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6:19" x14ac:dyDescent="0.2">
      <c r="F249" s="16"/>
      <c r="G249" s="16"/>
      <c r="H249" s="16"/>
      <c r="I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6:19" x14ac:dyDescent="0.2">
      <c r="F250" s="16"/>
      <c r="G250" s="16"/>
      <c r="H250" s="16"/>
      <c r="I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6:19" x14ac:dyDescent="0.2">
      <c r="F251" s="16"/>
      <c r="G251" s="16"/>
      <c r="H251" s="16"/>
      <c r="I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6:19" x14ac:dyDescent="0.2">
      <c r="F252" s="16"/>
      <c r="G252" s="16"/>
      <c r="H252" s="16"/>
      <c r="I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6:19" x14ac:dyDescent="0.2">
      <c r="F253" s="16"/>
      <c r="G253" s="16"/>
      <c r="H253" s="16"/>
      <c r="I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6:19" x14ac:dyDescent="0.2">
      <c r="F254" s="16"/>
      <c r="G254" s="16"/>
      <c r="H254" s="16"/>
      <c r="I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6:19" x14ac:dyDescent="0.2">
      <c r="F255" s="16"/>
      <c r="G255" s="16"/>
      <c r="H255" s="16"/>
      <c r="I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6:19" x14ac:dyDescent="0.2">
      <c r="F256" s="16"/>
      <c r="G256" s="16"/>
      <c r="H256" s="16"/>
      <c r="I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6:19" x14ac:dyDescent="0.2">
      <c r="F257" s="16"/>
      <c r="G257" s="16"/>
      <c r="H257" s="16"/>
      <c r="I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6:19" x14ac:dyDescent="0.2">
      <c r="F258" s="16"/>
      <c r="G258" s="16"/>
      <c r="H258" s="16"/>
      <c r="I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6:19" x14ac:dyDescent="0.2">
      <c r="F259" s="16"/>
      <c r="G259" s="16"/>
      <c r="H259" s="16"/>
      <c r="I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6:19" x14ac:dyDescent="0.2">
      <c r="F260" s="16"/>
      <c r="G260" s="16"/>
      <c r="H260" s="16"/>
      <c r="I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6:19" x14ac:dyDescent="0.2">
      <c r="F261" s="16"/>
      <c r="G261" s="16"/>
      <c r="H261" s="16"/>
      <c r="I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6:19" x14ac:dyDescent="0.2">
      <c r="F262" s="16"/>
      <c r="G262" s="16"/>
      <c r="H262" s="16"/>
      <c r="I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6:19" x14ac:dyDescent="0.2">
      <c r="F263" s="16"/>
      <c r="G263" s="16"/>
      <c r="H263" s="16"/>
      <c r="I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6:19" x14ac:dyDescent="0.2">
      <c r="F264" s="16"/>
      <c r="G264" s="16"/>
      <c r="H264" s="16"/>
      <c r="I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6:19" x14ac:dyDescent="0.2">
      <c r="F265" s="16"/>
      <c r="G265" s="16"/>
      <c r="H265" s="16"/>
      <c r="I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6:19" x14ac:dyDescent="0.2">
      <c r="F266" s="16"/>
      <c r="G266" s="16"/>
      <c r="H266" s="16"/>
      <c r="I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 spans="6:19" x14ac:dyDescent="0.2">
      <c r="F267" s="16"/>
      <c r="G267" s="16"/>
      <c r="H267" s="16"/>
      <c r="I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 spans="6:19" x14ac:dyDescent="0.2">
      <c r="F268" s="16"/>
      <c r="G268" s="16"/>
      <c r="H268" s="16"/>
      <c r="I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 spans="6:19" x14ac:dyDescent="0.2">
      <c r="F269" s="16"/>
      <c r="G269" s="16"/>
      <c r="H269" s="16"/>
      <c r="I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 spans="6:19" x14ac:dyDescent="0.2">
      <c r="F270" s="16"/>
      <c r="G270" s="16"/>
      <c r="H270" s="16"/>
      <c r="I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 spans="6:19" x14ac:dyDescent="0.2">
      <c r="F271" s="16"/>
      <c r="G271" s="16"/>
      <c r="H271" s="16"/>
      <c r="I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 spans="6:19" x14ac:dyDescent="0.2">
      <c r="F272" s="16"/>
      <c r="G272" s="16"/>
      <c r="H272" s="16"/>
      <c r="I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 spans="6:19" x14ac:dyDescent="0.2">
      <c r="F273" s="16"/>
      <c r="G273" s="16"/>
      <c r="H273" s="16"/>
      <c r="I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 spans="6:19" x14ac:dyDescent="0.2">
      <c r="F274" s="16"/>
      <c r="G274" s="16"/>
      <c r="H274" s="16"/>
      <c r="I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 spans="6:19" x14ac:dyDescent="0.2">
      <c r="F275" s="16"/>
      <c r="G275" s="16"/>
      <c r="H275" s="16"/>
      <c r="I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 spans="6:19" x14ac:dyDescent="0.2">
      <c r="F276" s="16"/>
      <c r="G276" s="16"/>
      <c r="H276" s="16"/>
      <c r="I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 spans="6:19" x14ac:dyDescent="0.2">
      <c r="F277" s="16"/>
      <c r="G277" s="16"/>
      <c r="H277" s="16"/>
      <c r="I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 spans="6:19" x14ac:dyDescent="0.2">
      <c r="F278" s="16"/>
      <c r="G278" s="16"/>
      <c r="H278" s="16"/>
      <c r="I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 spans="6:19" x14ac:dyDescent="0.2">
      <c r="F279" s="16"/>
      <c r="G279" s="16"/>
      <c r="H279" s="16"/>
      <c r="I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 spans="6:19" x14ac:dyDescent="0.2">
      <c r="F280" s="16"/>
      <c r="G280" s="16"/>
      <c r="H280" s="16"/>
      <c r="I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 spans="6:19" x14ac:dyDescent="0.2">
      <c r="F281" s="16"/>
      <c r="G281" s="16"/>
      <c r="H281" s="16"/>
      <c r="I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 spans="6:19" x14ac:dyDescent="0.2">
      <c r="F282" s="16"/>
      <c r="G282" s="16"/>
      <c r="H282" s="16"/>
      <c r="I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 spans="6:19" x14ac:dyDescent="0.2">
      <c r="F283" s="16"/>
      <c r="G283" s="16"/>
      <c r="H283" s="16"/>
      <c r="I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 spans="6:19" x14ac:dyDescent="0.2">
      <c r="F284" s="16"/>
      <c r="G284" s="16"/>
      <c r="H284" s="16"/>
      <c r="I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 spans="6:19" x14ac:dyDescent="0.2">
      <c r="F285" s="16"/>
      <c r="G285" s="16"/>
      <c r="H285" s="16"/>
      <c r="I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 spans="6:19" x14ac:dyDescent="0.2">
      <c r="F286" s="16"/>
      <c r="G286" s="16"/>
      <c r="H286" s="16"/>
      <c r="I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 spans="6:19" x14ac:dyDescent="0.2">
      <c r="F287" s="16"/>
      <c r="G287" s="16"/>
      <c r="H287" s="16"/>
      <c r="I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 spans="6:19" x14ac:dyDescent="0.2">
      <c r="F288" s="16"/>
      <c r="G288" s="16"/>
      <c r="H288" s="16"/>
      <c r="I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 spans="6:19" x14ac:dyDescent="0.2">
      <c r="F289" s="16"/>
      <c r="G289" s="16"/>
      <c r="H289" s="16"/>
      <c r="I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 spans="6:19" x14ac:dyDescent="0.2">
      <c r="F290" s="16"/>
      <c r="G290" s="16"/>
      <c r="H290" s="16"/>
      <c r="I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 spans="6:19" x14ac:dyDescent="0.2">
      <c r="F291" s="16"/>
      <c r="G291" s="16"/>
      <c r="H291" s="16"/>
      <c r="I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 spans="6:19" x14ac:dyDescent="0.2">
      <c r="F292" s="16"/>
      <c r="G292" s="16"/>
      <c r="H292" s="16"/>
      <c r="I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 spans="6:19" x14ac:dyDescent="0.2">
      <c r="F293" s="16"/>
      <c r="G293" s="16"/>
      <c r="H293" s="16"/>
      <c r="I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 spans="6:19" x14ac:dyDescent="0.2">
      <c r="F294" s="16"/>
      <c r="G294" s="16"/>
      <c r="H294" s="16"/>
      <c r="I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 spans="6:19" x14ac:dyDescent="0.2">
      <c r="F295" s="16"/>
      <c r="G295" s="16"/>
      <c r="H295" s="16"/>
      <c r="I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 spans="6:19" x14ac:dyDescent="0.2">
      <c r="F296" s="16"/>
      <c r="G296" s="16"/>
      <c r="H296" s="16"/>
      <c r="I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 spans="6:19" x14ac:dyDescent="0.2">
      <c r="F297" s="16"/>
      <c r="G297" s="16"/>
      <c r="H297" s="16"/>
      <c r="I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 spans="6:19" x14ac:dyDescent="0.2">
      <c r="F298" s="16"/>
      <c r="G298" s="16"/>
      <c r="H298" s="16"/>
      <c r="I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 spans="6:19" x14ac:dyDescent="0.2">
      <c r="F299" s="16"/>
      <c r="G299" s="16"/>
      <c r="H299" s="16"/>
      <c r="I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 spans="6:19" x14ac:dyDescent="0.2">
      <c r="F300" s="16"/>
      <c r="G300" s="16"/>
      <c r="H300" s="16"/>
      <c r="I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 spans="6:19" x14ac:dyDescent="0.2">
      <c r="F301" s="16"/>
      <c r="G301" s="16"/>
      <c r="H301" s="16"/>
      <c r="I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6:19" x14ac:dyDescent="0.2">
      <c r="F302" s="16"/>
      <c r="G302" s="16"/>
      <c r="H302" s="16"/>
      <c r="I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6:19" x14ac:dyDescent="0.2">
      <c r="F303" s="16"/>
      <c r="G303" s="16"/>
      <c r="H303" s="16"/>
      <c r="I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 spans="6:19" x14ac:dyDescent="0.2">
      <c r="F304" s="16"/>
      <c r="G304" s="16"/>
      <c r="H304" s="16"/>
      <c r="I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 spans="6:19" x14ac:dyDescent="0.2">
      <c r="F305" s="16"/>
      <c r="G305" s="16"/>
      <c r="H305" s="16"/>
      <c r="I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 spans="6:19" x14ac:dyDescent="0.2">
      <c r="F306" s="16"/>
      <c r="G306" s="16"/>
      <c r="H306" s="16"/>
      <c r="I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 spans="6:19" x14ac:dyDescent="0.2">
      <c r="F307" s="16"/>
      <c r="G307" s="16"/>
      <c r="H307" s="16"/>
      <c r="I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6:19" x14ac:dyDescent="0.2">
      <c r="F308" s="16"/>
      <c r="G308" s="16"/>
      <c r="H308" s="16"/>
      <c r="I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 spans="6:19" x14ac:dyDescent="0.2">
      <c r="F309" s="16"/>
      <c r="G309" s="16"/>
      <c r="H309" s="16"/>
      <c r="I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 spans="6:19" x14ac:dyDescent="0.2">
      <c r="F310" s="16"/>
      <c r="G310" s="16"/>
      <c r="H310" s="16"/>
      <c r="I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 spans="6:19" x14ac:dyDescent="0.2">
      <c r="F311" s="16"/>
      <c r="G311" s="16"/>
      <c r="H311" s="16"/>
      <c r="I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 spans="6:19" x14ac:dyDescent="0.2">
      <c r="F312" s="16"/>
      <c r="G312" s="16"/>
      <c r="H312" s="16"/>
      <c r="I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 spans="6:19" x14ac:dyDescent="0.2">
      <c r="F313" s="16"/>
      <c r="G313" s="16"/>
      <c r="H313" s="16"/>
      <c r="I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6:19" x14ac:dyDescent="0.2">
      <c r="F314" s="16"/>
      <c r="G314" s="16"/>
      <c r="H314" s="16"/>
      <c r="I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 spans="6:19" x14ac:dyDescent="0.2">
      <c r="F315" s="16"/>
      <c r="G315" s="16"/>
      <c r="H315" s="16"/>
      <c r="I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 spans="6:19" x14ac:dyDescent="0.2">
      <c r="F316" s="16"/>
      <c r="G316" s="16"/>
      <c r="H316" s="16"/>
      <c r="I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 spans="6:19" x14ac:dyDescent="0.2">
      <c r="F317" s="16"/>
      <c r="G317" s="16"/>
      <c r="H317" s="16"/>
      <c r="I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 spans="6:19" x14ac:dyDescent="0.2">
      <c r="F318" s="16"/>
      <c r="G318" s="16"/>
      <c r="H318" s="16"/>
      <c r="I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 spans="6:19" x14ac:dyDescent="0.2">
      <c r="F319" s="16"/>
      <c r="G319" s="16"/>
      <c r="H319" s="16"/>
      <c r="I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 spans="6:19" x14ac:dyDescent="0.2">
      <c r="F320" s="16"/>
      <c r="G320" s="16"/>
      <c r="H320" s="16"/>
      <c r="I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 spans="6:19" x14ac:dyDescent="0.2">
      <c r="F321" s="16"/>
      <c r="G321" s="16"/>
      <c r="H321" s="16"/>
      <c r="I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 spans="6:19" x14ac:dyDescent="0.2">
      <c r="F322" s="16"/>
      <c r="G322" s="16"/>
      <c r="H322" s="16"/>
      <c r="I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 spans="6:19" x14ac:dyDescent="0.2">
      <c r="F323" s="16"/>
      <c r="G323" s="16"/>
      <c r="H323" s="16"/>
      <c r="I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spans="6:19" x14ac:dyDescent="0.2">
      <c r="F324" s="16"/>
      <c r="G324" s="16"/>
      <c r="H324" s="16"/>
      <c r="I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6:19" x14ac:dyDescent="0.2">
      <c r="F325" s="16"/>
      <c r="G325" s="16"/>
      <c r="H325" s="16"/>
      <c r="I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 spans="6:19" x14ac:dyDescent="0.2">
      <c r="F326" s="16"/>
      <c r="G326" s="16"/>
      <c r="H326" s="16"/>
      <c r="I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6:19" x14ac:dyDescent="0.2">
      <c r="F327" s="16"/>
      <c r="G327" s="16"/>
      <c r="H327" s="16"/>
      <c r="I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 spans="6:19" x14ac:dyDescent="0.2">
      <c r="F328" s="16"/>
      <c r="G328" s="16"/>
      <c r="H328" s="16"/>
      <c r="I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 spans="6:19" x14ac:dyDescent="0.2">
      <c r="F329" s="16"/>
      <c r="G329" s="16"/>
      <c r="H329" s="16"/>
      <c r="I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6:19" x14ac:dyDescent="0.2">
      <c r="F330" s="16"/>
      <c r="G330" s="16"/>
      <c r="H330" s="16"/>
      <c r="I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 spans="6:19" x14ac:dyDescent="0.2">
      <c r="F331" s="16"/>
      <c r="G331" s="16"/>
      <c r="H331" s="16"/>
      <c r="I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 spans="6:19" x14ac:dyDescent="0.2">
      <c r="F332" s="16"/>
      <c r="G332" s="16"/>
      <c r="H332" s="16"/>
      <c r="I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 spans="6:19" x14ac:dyDescent="0.2">
      <c r="F333" s="16"/>
      <c r="G333" s="16"/>
      <c r="H333" s="16"/>
      <c r="I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 spans="6:19" x14ac:dyDescent="0.2">
      <c r="F334" s="16"/>
      <c r="G334" s="16"/>
      <c r="H334" s="16"/>
      <c r="I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 spans="6:19" x14ac:dyDescent="0.2">
      <c r="F335" s="16"/>
      <c r="G335" s="16"/>
      <c r="H335" s="16"/>
      <c r="I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 spans="6:19" x14ac:dyDescent="0.2">
      <c r="F336" s="16"/>
      <c r="G336" s="16"/>
      <c r="H336" s="16"/>
      <c r="I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 spans="6:19" x14ac:dyDescent="0.2">
      <c r="F337" s="16"/>
      <c r="G337" s="16"/>
      <c r="H337" s="16"/>
      <c r="I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 spans="6:19" x14ac:dyDescent="0.2">
      <c r="F338" s="16"/>
      <c r="G338" s="16"/>
      <c r="H338" s="16"/>
      <c r="I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 spans="6:19" x14ac:dyDescent="0.2">
      <c r="F339" s="16"/>
      <c r="G339" s="16"/>
      <c r="H339" s="16"/>
      <c r="I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 spans="6:19" x14ac:dyDescent="0.2">
      <c r="F340" s="16"/>
      <c r="G340" s="16"/>
      <c r="H340" s="16"/>
      <c r="I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 spans="6:19" x14ac:dyDescent="0.2">
      <c r="F341" s="16"/>
      <c r="G341" s="16"/>
      <c r="H341" s="16"/>
      <c r="I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 spans="6:19" x14ac:dyDescent="0.2">
      <c r="F342" s="16"/>
      <c r="G342" s="16"/>
      <c r="H342" s="16"/>
      <c r="I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 spans="6:19" x14ac:dyDescent="0.2">
      <c r="F343" s="16"/>
      <c r="G343" s="16"/>
      <c r="H343" s="16"/>
      <c r="I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spans="6:19" x14ac:dyDescent="0.2">
      <c r="F344" s="16"/>
      <c r="G344" s="16"/>
      <c r="H344" s="16"/>
      <c r="I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 spans="6:19" x14ac:dyDescent="0.2">
      <c r="F345" s="16"/>
      <c r="G345" s="16"/>
      <c r="H345" s="16"/>
      <c r="I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 spans="6:19" x14ac:dyDescent="0.2">
      <c r="F346" s="16"/>
      <c r="G346" s="16"/>
      <c r="H346" s="16"/>
      <c r="I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 spans="6:19" x14ac:dyDescent="0.2">
      <c r="F347" s="16"/>
      <c r="G347" s="16"/>
      <c r="H347" s="16"/>
      <c r="I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 spans="6:19" x14ac:dyDescent="0.2">
      <c r="F348" s="16"/>
      <c r="G348" s="16"/>
      <c r="H348" s="16"/>
      <c r="I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 spans="6:19" x14ac:dyDescent="0.2">
      <c r="F349" s="16"/>
      <c r="G349" s="16"/>
      <c r="H349" s="16"/>
      <c r="I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 spans="6:19" x14ac:dyDescent="0.2">
      <c r="F350" s="16"/>
      <c r="G350" s="16"/>
      <c r="H350" s="16"/>
      <c r="I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 spans="6:19" x14ac:dyDescent="0.2">
      <c r="F351" s="16"/>
      <c r="G351" s="16"/>
      <c r="H351" s="16"/>
      <c r="I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 spans="6:19" x14ac:dyDescent="0.2">
      <c r="F352" s="16"/>
      <c r="G352" s="16"/>
      <c r="H352" s="16"/>
      <c r="I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 spans="6:19" x14ac:dyDescent="0.2">
      <c r="F353" s="16"/>
      <c r="G353" s="16"/>
      <c r="H353" s="16"/>
      <c r="I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 spans="6:19" x14ac:dyDescent="0.2">
      <c r="F354" s="16"/>
      <c r="G354" s="16"/>
      <c r="H354" s="16"/>
      <c r="I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 spans="6:19" x14ac:dyDescent="0.2">
      <c r="F355" s="16"/>
      <c r="G355" s="16"/>
      <c r="H355" s="16"/>
      <c r="I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 spans="6:19" x14ac:dyDescent="0.2">
      <c r="F356" s="16"/>
      <c r="G356" s="16"/>
      <c r="H356" s="16"/>
      <c r="I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 spans="6:19" x14ac:dyDescent="0.2">
      <c r="F357" s="16"/>
      <c r="G357" s="16"/>
      <c r="H357" s="16"/>
      <c r="I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 spans="6:19" x14ac:dyDescent="0.2">
      <c r="F358" s="16"/>
      <c r="G358" s="16"/>
      <c r="H358" s="16"/>
      <c r="I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 spans="6:19" x14ac:dyDescent="0.2">
      <c r="F359" s="16"/>
      <c r="G359" s="16"/>
      <c r="H359" s="16"/>
      <c r="I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 spans="6:19" x14ac:dyDescent="0.2">
      <c r="F360" s="16"/>
      <c r="G360" s="16"/>
      <c r="H360" s="16"/>
      <c r="I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 spans="6:19" x14ac:dyDescent="0.2">
      <c r="F361" s="16"/>
      <c r="G361" s="16"/>
      <c r="H361" s="16"/>
      <c r="I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 spans="6:19" x14ac:dyDescent="0.2">
      <c r="F362" s="16"/>
      <c r="G362" s="16"/>
      <c r="H362" s="16"/>
      <c r="I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 spans="6:19" x14ac:dyDescent="0.2">
      <c r="F363" s="16"/>
      <c r="G363" s="16"/>
      <c r="H363" s="16"/>
      <c r="I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 spans="6:19" x14ac:dyDescent="0.2">
      <c r="F364" s="16"/>
      <c r="G364" s="16"/>
      <c r="H364" s="16"/>
      <c r="I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6:19" x14ac:dyDescent="0.2">
      <c r="F365" s="16"/>
      <c r="G365" s="16"/>
      <c r="H365" s="16"/>
      <c r="I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 spans="6:19" x14ac:dyDescent="0.2">
      <c r="F366" s="16"/>
      <c r="G366" s="16"/>
      <c r="H366" s="16"/>
      <c r="I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 spans="6:19" x14ac:dyDescent="0.2">
      <c r="F367" s="16"/>
      <c r="G367" s="16"/>
      <c r="H367" s="16"/>
      <c r="I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 spans="6:19" x14ac:dyDescent="0.2">
      <c r="F368" s="16"/>
      <c r="G368" s="16"/>
      <c r="H368" s="16"/>
      <c r="I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6:19" x14ac:dyDescent="0.2">
      <c r="F369" s="16"/>
      <c r="G369" s="16"/>
      <c r="H369" s="16"/>
      <c r="I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 spans="6:19" x14ac:dyDescent="0.2">
      <c r="F370" s="16"/>
      <c r="G370" s="16"/>
      <c r="H370" s="16"/>
      <c r="I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 spans="6:19" x14ac:dyDescent="0.2">
      <c r="F371" s="16"/>
      <c r="G371" s="16"/>
      <c r="H371" s="16"/>
      <c r="I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 spans="6:19" x14ac:dyDescent="0.2">
      <c r="F372" s="16"/>
      <c r="G372" s="16"/>
      <c r="H372" s="16"/>
      <c r="I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 spans="6:19" x14ac:dyDescent="0.2">
      <c r="F373" s="16"/>
      <c r="G373" s="16"/>
      <c r="H373" s="16"/>
      <c r="I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spans="6:19" x14ac:dyDescent="0.2">
      <c r="F374" s="16"/>
      <c r="G374" s="16"/>
      <c r="H374" s="16"/>
      <c r="I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 spans="6:19" x14ac:dyDescent="0.2">
      <c r="F375" s="16"/>
      <c r="G375" s="16"/>
      <c r="H375" s="16"/>
      <c r="I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spans="6:19" x14ac:dyDescent="0.2">
      <c r="F376" s="16"/>
      <c r="G376" s="16"/>
      <c r="H376" s="16"/>
      <c r="I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 spans="6:19" x14ac:dyDescent="0.2">
      <c r="F377" s="16"/>
      <c r="G377" s="16"/>
      <c r="H377" s="16"/>
      <c r="I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 spans="6:19" x14ac:dyDescent="0.2">
      <c r="F378" s="16"/>
      <c r="G378" s="16"/>
      <c r="H378" s="16"/>
      <c r="I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 spans="6:19" x14ac:dyDescent="0.2">
      <c r="F379" s="16"/>
      <c r="G379" s="16"/>
      <c r="H379" s="16"/>
      <c r="I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 spans="6:19" x14ac:dyDescent="0.2">
      <c r="F380" s="16"/>
      <c r="G380" s="16"/>
      <c r="H380" s="16"/>
      <c r="I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 spans="6:19" x14ac:dyDescent="0.2">
      <c r="F381" s="16"/>
      <c r="G381" s="16"/>
      <c r="H381" s="16"/>
      <c r="I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 spans="6:19" x14ac:dyDescent="0.2">
      <c r="F382" s="16"/>
      <c r="G382" s="16"/>
      <c r="H382" s="16"/>
      <c r="I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 spans="6:19" x14ac:dyDescent="0.2">
      <c r="F383" s="16"/>
      <c r="G383" s="16"/>
      <c r="H383" s="16"/>
      <c r="I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 spans="6:19" x14ac:dyDescent="0.2">
      <c r="F384" s="16"/>
      <c r="G384" s="16"/>
      <c r="H384" s="16"/>
      <c r="I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 spans="6:19" x14ac:dyDescent="0.2">
      <c r="F385" s="16"/>
      <c r="G385" s="16"/>
      <c r="H385" s="16"/>
      <c r="I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 spans="6:19" x14ac:dyDescent="0.2">
      <c r="F386" s="16"/>
      <c r="G386" s="16"/>
      <c r="H386" s="16"/>
      <c r="I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 spans="6:19" x14ac:dyDescent="0.2">
      <c r="F387" s="16"/>
      <c r="G387" s="16"/>
      <c r="H387" s="16"/>
      <c r="I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 spans="6:19" x14ac:dyDescent="0.2">
      <c r="F388" s="16"/>
      <c r="G388" s="16"/>
      <c r="H388" s="16"/>
      <c r="I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 spans="6:19" x14ac:dyDescent="0.2">
      <c r="F389" s="16"/>
      <c r="G389" s="16"/>
      <c r="H389" s="16"/>
      <c r="I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 spans="6:19" x14ac:dyDescent="0.2">
      <c r="F390" s="16"/>
      <c r="G390" s="16"/>
      <c r="H390" s="16"/>
      <c r="I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6:19" x14ac:dyDescent="0.2">
      <c r="F391" s="16"/>
      <c r="G391" s="16"/>
      <c r="H391" s="16"/>
      <c r="I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 spans="6:19" x14ac:dyDescent="0.2">
      <c r="F392" s="16"/>
      <c r="G392" s="16"/>
      <c r="H392" s="16"/>
      <c r="I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6:19" x14ac:dyDescent="0.2">
      <c r="F393" s="16"/>
      <c r="G393" s="16"/>
      <c r="H393" s="16"/>
      <c r="I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spans="6:19" x14ac:dyDescent="0.2">
      <c r="F394" s="16"/>
      <c r="G394" s="16"/>
      <c r="H394" s="16"/>
      <c r="I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 spans="6:19" x14ac:dyDescent="0.2">
      <c r="F395" s="16"/>
      <c r="G395" s="16"/>
      <c r="H395" s="16"/>
      <c r="I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spans="6:19" x14ac:dyDescent="0.2">
      <c r="F396" s="16"/>
      <c r="G396" s="16"/>
      <c r="H396" s="16"/>
      <c r="I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 spans="6:19" x14ac:dyDescent="0.2">
      <c r="F397" s="16"/>
      <c r="G397" s="16"/>
      <c r="H397" s="16"/>
      <c r="I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spans="6:19" x14ac:dyDescent="0.2">
      <c r="F398" s="16"/>
      <c r="G398" s="16"/>
      <c r="H398" s="16"/>
      <c r="I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 spans="6:19" x14ac:dyDescent="0.2">
      <c r="F399" s="16"/>
      <c r="G399" s="16"/>
      <c r="H399" s="16"/>
      <c r="I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 spans="6:19" x14ac:dyDescent="0.2">
      <c r="F400" s="16"/>
      <c r="G400" s="16"/>
      <c r="H400" s="16"/>
      <c r="I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 spans="6:19" x14ac:dyDescent="0.2">
      <c r="F401" s="16"/>
      <c r="G401" s="16"/>
      <c r="H401" s="16"/>
      <c r="I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6:19" x14ac:dyDescent="0.2">
      <c r="F402" s="16"/>
      <c r="G402" s="16"/>
      <c r="H402" s="16"/>
      <c r="I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 spans="6:19" x14ac:dyDescent="0.2">
      <c r="F403" s="16"/>
      <c r="G403" s="16"/>
      <c r="H403" s="16"/>
      <c r="I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 spans="6:19" x14ac:dyDescent="0.2">
      <c r="F404" s="16"/>
      <c r="G404" s="16"/>
      <c r="H404" s="16"/>
      <c r="I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 spans="6:19" x14ac:dyDescent="0.2">
      <c r="F405" s="16"/>
      <c r="G405" s="16"/>
      <c r="H405" s="16"/>
      <c r="I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6:19" x14ac:dyDescent="0.2">
      <c r="F406" s="16"/>
      <c r="G406" s="16"/>
      <c r="H406" s="16"/>
      <c r="I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6:19" x14ac:dyDescent="0.2">
      <c r="F407" s="16"/>
      <c r="G407" s="16"/>
      <c r="H407" s="16"/>
      <c r="I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6:19" x14ac:dyDescent="0.2">
      <c r="F408" s="16"/>
      <c r="G408" s="16"/>
      <c r="H408" s="16"/>
      <c r="I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6:19" x14ac:dyDescent="0.2">
      <c r="F409" s="16"/>
      <c r="G409" s="16"/>
      <c r="H409" s="16"/>
      <c r="I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6:19" x14ac:dyDescent="0.2">
      <c r="F410" s="16"/>
      <c r="G410" s="16"/>
      <c r="H410" s="16"/>
      <c r="I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6:19" x14ac:dyDescent="0.2">
      <c r="F411" s="16"/>
      <c r="G411" s="16"/>
      <c r="H411" s="16"/>
      <c r="I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6:19" x14ac:dyDescent="0.2">
      <c r="F412" s="16"/>
      <c r="G412" s="16"/>
      <c r="H412" s="16"/>
      <c r="I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 spans="6:19" x14ac:dyDescent="0.2">
      <c r="F413" s="16"/>
      <c r="G413" s="16"/>
      <c r="H413" s="16"/>
      <c r="I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spans="6:19" x14ac:dyDescent="0.2">
      <c r="F414" s="16"/>
      <c r="G414" s="16"/>
      <c r="H414" s="16"/>
      <c r="I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6:19" x14ac:dyDescent="0.2">
      <c r="F415" s="16"/>
      <c r="G415" s="16"/>
      <c r="H415" s="16"/>
      <c r="I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spans="6:19" x14ac:dyDescent="0.2">
      <c r="F416" s="16"/>
      <c r="G416" s="16"/>
      <c r="H416" s="16"/>
      <c r="I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 spans="6:19" x14ac:dyDescent="0.2">
      <c r="F417" s="16"/>
      <c r="G417" s="16"/>
      <c r="H417" s="16"/>
      <c r="I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 spans="6:19" x14ac:dyDescent="0.2">
      <c r="F418" s="16"/>
      <c r="G418" s="16"/>
      <c r="H418" s="16"/>
      <c r="I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 spans="6:19" x14ac:dyDescent="0.2">
      <c r="F419" s="16"/>
      <c r="G419" s="16"/>
      <c r="H419" s="16"/>
      <c r="I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spans="6:19" x14ac:dyDescent="0.2">
      <c r="F420" s="16"/>
      <c r="G420" s="16"/>
      <c r="H420" s="16"/>
      <c r="I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 spans="6:19" x14ac:dyDescent="0.2">
      <c r="F421" s="16"/>
      <c r="G421" s="16"/>
      <c r="H421" s="16"/>
      <c r="I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 spans="6:19" x14ac:dyDescent="0.2">
      <c r="F422" s="16"/>
      <c r="G422" s="16"/>
      <c r="H422" s="16"/>
      <c r="I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 spans="6:19" x14ac:dyDescent="0.2">
      <c r="F423" s="16"/>
      <c r="G423" s="16"/>
      <c r="H423" s="16"/>
      <c r="I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 spans="6:19" x14ac:dyDescent="0.2">
      <c r="F424" s="16"/>
      <c r="G424" s="16"/>
      <c r="H424" s="16"/>
      <c r="I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 spans="6:19" x14ac:dyDescent="0.2">
      <c r="F425" s="16"/>
      <c r="G425" s="16"/>
      <c r="H425" s="16"/>
      <c r="I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 spans="6:19" x14ac:dyDescent="0.2">
      <c r="F426" s="16"/>
      <c r="G426" s="16"/>
      <c r="H426" s="16"/>
      <c r="I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 spans="6:19" x14ac:dyDescent="0.2">
      <c r="F427" s="16"/>
      <c r="G427" s="16"/>
      <c r="H427" s="16"/>
      <c r="I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 spans="6:19" x14ac:dyDescent="0.2">
      <c r="F428" s="16"/>
      <c r="G428" s="16"/>
      <c r="H428" s="16"/>
      <c r="I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 spans="6:19" x14ac:dyDescent="0.2">
      <c r="F429" s="16"/>
      <c r="G429" s="16"/>
      <c r="H429" s="16"/>
      <c r="I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 spans="6:19" x14ac:dyDescent="0.2">
      <c r="F430" s="16"/>
      <c r="G430" s="16"/>
      <c r="H430" s="16"/>
      <c r="I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 spans="6:19" x14ac:dyDescent="0.2">
      <c r="F431" s="16"/>
      <c r="G431" s="16"/>
      <c r="H431" s="16"/>
      <c r="I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 spans="6:19" x14ac:dyDescent="0.2">
      <c r="F432" s="16"/>
      <c r="G432" s="16"/>
      <c r="H432" s="16"/>
      <c r="I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 spans="6:19" x14ac:dyDescent="0.2">
      <c r="F433" s="16"/>
      <c r="G433" s="16"/>
      <c r="H433" s="16"/>
      <c r="I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 spans="6:19" x14ac:dyDescent="0.2">
      <c r="F434" s="16"/>
      <c r="G434" s="16"/>
      <c r="H434" s="16"/>
      <c r="I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 spans="6:19" x14ac:dyDescent="0.2">
      <c r="F435" s="16"/>
      <c r="G435" s="16"/>
      <c r="H435" s="16"/>
      <c r="I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 spans="6:19" x14ac:dyDescent="0.2">
      <c r="F436" s="16"/>
      <c r="G436" s="16"/>
      <c r="H436" s="16"/>
      <c r="I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 spans="6:19" x14ac:dyDescent="0.2">
      <c r="F437" s="16"/>
      <c r="G437" s="16"/>
      <c r="H437" s="16"/>
      <c r="I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 spans="6:19" x14ac:dyDescent="0.2">
      <c r="F438" s="16"/>
      <c r="G438" s="16"/>
      <c r="H438" s="16"/>
      <c r="I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 spans="6:19" x14ac:dyDescent="0.2">
      <c r="F439" s="16"/>
      <c r="G439" s="16"/>
      <c r="H439" s="16"/>
      <c r="I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 spans="6:19" x14ac:dyDescent="0.2">
      <c r="F440" s="16"/>
      <c r="G440" s="16"/>
      <c r="H440" s="16"/>
      <c r="I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 spans="6:19" x14ac:dyDescent="0.2">
      <c r="F441" s="16"/>
      <c r="G441" s="16"/>
      <c r="H441" s="16"/>
      <c r="I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 spans="6:19" x14ac:dyDescent="0.2">
      <c r="F442" s="16"/>
      <c r="G442" s="16"/>
      <c r="H442" s="16"/>
      <c r="I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 spans="6:19" x14ac:dyDescent="0.2">
      <c r="F443" s="16"/>
      <c r="G443" s="16"/>
      <c r="H443" s="16"/>
      <c r="I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 spans="6:19" x14ac:dyDescent="0.2">
      <c r="F444" s="16"/>
      <c r="G444" s="16"/>
      <c r="H444" s="16"/>
      <c r="I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 spans="6:19" x14ac:dyDescent="0.2">
      <c r="F445" s="16"/>
      <c r="G445" s="16"/>
      <c r="H445" s="16"/>
      <c r="I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 spans="6:19" x14ac:dyDescent="0.2">
      <c r="F446" s="16"/>
      <c r="G446" s="16"/>
      <c r="H446" s="16"/>
      <c r="I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 spans="6:19" x14ac:dyDescent="0.2">
      <c r="F447" s="16"/>
      <c r="G447" s="16"/>
      <c r="H447" s="16"/>
      <c r="I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 spans="6:19" x14ac:dyDescent="0.2">
      <c r="F448" s="16"/>
      <c r="G448" s="16"/>
      <c r="H448" s="16"/>
      <c r="I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 spans="6:19" x14ac:dyDescent="0.2">
      <c r="F449" s="16"/>
      <c r="G449" s="16"/>
      <c r="H449" s="16"/>
      <c r="I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6:19" x14ac:dyDescent="0.2">
      <c r="F450" s="16"/>
      <c r="G450" s="16"/>
      <c r="H450" s="16"/>
      <c r="I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 spans="6:19" x14ac:dyDescent="0.2">
      <c r="F451" s="16"/>
      <c r="G451" s="16"/>
      <c r="H451" s="16"/>
      <c r="I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 spans="6:19" x14ac:dyDescent="0.2">
      <c r="F452" s="16"/>
      <c r="G452" s="16"/>
      <c r="H452" s="16"/>
      <c r="I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 spans="6:19" x14ac:dyDescent="0.2">
      <c r="F453" s="16"/>
      <c r="G453" s="16"/>
      <c r="H453" s="16"/>
      <c r="I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 spans="6:19" x14ac:dyDescent="0.2">
      <c r="F454" s="16"/>
      <c r="G454" s="16"/>
      <c r="H454" s="16"/>
      <c r="I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 spans="6:19" x14ac:dyDescent="0.2">
      <c r="F455" s="16"/>
      <c r="G455" s="16"/>
      <c r="H455" s="16"/>
      <c r="I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 spans="6:19" x14ac:dyDescent="0.2">
      <c r="F456" s="16"/>
      <c r="G456" s="16"/>
      <c r="H456" s="16"/>
      <c r="I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 spans="6:19" x14ac:dyDescent="0.2">
      <c r="F457" s="16"/>
      <c r="G457" s="16"/>
      <c r="H457" s="16"/>
      <c r="I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 spans="6:19" x14ac:dyDescent="0.2">
      <c r="F458" s="16"/>
      <c r="G458" s="16"/>
      <c r="H458" s="16"/>
      <c r="I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 spans="6:19" x14ac:dyDescent="0.2">
      <c r="F459" s="16"/>
      <c r="G459" s="16"/>
      <c r="H459" s="16"/>
      <c r="I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 spans="6:19" x14ac:dyDescent="0.2">
      <c r="F460" s="16"/>
      <c r="G460" s="16"/>
      <c r="H460" s="16"/>
      <c r="I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 spans="6:19" x14ac:dyDescent="0.2">
      <c r="F461" s="16"/>
      <c r="G461" s="16"/>
      <c r="H461" s="16"/>
      <c r="I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 spans="6:19" x14ac:dyDescent="0.2">
      <c r="F462" s="16"/>
      <c r="G462" s="16"/>
      <c r="H462" s="16"/>
      <c r="I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 spans="6:19" x14ac:dyDescent="0.2">
      <c r="F463" s="16"/>
      <c r="G463" s="16"/>
      <c r="H463" s="16"/>
      <c r="I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 spans="6:19" x14ac:dyDescent="0.2">
      <c r="F464" s="16"/>
      <c r="G464" s="16"/>
      <c r="H464" s="16"/>
      <c r="I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 spans="6:19" x14ac:dyDescent="0.2">
      <c r="F465" s="16"/>
      <c r="G465" s="16"/>
      <c r="H465" s="16"/>
      <c r="I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 spans="6:19" x14ac:dyDescent="0.2">
      <c r="F466" s="16"/>
      <c r="G466" s="16"/>
      <c r="H466" s="16"/>
      <c r="I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 spans="6:19" x14ac:dyDescent="0.2">
      <c r="F467" s="16"/>
      <c r="G467" s="16"/>
      <c r="H467" s="16"/>
      <c r="I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 spans="6:19" x14ac:dyDescent="0.2">
      <c r="F468" s="16"/>
      <c r="G468" s="16"/>
      <c r="H468" s="16"/>
      <c r="I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 spans="6:19" x14ac:dyDescent="0.2">
      <c r="F469" s="16"/>
      <c r="G469" s="16"/>
      <c r="H469" s="16"/>
      <c r="I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 spans="6:19" x14ac:dyDescent="0.2">
      <c r="F470" s="16"/>
      <c r="G470" s="16"/>
      <c r="H470" s="16"/>
      <c r="I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 spans="6:19" x14ac:dyDescent="0.2">
      <c r="F471" s="16"/>
      <c r="G471" s="16"/>
      <c r="H471" s="16"/>
      <c r="I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 spans="6:19" x14ac:dyDescent="0.2">
      <c r="F472" s="16"/>
      <c r="G472" s="16"/>
      <c r="H472" s="16"/>
      <c r="I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 spans="6:19" x14ac:dyDescent="0.2">
      <c r="F473" s="16"/>
      <c r="G473" s="16"/>
      <c r="H473" s="16"/>
      <c r="I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 spans="6:19" x14ac:dyDescent="0.2">
      <c r="F474" s="16"/>
      <c r="G474" s="16"/>
      <c r="H474" s="16"/>
      <c r="I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 spans="6:19" x14ac:dyDescent="0.2">
      <c r="F475" s="16"/>
      <c r="G475" s="16"/>
      <c r="H475" s="16"/>
      <c r="I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 spans="6:19" x14ac:dyDescent="0.2">
      <c r="F476" s="16"/>
      <c r="G476" s="16"/>
      <c r="H476" s="16"/>
      <c r="I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 spans="6:19" x14ac:dyDescent="0.2">
      <c r="F477" s="16"/>
      <c r="G477" s="16"/>
      <c r="H477" s="16"/>
      <c r="I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 spans="6:19" x14ac:dyDescent="0.2">
      <c r="F478" s="16"/>
      <c r="G478" s="16"/>
      <c r="H478" s="16"/>
      <c r="I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 spans="6:19" x14ac:dyDescent="0.2">
      <c r="F479" s="16"/>
      <c r="G479" s="16"/>
      <c r="H479" s="16"/>
      <c r="I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 spans="6:19" x14ac:dyDescent="0.2">
      <c r="F480" s="16"/>
      <c r="G480" s="16"/>
      <c r="H480" s="16"/>
      <c r="I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 spans="6:19" x14ac:dyDescent="0.2">
      <c r="F481" s="16"/>
      <c r="G481" s="16"/>
      <c r="H481" s="16"/>
      <c r="I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6:19" x14ac:dyDescent="0.2">
      <c r="F482" s="16"/>
      <c r="G482" s="16"/>
      <c r="H482" s="16"/>
      <c r="I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 spans="6:19" x14ac:dyDescent="0.2">
      <c r="F483" s="16"/>
      <c r="G483" s="16"/>
      <c r="H483" s="16"/>
      <c r="I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 spans="6:19" x14ac:dyDescent="0.2">
      <c r="F484" s="16"/>
      <c r="G484" s="16"/>
      <c r="H484" s="16"/>
      <c r="I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 spans="6:19" x14ac:dyDescent="0.2">
      <c r="F485" s="16"/>
      <c r="G485" s="16"/>
      <c r="H485" s="16"/>
      <c r="I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 spans="6:19" x14ac:dyDescent="0.2">
      <c r="F486" s="16"/>
      <c r="G486" s="16"/>
      <c r="H486" s="16"/>
      <c r="I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 spans="6:19" x14ac:dyDescent="0.2">
      <c r="F487" s="16"/>
      <c r="G487" s="16"/>
      <c r="H487" s="16"/>
      <c r="I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 spans="6:19" x14ac:dyDescent="0.2">
      <c r="F488" s="16"/>
      <c r="G488" s="16"/>
      <c r="H488" s="16"/>
      <c r="I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 spans="6:19" x14ac:dyDescent="0.2">
      <c r="F489" s="16"/>
      <c r="G489" s="16"/>
      <c r="H489" s="16"/>
      <c r="I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 spans="6:19" x14ac:dyDescent="0.2">
      <c r="F490" s="16"/>
      <c r="G490" s="16"/>
      <c r="H490" s="16"/>
      <c r="I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 spans="6:19" x14ac:dyDescent="0.2">
      <c r="F491" s="16"/>
      <c r="G491" s="16"/>
      <c r="H491" s="16"/>
      <c r="I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 spans="6:19" x14ac:dyDescent="0.2">
      <c r="F492" s="16"/>
      <c r="G492" s="16"/>
      <c r="H492" s="16"/>
      <c r="I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 spans="6:19" x14ac:dyDescent="0.2">
      <c r="F493" s="16"/>
      <c r="G493" s="16"/>
      <c r="H493" s="16"/>
      <c r="I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 spans="6:19" x14ac:dyDescent="0.2">
      <c r="F494" s="16"/>
      <c r="G494" s="16"/>
      <c r="H494" s="16"/>
      <c r="I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 spans="6:19" x14ac:dyDescent="0.2">
      <c r="F495" s="16"/>
      <c r="G495" s="16"/>
      <c r="H495" s="16"/>
      <c r="I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 spans="6:19" x14ac:dyDescent="0.2">
      <c r="F496" s="16"/>
      <c r="G496" s="16"/>
      <c r="H496" s="16"/>
      <c r="I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 spans="6:19" x14ac:dyDescent="0.2">
      <c r="F497" s="16"/>
      <c r="G497" s="16"/>
      <c r="H497" s="16"/>
      <c r="I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 spans="6:19" x14ac:dyDescent="0.2">
      <c r="F498" s="16"/>
      <c r="G498" s="16"/>
      <c r="H498" s="16"/>
      <c r="I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 spans="6:19" x14ac:dyDescent="0.2">
      <c r="F499" s="16"/>
      <c r="G499" s="16"/>
      <c r="H499" s="16"/>
      <c r="I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 spans="6:19" x14ac:dyDescent="0.2">
      <c r="F500" s="16"/>
      <c r="G500" s="16"/>
      <c r="H500" s="16"/>
      <c r="I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 spans="6:19" x14ac:dyDescent="0.2">
      <c r="F501" s="16"/>
      <c r="G501" s="16"/>
      <c r="H501" s="16"/>
      <c r="I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 spans="6:19" x14ac:dyDescent="0.2">
      <c r="F502" s="16"/>
      <c r="G502" s="16"/>
      <c r="H502" s="16"/>
      <c r="I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 spans="6:19" x14ac:dyDescent="0.2">
      <c r="F503" s="16"/>
      <c r="G503" s="16"/>
      <c r="H503" s="16"/>
      <c r="I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 spans="6:19" x14ac:dyDescent="0.2">
      <c r="F504" s="16"/>
      <c r="G504" s="16"/>
      <c r="H504" s="16"/>
      <c r="I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 spans="6:19" x14ac:dyDescent="0.2">
      <c r="F505" s="16"/>
      <c r="G505" s="16"/>
      <c r="H505" s="16"/>
      <c r="I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 spans="6:19" x14ac:dyDescent="0.2">
      <c r="F506" s="16"/>
      <c r="G506" s="16"/>
      <c r="H506" s="16"/>
      <c r="I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 spans="6:19" x14ac:dyDescent="0.2">
      <c r="F507" s="16"/>
      <c r="G507" s="16"/>
      <c r="H507" s="16"/>
      <c r="I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 spans="6:19" x14ac:dyDescent="0.2">
      <c r="F508" s="16"/>
      <c r="G508" s="16"/>
      <c r="H508" s="16"/>
      <c r="I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 spans="6:19" x14ac:dyDescent="0.2">
      <c r="F509" s="16"/>
      <c r="G509" s="16"/>
      <c r="H509" s="16"/>
      <c r="I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 spans="6:19" x14ac:dyDescent="0.2">
      <c r="F510" s="16"/>
      <c r="G510" s="16"/>
      <c r="H510" s="16"/>
      <c r="I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 spans="6:19" x14ac:dyDescent="0.2">
      <c r="F511" s="16"/>
      <c r="G511" s="16"/>
      <c r="H511" s="16"/>
      <c r="I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 spans="6:19" x14ac:dyDescent="0.2">
      <c r="F512" s="16"/>
      <c r="G512" s="16"/>
      <c r="H512" s="16"/>
      <c r="I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 spans="6:19" x14ac:dyDescent="0.2">
      <c r="F513" s="16"/>
      <c r="G513" s="16"/>
      <c r="H513" s="16"/>
      <c r="I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 spans="6:19" x14ac:dyDescent="0.2">
      <c r="F514" s="16"/>
      <c r="G514" s="16"/>
      <c r="H514" s="16"/>
      <c r="I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 spans="6:19" x14ac:dyDescent="0.2">
      <c r="F515" s="16"/>
      <c r="G515" s="16"/>
      <c r="H515" s="16"/>
      <c r="I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 spans="6:19" x14ac:dyDescent="0.2">
      <c r="F516" s="16"/>
      <c r="G516" s="16"/>
      <c r="H516" s="16"/>
      <c r="I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 spans="6:19" x14ac:dyDescent="0.2">
      <c r="F517" s="16"/>
      <c r="G517" s="16"/>
      <c r="H517" s="16"/>
      <c r="I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 spans="6:19" x14ac:dyDescent="0.2">
      <c r="F518" s="16"/>
      <c r="G518" s="16"/>
      <c r="H518" s="16"/>
      <c r="I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 spans="6:19" x14ac:dyDescent="0.2">
      <c r="F519" s="16"/>
      <c r="G519" s="16"/>
      <c r="H519" s="16"/>
      <c r="I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 spans="6:19" x14ac:dyDescent="0.2">
      <c r="F520" s="16"/>
      <c r="G520" s="16"/>
      <c r="H520" s="16"/>
      <c r="I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 spans="6:19" x14ac:dyDescent="0.2">
      <c r="F521" s="16"/>
      <c r="G521" s="16"/>
      <c r="H521" s="16"/>
      <c r="I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 spans="6:19" x14ac:dyDescent="0.2">
      <c r="F522" s="16"/>
      <c r="G522" s="16"/>
      <c r="H522" s="16"/>
      <c r="I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 spans="6:19" x14ac:dyDescent="0.2">
      <c r="F523" s="16"/>
      <c r="G523" s="16"/>
      <c r="H523" s="16"/>
      <c r="I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 spans="6:19" x14ac:dyDescent="0.2">
      <c r="F524" s="16"/>
      <c r="G524" s="16"/>
      <c r="H524" s="16"/>
      <c r="I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 spans="6:19" x14ac:dyDescent="0.2">
      <c r="F525" s="16"/>
      <c r="G525" s="16"/>
      <c r="H525" s="16"/>
      <c r="I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 spans="6:19" x14ac:dyDescent="0.2">
      <c r="F526" s="16"/>
      <c r="G526" s="16"/>
      <c r="H526" s="16"/>
      <c r="I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 spans="6:19" x14ac:dyDescent="0.2">
      <c r="F527" s="16"/>
      <c r="G527" s="16"/>
      <c r="H527" s="16"/>
      <c r="I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 spans="6:19" x14ac:dyDescent="0.2">
      <c r="F528" s="16"/>
      <c r="G528" s="16"/>
      <c r="H528" s="16"/>
      <c r="I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 spans="6:19" x14ac:dyDescent="0.2">
      <c r="F529" s="16"/>
      <c r="G529" s="16"/>
      <c r="H529" s="16"/>
      <c r="I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 spans="6:19" x14ac:dyDescent="0.2">
      <c r="F530" s="16"/>
      <c r="G530" s="16"/>
      <c r="H530" s="16"/>
      <c r="I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 spans="6:19" x14ac:dyDescent="0.2">
      <c r="F531" s="16"/>
      <c r="G531" s="16"/>
      <c r="H531" s="16"/>
      <c r="I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 spans="6:19" x14ac:dyDescent="0.2">
      <c r="F532" s="16"/>
      <c r="G532" s="16"/>
      <c r="H532" s="16"/>
      <c r="I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 spans="6:19" x14ac:dyDescent="0.2">
      <c r="F533" s="16"/>
      <c r="G533" s="16"/>
      <c r="H533" s="16"/>
      <c r="I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 spans="6:19" x14ac:dyDescent="0.2">
      <c r="F534" s="16"/>
      <c r="G534" s="16"/>
      <c r="H534" s="16"/>
      <c r="I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 spans="6:19" x14ac:dyDescent="0.2">
      <c r="F535" s="16"/>
      <c r="G535" s="16"/>
      <c r="H535" s="16"/>
      <c r="I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 spans="6:19" x14ac:dyDescent="0.2">
      <c r="F536" s="16"/>
      <c r="G536" s="16"/>
      <c r="H536" s="16"/>
      <c r="I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 spans="6:19" x14ac:dyDescent="0.2">
      <c r="F537" s="16"/>
      <c r="G537" s="16"/>
      <c r="H537" s="16"/>
      <c r="I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 spans="6:19" x14ac:dyDescent="0.2">
      <c r="F538" s="16"/>
      <c r="G538" s="16"/>
      <c r="H538" s="16"/>
      <c r="I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 spans="6:19" x14ac:dyDescent="0.2">
      <c r="F539" s="16"/>
      <c r="G539" s="16"/>
      <c r="H539" s="16"/>
      <c r="I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 spans="6:19" x14ac:dyDescent="0.2">
      <c r="F540" s="16"/>
      <c r="G540" s="16"/>
      <c r="H540" s="16"/>
      <c r="I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 spans="6:19" x14ac:dyDescent="0.2">
      <c r="F541" s="16"/>
      <c r="G541" s="16"/>
      <c r="H541" s="16"/>
      <c r="I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 spans="6:19" x14ac:dyDescent="0.2">
      <c r="F542" s="16"/>
      <c r="G542" s="16"/>
      <c r="H542" s="16"/>
      <c r="I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 spans="6:19" x14ac:dyDescent="0.2">
      <c r="F543" s="16"/>
      <c r="G543" s="16"/>
      <c r="H543" s="16"/>
      <c r="I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 spans="6:19" x14ac:dyDescent="0.2">
      <c r="F544" s="16"/>
      <c r="G544" s="16"/>
      <c r="H544" s="16"/>
      <c r="I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 spans="6:19" x14ac:dyDescent="0.2">
      <c r="F545" s="16"/>
      <c r="G545" s="16"/>
      <c r="H545" s="16"/>
      <c r="I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 spans="6:19" x14ac:dyDescent="0.2">
      <c r="F546" s="16"/>
      <c r="G546" s="16"/>
      <c r="H546" s="16"/>
      <c r="I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 spans="6:19" x14ac:dyDescent="0.2">
      <c r="F547" s="16"/>
      <c r="G547" s="16"/>
      <c r="H547" s="16"/>
      <c r="I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 spans="6:19" x14ac:dyDescent="0.2">
      <c r="F548" s="16"/>
      <c r="G548" s="16"/>
      <c r="H548" s="16"/>
      <c r="I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 spans="6:19" x14ac:dyDescent="0.2">
      <c r="F549" s="16"/>
      <c r="G549" s="16"/>
      <c r="H549" s="16"/>
      <c r="I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 spans="6:19" x14ac:dyDescent="0.2">
      <c r="F550" s="16"/>
      <c r="G550" s="16"/>
      <c r="H550" s="16"/>
      <c r="I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 spans="6:19" x14ac:dyDescent="0.2">
      <c r="F551" s="16"/>
      <c r="G551" s="16"/>
      <c r="H551" s="16"/>
      <c r="I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 spans="6:19" x14ac:dyDescent="0.2">
      <c r="F552" s="16"/>
      <c r="G552" s="16"/>
      <c r="H552" s="16"/>
      <c r="I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 spans="6:19" x14ac:dyDescent="0.2">
      <c r="F553" s="16"/>
      <c r="G553" s="16"/>
      <c r="H553" s="16"/>
      <c r="I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 spans="6:19" x14ac:dyDescent="0.2">
      <c r="F554" s="16"/>
      <c r="G554" s="16"/>
      <c r="H554" s="16"/>
      <c r="I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 spans="6:19" x14ac:dyDescent="0.2">
      <c r="F555" s="16"/>
      <c r="G555" s="16"/>
      <c r="H555" s="16"/>
      <c r="I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 spans="6:19" x14ac:dyDescent="0.2">
      <c r="F556" s="16"/>
      <c r="G556" s="16"/>
      <c r="H556" s="16"/>
      <c r="I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 spans="6:19" x14ac:dyDescent="0.2">
      <c r="F557" s="16"/>
      <c r="G557" s="16"/>
      <c r="H557" s="16"/>
      <c r="I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 spans="6:19" x14ac:dyDescent="0.2">
      <c r="F558" s="16"/>
      <c r="G558" s="16"/>
      <c r="H558" s="16"/>
      <c r="I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 spans="6:19" x14ac:dyDescent="0.2">
      <c r="F559" s="16"/>
      <c r="G559" s="16"/>
      <c r="H559" s="16"/>
      <c r="I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 spans="6:19" x14ac:dyDescent="0.2">
      <c r="F560" s="16"/>
      <c r="G560" s="16"/>
      <c r="H560" s="16"/>
      <c r="I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 spans="6:19" x14ac:dyDescent="0.2">
      <c r="F561" s="16"/>
      <c r="G561" s="16"/>
      <c r="H561" s="16"/>
      <c r="I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 spans="6:19" x14ac:dyDescent="0.2">
      <c r="F562" s="16"/>
      <c r="G562" s="16"/>
      <c r="H562" s="16"/>
      <c r="I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 spans="6:19" x14ac:dyDescent="0.2">
      <c r="F563" s="16"/>
      <c r="G563" s="16"/>
      <c r="H563" s="16"/>
      <c r="I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 spans="6:19" x14ac:dyDescent="0.2">
      <c r="F564" s="16"/>
      <c r="G564" s="16"/>
      <c r="H564" s="16"/>
      <c r="I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 spans="6:19" x14ac:dyDescent="0.2">
      <c r="F565" s="16"/>
      <c r="G565" s="16"/>
      <c r="H565" s="16"/>
      <c r="I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 spans="6:19" x14ac:dyDescent="0.2">
      <c r="F566" s="16"/>
      <c r="G566" s="16"/>
      <c r="H566" s="16"/>
      <c r="I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 spans="6:19" x14ac:dyDescent="0.2">
      <c r="F567" s="16"/>
      <c r="G567" s="16"/>
      <c r="H567" s="16"/>
      <c r="I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 spans="6:19" x14ac:dyDescent="0.2">
      <c r="F568" s="16"/>
      <c r="G568" s="16"/>
      <c r="H568" s="16"/>
      <c r="I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 spans="6:19" x14ac:dyDescent="0.2">
      <c r="F569" s="16"/>
      <c r="G569" s="16"/>
      <c r="H569" s="16"/>
      <c r="I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 spans="6:19" x14ac:dyDescent="0.2">
      <c r="F570" s="16"/>
      <c r="G570" s="16"/>
      <c r="H570" s="16"/>
      <c r="I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 spans="6:19" x14ac:dyDescent="0.2">
      <c r="F571" s="16"/>
      <c r="G571" s="16"/>
      <c r="H571" s="16"/>
      <c r="I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 spans="6:19" x14ac:dyDescent="0.2">
      <c r="F572" s="16"/>
      <c r="G572" s="16"/>
      <c r="H572" s="16"/>
      <c r="I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 spans="6:19" x14ac:dyDescent="0.2">
      <c r="F573" s="16"/>
      <c r="G573" s="16"/>
      <c r="H573" s="16"/>
      <c r="I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 spans="6:19" x14ac:dyDescent="0.2">
      <c r="F574" s="16"/>
      <c r="G574" s="16"/>
      <c r="H574" s="16"/>
      <c r="I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 spans="6:19" x14ac:dyDescent="0.2">
      <c r="F575" s="16"/>
      <c r="G575" s="16"/>
      <c r="H575" s="16"/>
      <c r="I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 spans="6:19" x14ac:dyDescent="0.2">
      <c r="F576" s="16"/>
      <c r="G576" s="16"/>
      <c r="H576" s="16"/>
      <c r="I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 spans="6:19" x14ac:dyDescent="0.2">
      <c r="F577" s="16"/>
      <c r="G577" s="16"/>
      <c r="H577" s="16"/>
      <c r="I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 spans="6:19" x14ac:dyDescent="0.2">
      <c r="F578" s="16"/>
      <c r="G578" s="16"/>
      <c r="H578" s="16"/>
      <c r="I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 spans="6:19" x14ac:dyDescent="0.2">
      <c r="F579" s="16"/>
      <c r="G579" s="16"/>
      <c r="H579" s="16"/>
      <c r="I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 spans="6:19" x14ac:dyDescent="0.2">
      <c r="F580" s="16"/>
      <c r="G580" s="16"/>
      <c r="H580" s="16"/>
      <c r="I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 spans="6:19" x14ac:dyDescent="0.2">
      <c r="F581" s="16"/>
      <c r="G581" s="16"/>
      <c r="H581" s="16"/>
      <c r="I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 spans="6:19" x14ac:dyDescent="0.2">
      <c r="F582" s="16"/>
      <c r="G582" s="16"/>
      <c r="H582" s="16"/>
      <c r="I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 spans="6:19" x14ac:dyDescent="0.2">
      <c r="F583" s="16"/>
      <c r="G583" s="16"/>
      <c r="H583" s="16"/>
      <c r="I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 spans="6:19" x14ac:dyDescent="0.2">
      <c r="F584" s="16"/>
      <c r="G584" s="16"/>
      <c r="H584" s="16"/>
      <c r="I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 spans="6:19" x14ac:dyDescent="0.2">
      <c r="F585" s="16"/>
      <c r="G585" s="16"/>
      <c r="H585" s="16"/>
      <c r="I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 spans="6:19" x14ac:dyDescent="0.2">
      <c r="F586" s="16"/>
      <c r="G586" s="16"/>
      <c r="H586" s="16"/>
      <c r="I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 spans="6:19" x14ac:dyDescent="0.2">
      <c r="F587" s="16"/>
      <c r="G587" s="16"/>
      <c r="H587" s="16"/>
      <c r="I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 spans="6:19" x14ac:dyDescent="0.2">
      <c r="F588" s="16"/>
      <c r="G588" s="16"/>
      <c r="H588" s="16"/>
      <c r="I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 spans="6:19" x14ac:dyDescent="0.2">
      <c r="F589" s="16"/>
      <c r="G589" s="16"/>
      <c r="H589" s="16"/>
      <c r="I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6:19" x14ac:dyDescent="0.2">
      <c r="F590" s="16"/>
      <c r="G590" s="16"/>
      <c r="H590" s="16"/>
      <c r="I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 spans="6:19" x14ac:dyDescent="0.2">
      <c r="F591" s="16"/>
      <c r="G591" s="16"/>
      <c r="H591" s="16"/>
      <c r="I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 spans="6:19" x14ac:dyDescent="0.2">
      <c r="F592" s="16"/>
      <c r="G592" s="16"/>
      <c r="H592" s="16"/>
      <c r="I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 spans="6:19" x14ac:dyDescent="0.2">
      <c r="F593" s="16"/>
      <c r="G593" s="16"/>
      <c r="H593" s="16"/>
      <c r="I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 spans="6:19" x14ac:dyDescent="0.2">
      <c r="F594" s="16"/>
      <c r="G594" s="16"/>
      <c r="H594" s="16"/>
      <c r="I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 spans="6:19" x14ac:dyDescent="0.2">
      <c r="F595" s="16"/>
      <c r="G595" s="16"/>
      <c r="H595" s="16"/>
      <c r="I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 spans="6:19" x14ac:dyDescent="0.2">
      <c r="F596" s="16"/>
      <c r="G596" s="16"/>
      <c r="H596" s="16"/>
      <c r="I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 spans="6:19" x14ac:dyDescent="0.2">
      <c r="F597" s="16"/>
      <c r="G597" s="16"/>
      <c r="H597" s="16"/>
      <c r="I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 spans="6:19" x14ac:dyDescent="0.2">
      <c r="F598" s="16"/>
      <c r="G598" s="16"/>
      <c r="H598" s="16"/>
      <c r="I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 spans="6:19" x14ac:dyDescent="0.2">
      <c r="F599" s="16"/>
      <c r="G599" s="16"/>
      <c r="H599" s="16"/>
      <c r="I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 spans="6:19" x14ac:dyDescent="0.2">
      <c r="F600" s="16"/>
      <c r="G600" s="16"/>
      <c r="H600" s="16"/>
      <c r="I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6:19" x14ac:dyDescent="0.2">
      <c r="F601" s="16"/>
      <c r="G601" s="16"/>
      <c r="H601" s="16"/>
      <c r="I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 spans="6:19" x14ac:dyDescent="0.2">
      <c r="F602" s="16"/>
      <c r="G602" s="16"/>
      <c r="H602" s="16"/>
      <c r="I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 spans="6:19" x14ac:dyDescent="0.2">
      <c r="F603" s="16"/>
      <c r="G603" s="16"/>
      <c r="H603" s="16"/>
      <c r="I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 spans="6:19" x14ac:dyDescent="0.2">
      <c r="F604" s="16"/>
      <c r="G604" s="16"/>
      <c r="H604" s="16"/>
      <c r="I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 spans="6:19" x14ac:dyDescent="0.2">
      <c r="F605" s="16"/>
      <c r="G605" s="16"/>
      <c r="H605" s="16"/>
      <c r="I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 spans="6:19" x14ac:dyDescent="0.2">
      <c r="F606" s="16"/>
      <c r="G606" s="16"/>
      <c r="H606" s="16"/>
      <c r="I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 spans="6:19" x14ac:dyDescent="0.2">
      <c r="F607" s="16"/>
      <c r="G607" s="16"/>
      <c r="H607" s="16"/>
      <c r="I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 spans="6:19" x14ac:dyDescent="0.2">
      <c r="F608" s="16"/>
      <c r="G608" s="16"/>
      <c r="H608" s="16"/>
      <c r="I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 spans="6:19" x14ac:dyDescent="0.2">
      <c r="F609" s="16"/>
      <c r="G609" s="16"/>
      <c r="H609" s="16"/>
      <c r="I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 spans="6:19" x14ac:dyDescent="0.2">
      <c r="F610" s="16"/>
      <c r="G610" s="16"/>
      <c r="H610" s="16"/>
      <c r="I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 spans="6:19" x14ac:dyDescent="0.2">
      <c r="F611" s="16"/>
      <c r="G611" s="16"/>
      <c r="H611" s="16"/>
      <c r="I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 spans="6:19" x14ac:dyDescent="0.2">
      <c r="F612" s="16"/>
      <c r="G612" s="16"/>
      <c r="H612" s="16"/>
      <c r="I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 spans="6:19" x14ac:dyDescent="0.2">
      <c r="F613" s="16"/>
      <c r="G613" s="16"/>
      <c r="H613" s="16"/>
      <c r="I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6:19" x14ac:dyDescent="0.2">
      <c r="F614" s="16"/>
      <c r="G614" s="16"/>
      <c r="H614" s="16"/>
      <c r="I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 spans="6:19" x14ac:dyDescent="0.2">
      <c r="F615" s="16"/>
      <c r="G615" s="16"/>
      <c r="H615" s="16"/>
      <c r="I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 spans="6:19" x14ac:dyDescent="0.2">
      <c r="F616" s="16"/>
      <c r="G616" s="16"/>
      <c r="H616" s="16"/>
      <c r="I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 spans="6:19" x14ac:dyDescent="0.2">
      <c r="F617" s="16"/>
      <c r="G617" s="16"/>
      <c r="H617" s="16"/>
      <c r="I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 spans="6:19" x14ac:dyDescent="0.2">
      <c r="F618" s="16"/>
      <c r="G618" s="16"/>
      <c r="H618" s="16"/>
      <c r="I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 spans="6:19" x14ac:dyDescent="0.2">
      <c r="F619" s="16"/>
      <c r="G619" s="16"/>
      <c r="H619" s="16"/>
      <c r="I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 spans="6:19" x14ac:dyDescent="0.2">
      <c r="F620" s="16"/>
      <c r="G620" s="16"/>
      <c r="H620" s="16"/>
      <c r="I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 spans="6:19" x14ac:dyDescent="0.2">
      <c r="F621" s="16"/>
      <c r="G621" s="16"/>
      <c r="H621" s="16"/>
      <c r="I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 spans="6:19" x14ac:dyDescent="0.2">
      <c r="F622" s="16"/>
      <c r="G622" s="16"/>
      <c r="H622" s="16"/>
      <c r="I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 spans="6:19" x14ac:dyDescent="0.2">
      <c r="F623" s="16"/>
      <c r="G623" s="16"/>
      <c r="H623" s="16"/>
      <c r="I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 spans="6:19" x14ac:dyDescent="0.2">
      <c r="F624" s="16"/>
      <c r="G624" s="16"/>
      <c r="H624" s="16"/>
      <c r="I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 spans="6:19" x14ac:dyDescent="0.2">
      <c r="F625" s="16"/>
      <c r="G625" s="16"/>
      <c r="H625" s="16"/>
      <c r="I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6:19" x14ac:dyDescent="0.2">
      <c r="F626" s="16"/>
      <c r="G626" s="16"/>
      <c r="H626" s="16"/>
      <c r="I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 spans="6:19" x14ac:dyDescent="0.2">
      <c r="F627" s="16"/>
      <c r="G627" s="16"/>
      <c r="H627" s="16"/>
      <c r="I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 spans="6:19" x14ac:dyDescent="0.2">
      <c r="F628" s="16"/>
      <c r="G628" s="16"/>
      <c r="H628" s="16"/>
      <c r="I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 spans="6:19" x14ac:dyDescent="0.2">
      <c r="F629" s="16"/>
      <c r="G629" s="16"/>
      <c r="H629" s="16"/>
      <c r="I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 spans="6:19" x14ac:dyDescent="0.2">
      <c r="F630" s="16"/>
      <c r="G630" s="16"/>
      <c r="H630" s="16"/>
      <c r="I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 spans="6:19" x14ac:dyDescent="0.2">
      <c r="F631" s="16"/>
      <c r="G631" s="16"/>
      <c r="H631" s="16"/>
      <c r="I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 spans="6:19" x14ac:dyDescent="0.2">
      <c r="F632" s="16"/>
      <c r="G632" s="16"/>
      <c r="H632" s="16"/>
      <c r="I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 spans="6:19" x14ac:dyDescent="0.2">
      <c r="F633" s="16"/>
      <c r="G633" s="16"/>
      <c r="H633" s="16"/>
      <c r="I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 spans="6:19" x14ac:dyDescent="0.2">
      <c r="F634" s="16"/>
      <c r="G634" s="16"/>
      <c r="H634" s="16"/>
      <c r="I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 spans="6:19" x14ac:dyDescent="0.2">
      <c r="F635" s="16"/>
      <c r="G635" s="16"/>
      <c r="H635" s="16"/>
      <c r="I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 spans="6:19" x14ac:dyDescent="0.2">
      <c r="F636" s="16"/>
      <c r="G636" s="16"/>
      <c r="H636" s="16"/>
      <c r="I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 spans="6:19" x14ac:dyDescent="0.2">
      <c r="F637" s="16"/>
      <c r="G637" s="16"/>
      <c r="H637" s="16"/>
      <c r="I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 spans="6:19" x14ac:dyDescent="0.2">
      <c r="F638" s="16"/>
      <c r="G638" s="16"/>
      <c r="H638" s="16"/>
      <c r="I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 spans="6:19" x14ac:dyDescent="0.2">
      <c r="F639" s="16"/>
      <c r="G639" s="16"/>
      <c r="H639" s="16"/>
      <c r="I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 spans="6:19" x14ac:dyDescent="0.2">
      <c r="F640" s="16"/>
      <c r="G640" s="16"/>
      <c r="H640" s="16"/>
      <c r="I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 spans="6:19" x14ac:dyDescent="0.2">
      <c r="F641" s="16"/>
      <c r="G641" s="16"/>
      <c r="H641" s="16"/>
      <c r="I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 spans="6:19" x14ac:dyDescent="0.2">
      <c r="F642" s="16"/>
      <c r="G642" s="16"/>
      <c r="H642" s="16"/>
      <c r="I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 spans="6:19" x14ac:dyDescent="0.2">
      <c r="F643" s="16"/>
      <c r="G643" s="16"/>
      <c r="H643" s="16"/>
      <c r="I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 spans="6:19" x14ac:dyDescent="0.2">
      <c r="F644" s="16"/>
      <c r="G644" s="16"/>
      <c r="H644" s="16"/>
      <c r="I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 spans="6:19" x14ac:dyDescent="0.2">
      <c r="F645" s="16"/>
      <c r="G645" s="16"/>
      <c r="H645" s="16"/>
      <c r="I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 spans="6:19" x14ac:dyDescent="0.2">
      <c r="F646" s="16"/>
      <c r="G646" s="16"/>
      <c r="H646" s="16"/>
      <c r="I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 spans="6:19" x14ac:dyDescent="0.2">
      <c r="F647" s="16"/>
      <c r="G647" s="16"/>
      <c r="H647" s="16"/>
      <c r="I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 spans="6:19" x14ac:dyDescent="0.2">
      <c r="F648" s="16"/>
      <c r="G648" s="16"/>
      <c r="H648" s="16"/>
      <c r="I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 spans="6:19" x14ac:dyDescent="0.2">
      <c r="F649" s="16"/>
      <c r="G649" s="16"/>
      <c r="H649" s="16"/>
      <c r="I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 spans="6:19" x14ac:dyDescent="0.2">
      <c r="F650" s="16"/>
      <c r="G650" s="16"/>
      <c r="H650" s="16"/>
      <c r="I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 spans="6:19" x14ac:dyDescent="0.2">
      <c r="F651" s="16"/>
      <c r="G651" s="16"/>
      <c r="H651" s="16"/>
      <c r="I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 spans="6:19" x14ac:dyDescent="0.2">
      <c r="F652" s="16"/>
      <c r="G652" s="16"/>
      <c r="H652" s="16"/>
      <c r="I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 spans="6:19" x14ac:dyDescent="0.2">
      <c r="F653" s="16"/>
      <c r="G653" s="16"/>
      <c r="H653" s="16"/>
      <c r="I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 spans="6:19" x14ac:dyDescent="0.2">
      <c r="F654" s="16"/>
      <c r="G654" s="16"/>
      <c r="H654" s="16"/>
      <c r="I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 spans="6:19" x14ac:dyDescent="0.2">
      <c r="F655" s="16"/>
      <c r="G655" s="16"/>
      <c r="H655" s="16"/>
      <c r="I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 spans="6:19" x14ac:dyDescent="0.2">
      <c r="F656" s="16"/>
      <c r="G656" s="16"/>
      <c r="H656" s="16"/>
      <c r="I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 spans="6:19" x14ac:dyDescent="0.2">
      <c r="F657" s="16"/>
      <c r="G657" s="16"/>
      <c r="H657" s="16"/>
      <c r="I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 spans="6:19" x14ac:dyDescent="0.2">
      <c r="F658" s="16"/>
      <c r="G658" s="16"/>
      <c r="H658" s="16"/>
      <c r="I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 spans="6:19" x14ac:dyDescent="0.2">
      <c r="F659" s="16"/>
      <c r="G659" s="16"/>
      <c r="H659" s="16"/>
      <c r="I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 spans="6:19" x14ac:dyDescent="0.2">
      <c r="F660" s="16"/>
      <c r="G660" s="16"/>
      <c r="H660" s="16"/>
      <c r="I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 spans="6:19" x14ac:dyDescent="0.2">
      <c r="F661" s="16"/>
      <c r="G661" s="16"/>
      <c r="H661" s="16"/>
      <c r="I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 spans="6:19" x14ac:dyDescent="0.2">
      <c r="F662" s="16"/>
      <c r="G662" s="16"/>
      <c r="H662" s="16"/>
      <c r="I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6:19" x14ac:dyDescent="0.2">
      <c r="F663" s="16"/>
      <c r="G663" s="16"/>
      <c r="H663" s="16"/>
      <c r="I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 spans="6:19" x14ac:dyDescent="0.2">
      <c r="F664" s="16"/>
      <c r="G664" s="16"/>
      <c r="H664" s="16"/>
      <c r="I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6:19" x14ac:dyDescent="0.2">
      <c r="F665" s="16"/>
      <c r="G665" s="16"/>
      <c r="H665" s="16"/>
      <c r="I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 spans="6:19" x14ac:dyDescent="0.2">
      <c r="F666" s="16"/>
      <c r="G666" s="16"/>
      <c r="H666" s="16"/>
      <c r="I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 spans="6:19" x14ac:dyDescent="0.2">
      <c r="F667" s="16"/>
      <c r="G667" s="16"/>
      <c r="H667" s="16"/>
      <c r="I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 spans="6:19" x14ac:dyDescent="0.2">
      <c r="F668" s="16"/>
      <c r="G668" s="16"/>
      <c r="H668" s="16"/>
      <c r="I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 spans="6:19" x14ac:dyDescent="0.2">
      <c r="F669" s="16"/>
      <c r="G669" s="16"/>
      <c r="H669" s="16"/>
      <c r="I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 spans="6:19" x14ac:dyDescent="0.2">
      <c r="F670" s="16"/>
      <c r="G670" s="16"/>
      <c r="H670" s="16"/>
      <c r="I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 spans="6:19" x14ac:dyDescent="0.2">
      <c r="F671" s="16"/>
      <c r="G671" s="16"/>
      <c r="H671" s="16"/>
      <c r="I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 spans="6:19" x14ac:dyDescent="0.2">
      <c r="F672" s="16"/>
      <c r="G672" s="16"/>
      <c r="H672" s="16"/>
      <c r="I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 spans="6:19" x14ac:dyDescent="0.2">
      <c r="F673" s="16"/>
      <c r="G673" s="16"/>
      <c r="H673" s="16"/>
      <c r="I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 spans="6:19" x14ac:dyDescent="0.2">
      <c r="F674" s="16"/>
      <c r="G674" s="16"/>
      <c r="H674" s="16"/>
      <c r="I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 spans="6:19" x14ac:dyDescent="0.2">
      <c r="F675" s="16"/>
      <c r="G675" s="16"/>
      <c r="H675" s="16"/>
      <c r="I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 spans="6:19" x14ac:dyDescent="0.2">
      <c r="F676" s="16"/>
      <c r="G676" s="16"/>
      <c r="H676" s="16"/>
      <c r="I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 spans="6:19" x14ac:dyDescent="0.2">
      <c r="F677" s="16"/>
      <c r="G677" s="16"/>
      <c r="H677" s="16"/>
      <c r="I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 spans="6:19" x14ac:dyDescent="0.2">
      <c r="F678" s="16"/>
      <c r="G678" s="16"/>
      <c r="H678" s="16"/>
      <c r="I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 spans="6:19" x14ac:dyDescent="0.2">
      <c r="F679" s="16"/>
      <c r="G679" s="16"/>
      <c r="H679" s="16"/>
      <c r="I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 spans="6:19" x14ac:dyDescent="0.2">
      <c r="F680" s="16"/>
      <c r="G680" s="16"/>
      <c r="H680" s="16"/>
      <c r="I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 spans="6:19" x14ac:dyDescent="0.2">
      <c r="F681" s="16"/>
      <c r="G681" s="16"/>
      <c r="H681" s="16"/>
      <c r="I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 spans="6:19" x14ac:dyDescent="0.2">
      <c r="F682" s="16"/>
      <c r="G682" s="16"/>
      <c r="H682" s="16"/>
      <c r="I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 spans="6:19" x14ac:dyDescent="0.2">
      <c r="F683" s="16"/>
      <c r="G683" s="16"/>
      <c r="H683" s="16"/>
      <c r="I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 spans="6:19" x14ac:dyDescent="0.2">
      <c r="F684" s="16"/>
      <c r="G684" s="16"/>
      <c r="H684" s="16"/>
      <c r="I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 spans="6:19" x14ac:dyDescent="0.2">
      <c r="F685" s="16"/>
      <c r="G685" s="16"/>
      <c r="H685" s="16"/>
      <c r="I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 spans="6:19" x14ac:dyDescent="0.2">
      <c r="F686" s="16"/>
      <c r="G686" s="16"/>
      <c r="H686" s="16"/>
      <c r="I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 spans="6:19" x14ac:dyDescent="0.2">
      <c r="F687" s="16"/>
      <c r="G687" s="16"/>
      <c r="H687" s="16"/>
      <c r="I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 spans="6:19" x14ac:dyDescent="0.2">
      <c r="F688" s="16"/>
      <c r="G688" s="16"/>
      <c r="H688" s="16"/>
      <c r="I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 spans="6:19" x14ac:dyDescent="0.2">
      <c r="F689" s="16"/>
      <c r="G689" s="16"/>
      <c r="H689" s="16"/>
      <c r="I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 spans="6:19" x14ac:dyDescent="0.2">
      <c r="F690" s="16"/>
      <c r="G690" s="16"/>
      <c r="H690" s="16"/>
      <c r="I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 spans="6:19" x14ac:dyDescent="0.2">
      <c r="F691" s="16"/>
      <c r="G691" s="16"/>
      <c r="H691" s="16"/>
      <c r="I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 spans="6:19" x14ac:dyDescent="0.2">
      <c r="F692" s="16"/>
      <c r="G692" s="16"/>
      <c r="H692" s="16"/>
      <c r="I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 spans="6:19" x14ac:dyDescent="0.2">
      <c r="F693" s="16"/>
      <c r="G693" s="16"/>
      <c r="H693" s="16"/>
      <c r="I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 spans="6:19" x14ac:dyDescent="0.2">
      <c r="F694" s="16"/>
      <c r="G694" s="16"/>
      <c r="H694" s="16"/>
      <c r="I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 spans="6:19" x14ac:dyDescent="0.2">
      <c r="F695" s="16"/>
      <c r="G695" s="16"/>
      <c r="H695" s="16"/>
      <c r="I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 spans="6:19" x14ac:dyDescent="0.2">
      <c r="F696" s="16"/>
      <c r="G696" s="16"/>
      <c r="H696" s="16"/>
      <c r="I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 spans="6:19" x14ac:dyDescent="0.2">
      <c r="F697" s="16"/>
      <c r="G697" s="16"/>
      <c r="H697" s="16"/>
      <c r="I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6:19" x14ac:dyDescent="0.2">
      <c r="F698" s="16"/>
      <c r="G698" s="16"/>
      <c r="H698" s="16"/>
      <c r="I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6:19" x14ac:dyDescent="0.2">
      <c r="F699" s="16"/>
      <c r="G699" s="16"/>
      <c r="H699" s="16"/>
      <c r="I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6:19" x14ac:dyDescent="0.2">
      <c r="F700" s="16"/>
      <c r="G700" s="16"/>
      <c r="H700" s="16"/>
      <c r="I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6:19" x14ac:dyDescent="0.2">
      <c r="F701" s="16"/>
      <c r="G701" s="16"/>
      <c r="H701" s="16"/>
      <c r="I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6:19" x14ac:dyDescent="0.2">
      <c r="F702" s="16"/>
      <c r="G702" s="16"/>
      <c r="H702" s="16"/>
      <c r="I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6:19" x14ac:dyDescent="0.2">
      <c r="F703" s="16"/>
      <c r="G703" s="16"/>
      <c r="H703" s="16"/>
      <c r="I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6:19" x14ac:dyDescent="0.2">
      <c r="F704" s="16"/>
      <c r="G704" s="16"/>
      <c r="H704" s="16"/>
      <c r="I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6:19" x14ac:dyDescent="0.2">
      <c r="F705" s="16"/>
      <c r="G705" s="16"/>
      <c r="H705" s="16"/>
      <c r="I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6:19" x14ac:dyDescent="0.2">
      <c r="F706" s="16"/>
      <c r="G706" s="16"/>
      <c r="H706" s="16"/>
      <c r="I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6:19" x14ac:dyDescent="0.2">
      <c r="F707" s="16"/>
      <c r="G707" s="16"/>
      <c r="H707" s="16"/>
      <c r="I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6:19" x14ac:dyDescent="0.2">
      <c r="F708" s="16"/>
      <c r="G708" s="16"/>
      <c r="H708" s="16"/>
      <c r="I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6:19" x14ac:dyDescent="0.2">
      <c r="F709" s="16"/>
      <c r="G709" s="16"/>
      <c r="H709" s="16"/>
      <c r="I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6:19" x14ac:dyDescent="0.2">
      <c r="F710" s="16"/>
      <c r="G710" s="16"/>
      <c r="H710" s="16"/>
      <c r="I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6:19" x14ac:dyDescent="0.2">
      <c r="F711" s="16"/>
      <c r="G711" s="16"/>
      <c r="H711" s="16"/>
      <c r="I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6:19" x14ac:dyDescent="0.2">
      <c r="F712" s="16"/>
      <c r="G712" s="16"/>
      <c r="H712" s="16"/>
      <c r="I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6:19" x14ac:dyDescent="0.2">
      <c r="F713" s="16"/>
      <c r="G713" s="16"/>
      <c r="H713" s="16"/>
      <c r="I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6:19" x14ac:dyDescent="0.2">
      <c r="F714" s="16"/>
      <c r="G714" s="16"/>
      <c r="H714" s="16"/>
      <c r="I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6:19" x14ac:dyDescent="0.2">
      <c r="F715" s="16"/>
      <c r="G715" s="16"/>
      <c r="H715" s="16"/>
      <c r="I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6:19" x14ac:dyDescent="0.2">
      <c r="F716" s="16"/>
      <c r="G716" s="16"/>
      <c r="H716" s="16"/>
      <c r="I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6:19" x14ac:dyDescent="0.2">
      <c r="F717" s="16"/>
      <c r="G717" s="16"/>
      <c r="H717" s="16"/>
      <c r="I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6:19" x14ac:dyDescent="0.2">
      <c r="F718" s="16"/>
      <c r="G718" s="16"/>
      <c r="H718" s="16"/>
      <c r="I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6:19" x14ac:dyDescent="0.2">
      <c r="F719" s="16"/>
      <c r="G719" s="16"/>
      <c r="H719" s="16"/>
      <c r="I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6:19" x14ac:dyDescent="0.2">
      <c r="F720" s="16"/>
      <c r="G720" s="16"/>
      <c r="H720" s="16"/>
      <c r="I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6:19" x14ac:dyDescent="0.2">
      <c r="F721" s="16"/>
      <c r="G721" s="16"/>
      <c r="H721" s="16"/>
      <c r="I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6:19" x14ac:dyDescent="0.2">
      <c r="F722" s="16"/>
      <c r="G722" s="16"/>
      <c r="H722" s="16"/>
      <c r="I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6:19" x14ac:dyDescent="0.2">
      <c r="F723" s="16"/>
      <c r="G723" s="16"/>
      <c r="H723" s="16"/>
      <c r="I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6:19" x14ac:dyDescent="0.2">
      <c r="F724" s="16"/>
      <c r="G724" s="16"/>
      <c r="H724" s="16"/>
      <c r="I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6:19" x14ac:dyDescent="0.2">
      <c r="F725" s="16"/>
      <c r="G725" s="16"/>
      <c r="H725" s="16"/>
      <c r="I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6:19" x14ac:dyDescent="0.2">
      <c r="F726" s="16"/>
      <c r="G726" s="16"/>
      <c r="H726" s="16"/>
      <c r="I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6:19" x14ac:dyDescent="0.2">
      <c r="F727" s="16"/>
      <c r="G727" s="16"/>
      <c r="H727" s="16"/>
      <c r="I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6:19" x14ac:dyDescent="0.2">
      <c r="F728" s="16"/>
      <c r="G728" s="16"/>
      <c r="H728" s="16"/>
      <c r="I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6:19" x14ac:dyDescent="0.2">
      <c r="F729" s="16"/>
      <c r="G729" s="16"/>
      <c r="H729" s="16"/>
      <c r="I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6:19" x14ac:dyDescent="0.2">
      <c r="F730" s="16"/>
      <c r="G730" s="16"/>
      <c r="H730" s="16"/>
      <c r="I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6:19" x14ac:dyDescent="0.2">
      <c r="F731" s="16"/>
      <c r="G731" s="16"/>
      <c r="H731" s="16"/>
      <c r="I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6:19" x14ac:dyDescent="0.2">
      <c r="F732" s="16"/>
      <c r="G732" s="16"/>
      <c r="H732" s="16"/>
      <c r="I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6:19" x14ac:dyDescent="0.2">
      <c r="F733" s="16"/>
      <c r="G733" s="16"/>
      <c r="H733" s="16"/>
      <c r="I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6:19" x14ac:dyDescent="0.2">
      <c r="F734" s="16"/>
      <c r="G734" s="16"/>
      <c r="H734" s="16"/>
      <c r="I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6:19" x14ac:dyDescent="0.2">
      <c r="F735" s="16"/>
      <c r="G735" s="16"/>
      <c r="H735" s="16"/>
      <c r="I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6:19" x14ac:dyDescent="0.2">
      <c r="F736" s="16"/>
      <c r="G736" s="16"/>
      <c r="H736" s="16"/>
      <c r="I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6:19" x14ac:dyDescent="0.2">
      <c r="F737" s="16"/>
      <c r="G737" s="16"/>
      <c r="H737" s="16"/>
      <c r="I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6:19" x14ac:dyDescent="0.2">
      <c r="F738" s="16"/>
      <c r="G738" s="16"/>
      <c r="H738" s="16"/>
      <c r="I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6:19" x14ac:dyDescent="0.2">
      <c r="F739" s="16"/>
      <c r="G739" s="16"/>
      <c r="H739" s="16"/>
      <c r="I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6:19" x14ac:dyDescent="0.2">
      <c r="F740" s="16"/>
      <c r="G740" s="16"/>
      <c r="H740" s="16"/>
      <c r="I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6:19" x14ac:dyDescent="0.2">
      <c r="F741" s="16"/>
      <c r="G741" s="16"/>
      <c r="H741" s="16"/>
      <c r="I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6:19" x14ac:dyDescent="0.2">
      <c r="F742" s="16"/>
      <c r="G742" s="16"/>
      <c r="H742" s="16"/>
      <c r="I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6:19" x14ac:dyDescent="0.2">
      <c r="F743" s="16"/>
      <c r="G743" s="16"/>
      <c r="H743" s="16"/>
      <c r="I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6:19" x14ac:dyDescent="0.2">
      <c r="F744" s="16"/>
      <c r="G744" s="16"/>
      <c r="H744" s="16"/>
      <c r="I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6:19" x14ac:dyDescent="0.2">
      <c r="F745" s="16"/>
      <c r="G745" s="16"/>
      <c r="H745" s="16"/>
      <c r="I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6:19" x14ac:dyDescent="0.2">
      <c r="F746" s="16"/>
      <c r="G746" s="16"/>
      <c r="H746" s="16"/>
      <c r="I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6:19" x14ac:dyDescent="0.2">
      <c r="F747" s="16"/>
      <c r="G747" s="16"/>
      <c r="H747" s="16"/>
      <c r="I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6:19" x14ac:dyDescent="0.2">
      <c r="F748" s="16"/>
      <c r="G748" s="16"/>
      <c r="H748" s="16"/>
      <c r="I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6:19" x14ac:dyDescent="0.2">
      <c r="F749" s="16"/>
      <c r="G749" s="16"/>
      <c r="H749" s="16"/>
      <c r="I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6:19" x14ac:dyDescent="0.2">
      <c r="F750" s="16"/>
      <c r="G750" s="16"/>
      <c r="H750" s="16"/>
      <c r="I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6:19" x14ac:dyDescent="0.2">
      <c r="F751" s="16"/>
      <c r="G751" s="16"/>
      <c r="H751" s="16"/>
      <c r="I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6:19" x14ac:dyDescent="0.2">
      <c r="F752" s="16"/>
      <c r="G752" s="16"/>
      <c r="H752" s="16"/>
      <c r="I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6:19" x14ac:dyDescent="0.2">
      <c r="F753" s="16"/>
      <c r="G753" s="16"/>
      <c r="H753" s="16"/>
      <c r="I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6:19" x14ac:dyDescent="0.2">
      <c r="F754" s="16"/>
      <c r="G754" s="16"/>
      <c r="H754" s="16"/>
      <c r="I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6:19" x14ac:dyDescent="0.2">
      <c r="F755" s="16"/>
      <c r="G755" s="16"/>
      <c r="H755" s="16"/>
      <c r="I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6:19" x14ac:dyDescent="0.2">
      <c r="F756" s="16"/>
      <c r="G756" s="16"/>
      <c r="H756" s="16"/>
      <c r="I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6:19" x14ac:dyDescent="0.2">
      <c r="F757" s="16"/>
      <c r="G757" s="16"/>
      <c r="H757" s="16"/>
      <c r="I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6:19" x14ac:dyDescent="0.2">
      <c r="F758" s="16"/>
      <c r="G758" s="16"/>
      <c r="H758" s="16"/>
      <c r="I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6:19" x14ac:dyDescent="0.2">
      <c r="F759" s="16"/>
      <c r="G759" s="16"/>
      <c r="H759" s="16"/>
      <c r="I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6:19" x14ac:dyDescent="0.2">
      <c r="F760" s="16"/>
      <c r="G760" s="16"/>
      <c r="H760" s="16"/>
      <c r="I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6:19" x14ac:dyDescent="0.2">
      <c r="F761" s="16"/>
      <c r="G761" s="16"/>
      <c r="H761" s="16"/>
      <c r="I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6:19" x14ac:dyDescent="0.2">
      <c r="F762" s="16"/>
      <c r="G762" s="16"/>
      <c r="H762" s="16"/>
      <c r="I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6:19" x14ac:dyDescent="0.2">
      <c r="F763" s="16"/>
      <c r="G763" s="16"/>
      <c r="H763" s="16"/>
      <c r="I763" s="16"/>
      <c r="K763" s="16"/>
      <c r="L763" s="16"/>
      <c r="M763" s="16"/>
      <c r="N763" s="16"/>
      <c r="O763" s="16"/>
      <c r="P763" s="16"/>
      <c r="Q763" s="16"/>
      <c r="R763" s="16"/>
      <c r="S763" s="16"/>
    </row>
  </sheetData>
  <conditionalFormatting sqref="B2">
    <cfRule type="cellIs" dxfId="3" priority="6" operator="equal">
      <formula>TRUE</formula>
    </cfRule>
  </conditionalFormatting>
  <conditionalFormatting sqref="C38">
    <cfRule type="cellIs" dxfId="2" priority="9" operator="equal">
      <formula>TRUE</formula>
    </cfRule>
  </conditionalFormatting>
  <conditionalFormatting sqref="C61">
    <cfRule type="cellIs" dxfId="1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20:I20 K70:P210 S70:S210 K31:M65 K68:M68 M66:M67 M69 K20:M29" formulaRange="1"/>
    <ignoredError sqref="Q211:R221" formula="1"/>
    <ignoredError sqref="Q70:R210 S31:S69 N31:R65 Q66:Q67 Q69 N68:R68 O66:O67 O69 N20:S29" formula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  <sheetView workbookViewId="1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Manual</vt:lpstr>
      <vt:lpstr>Disclaimer</vt:lpstr>
      <vt:lpstr>Input</vt:lpstr>
      <vt:lpstr>WORKINGS&gt;&gt;</vt:lpstr>
      <vt:lpstr>Valuation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2025-05-12T08:50:31Z</dcterms:modified>
</cp:coreProperties>
</file>