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lvador\Desktop\"/>
    </mc:Choice>
  </mc:AlternateContent>
  <xr:revisionPtr revIDLastSave="0" documentId="8_{9C5C4B00-6750-4533-88BE-61E7CE66B2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  <sheet name="Slip ratio REAL" sheetId="6" r:id="rId2"/>
    <sheet name="Slip ratio estimation" sheetId="9" r:id="rId3"/>
    <sheet name="Comparativa simulacion-real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H20" i="10"/>
  <c r="F20" i="10"/>
  <c r="E20" i="10"/>
  <c r="H31" i="9" l="1"/>
  <c r="B7" i="9" l="1"/>
  <c r="B6" i="9"/>
  <c r="B5" i="9"/>
  <c r="B4" i="9"/>
  <c r="B3" i="9"/>
  <c r="AQ22" i="9"/>
  <c r="AP22" i="9"/>
  <c r="AO22" i="9"/>
  <c r="AJ22" i="9"/>
  <c r="AI22" i="9"/>
  <c r="AH22" i="9"/>
  <c r="AK22" i="9" s="1"/>
  <c r="AC22" i="9"/>
  <c r="AB22" i="9"/>
  <c r="AA22" i="9"/>
  <c r="AD22" i="9" s="1"/>
  <c r="W22" i="9"/>
  <c r="V22" i="9"/>
  <c r="U22" i="9"/>
  <c r="P22" i="9"/>
  <c r="H22" i="9"/>
  <c r="G22" i="9"/>
  <c r="F22" i="9"/>
  <c r="I22" i="9" s="1"/>
  <c r="AQ21" i="9"/>
  <c r="AP21" i="9"/>
  <c r="AO21" i="9"/>
  <c r="AJ21" i="9"/>
  <c r="AI21" i="9"/>
  <c r="AH21" i="9"/>
  <c r="AC21" i="9"/>
  <c r="AB21" i="9"/>
  <c r="AA21" i="9"/>
  <c r="W21" i="9"/>
  <c r="V21" i="9"/>
  <c r="U21" i="9"/>
  <c r="P21" i="9"/>
  <c r="H21" i="9"/>
  <c r="G21" i="9"/>
  <c r="F21" i="9"/>
  <c r="AQ20" i="9"/>
  <c r="AP20" i="9"/>
  <c r="AO20" i="9"/>
  <c r="AK20" i="9"/>
  <c r="Z33" i="9" s="1"/>
  <c r="Y56" i="9" s="1"/>
  <c r="AD20" i="9"/>
  <c r="AC20" i="9"/>
  <c r="AB20" i="9"/>
  <c r="AA20" i="9"/>
  <c r="W20" i="9"/>
  <c r="V20" i="9"/>
  <c r="U20" i="9"/>
  <c r="X20" i="9" s="1"/>
  <c r="P20" i="9"/>
  <c r="H20" i="9"/>
  <c r="G20" i="9"/>
  <c r="F20" i="9"/>
  <c r="I20" i="9" s="1"/>
  <c r="AQ19" i="9"/>
  <c r="AP19" i="9"/>
  <c r="AO19" i="9"/>
  <c r="AJ19" i="9"/>
  <c r="AI19" i="9"/>
  <c r="AH19" i="9"/>
  <c r="AC19" i="9"/>
  <c r="AB19" i="9"/>
  <c r="AA19" i="9"/>
  <c r="W19" i="9"/>
  <c r="V19" i="9"/>
  <c r="U19" i="9"/>
  <c r="P19" i="9"/>
  <c r="H19" i="9"/>
  <c r="G19" i="9"/>
  <c r="F19" i="9"/>
  <c r="I19" i="9" s="1"/>
  <c r="AQ18" i="9"/>
  <c r="AP18" i="9"/>
  <c r="AO18" i="9"/>
  <c r="AJ18" i="9"/>
  <c r="AK18" i="9" s="1"/>
  <c r="AC18" i="9"/>
  <c r="AB18" i="9"/>
  <c r="AA18" i="9"/>
  <c r="AD18" i="9" s="1"/>
  <c r="W31" i="9" s="1"/>
  <c r="V54" i="9" s="1"/>
  <c r="X18" i="9"/>
  <c r="P18" i="9"/>
  <c r="H18" i="9"/>
  <c r="G18" i="9"/>
  <c r="F18" i="9"/>
  <c r="I18" i="9" s="1"/>
  <c r="C7" i="9"/>
  <c r="D7" i="9" s="1"/>
  <c r="E35" i="9" s="1"/>
  <c r="C6" i="9"/>
  <c r="D6" i="9" s="1"/>
  <c r="E34" i="9" s="1"/>
  <c r="C5" i="9"/>
  <c r="D5" i="9" s="1"/>
  <c r="E33" i="9" s="1"/>
  <c r="C4" i="9"/>
  <c r="D4" i="9" s="1"/>
  <c r="E32" i="9" s="1"/>
  <c r="C3" i="9"/>
  <c r="D3" i="9" s="1"/>
  <c r="E31" i="9" s="1"/>
  <c r="T31" i="9" l="1"/>
  <c r="S54" i="9" s="1"/>
  <c r="AD19" i="9"/>
  <c r="AR20" i="9"/>
  <c r="AD21" i="9"/>
  <c r="AK19" i="9"/>
  <c r="I21" i="9"/>
  <c r="K34" i="9" s="1"/>
  <c r="J57" i="9" s="1"/>
  <c r="AK21" i="9"/>
  <c r="N31" i="9"/>
  <c r="M54" i="9" s="1"/>
  <c r="Z31" i="9"/>
  <c r="Y54" i="9" s="1"/>
  <c r="X19" i="9"/>
  <c r="X21" i="9"/>
  <c r="X22" i="9"/>
  <c r="K31" i="9"/>
  <c r="J54" i="9" s="1"/>
  <c r="AR18" i="9"/>
  <c r="AR19" i="9"/>
  <c r="Q32" i="9" s="1"/>
  <c r="P55" i="9" s="1"/>
  <c r="AR21" i="9"/>
  <c r="AR22" i="9"/>
  <c r="K32" i="9"/>
  <c r="J55" i="9" s="1"/>
  <c r="N35" i="9"/>
  <c r="M58" i="9" s="1"/>
  <c r="W35" i="9"/>
  <c r="V58" i="9" s="1"/>
  <c r="Z35" i="9"/>
  <c r="Y58" i="9" s="1"/>
  <c r="K35" i="9"/>
  <c r="J58" i="9" s="1"/>
  <c r="Q31" i="9"/>
  <c r="P54" i="9" s="1"/>
  <c r="Q33" i="9"/>
  <c r="P56" i="9" s="1"/>
  <c r="N32" i="9"/>
  <c r="M55" i="9" s="1"/>
  <c r="Z32" i="9"/>
  <c r="Y55" i="9" s="1"/>
  <c r="W32" i="9"/>
  <c r="V55" i="9" s="1"/>
  <c r="Q34" i="9"/>
  <c r="P57" i="9" s="1"/>
  <c r="T32" i="9"/>
  <c r="S55" i="9" s="1"/>
  <c r="T35" i="9"/>
  <c r="S58" i="9" s="1"/>
  <c r="T33" i="9"/>
  <c r="S56" i="9" s="1"/>
  <c r="W34" i="9"/>
  <c r="V57" i="9" s="1"/>
  <c r="T34" i="9"/>
  <c r="S57" i="9" s="1"/>
  <c r="K33" i="9"/>
  <c r="J56" i="9" s="1"/>
  <c r="W33" i="9"/>
  <c r="V56" i="9" s="1"/>
  <c r="N34" i="9"/>
  <c r="M57" i="9" s="1"/>
  <c r="Z34" i="9"/>
  <c r="Y57" i="9" s="1"/>
  <c r="Q35" i="9"/>
  <c r="P58" i="9" s="1"/>
  <c r="N33" i="9"/>
  <c r="M56" i="9" s="1"/>
  <c r="AM114" i="1" l="1"/>
  <c r="AL114" i="1"/>
  <c r="AK114" i="1"/>
  <c r="AN114" i="1" s="1"/>
  <c r="AM113" i="1"/>
  <c r="AL113" i="1"/>
  <c r="AK113" i="1"/>
  <c r="AM112" i="1"/>
  <c r="AL112" i="1"/>
  <c r="AK112" i="1"/>
  <c r="AM111" i="1"/>
  <c r="AL110" i="1"/>
  <c r="AL111" i="1"/>
  <c r="AK111" i="1"/>
  <c r="AM110" i="1"/>
  <c r="AK110" i="1"/>
  <c r="AN110" i="1" l="1"/>
  <c r="M123" i="1" s="1"/>
  <c r="AN113" i="1"/>
  <c r="AN112" i="1"/>
  <c r="AN111" i="1"/>
  <c r="T110" i="1"/>
  <c r="P123" i="1" s="1"/>
  <c r="AF114" i="1"/>
  <c r="AE114" i="1"/>
  <c r="AD114" i="1"/>
  <c r="Y114" i="1"/>
  <c r="X114" i="1"/>
  <c r="W114" i="1"/>
  <c r="AF113" i="1"/>
  <c r="AE113" i="1"/>
  <c r="AD113" i="1"/>
  <c r="Y113" i="1"/>
  <c r="X113" i="1"/>
  <c r="W113" i="1"/>
  <c r="AG112" i="1"/>
  <c r="Y112" i="1"/>
  <c r="X112" i="1"/>
  <c r="W112" i="1"/>
  <c r="AF111" i="1"/>
  <c r="AE111" i="1"/>
  <c r="AD111" i="1"/>
  <c r="Y111" i="1"/>
  <c r="X111" i="1"/>
  <c r="W111" i="1"/>
  <c r="AF110" i="1"/>
  <c r="AG110" i="1" s="1"/>
  <c r="V123" i="1" s="1"/>
  <c r="Y110" i="1"/>
  <c r="X110" i="1"/>
  <c r="W110" i="1"/>
  <c r="S114" i="1"/>
  <c r="R114" i="1"/>
  <c r="Q114" i="1"/>
  <c r="S113" i="1"/>
  <c r="R113" i="1"/>
  <c r="Q113" i="1"/>
  <c r="T113" i="1" s="1"/>
  <c r="S112" i="1"/>
  <c r="R112" i="1"/>
  <c r="Q112" i="1"/>
  <c r="S111" i="1"/>
  <c r="R111" i="1"/>
  <c r="Q111" i="1"/>
  <c r="Z111" i="1" l="1"/>
  <c r="Z114" i="1"/>
  <c r="T112" i="1"/>
  <c r="T114" i="1"/>
  <c r="T111" i="1"/>
  <c r="Z110" i="1"/>
  <c r="S123" i="1" s="1"/>
  <c r="AG111" i="1"/>
  <c r="AG114" i="1"/>
  <c r="AG113" i="1"/>
  <c r="Z112" i="1"/>
  <c r="Z113" i="1"/>
  <c r="Y80" i="1"/>
  <c r="X80" i="1"/>
  <c r="W80" i="1"/>
  <c r="Y79" i="1"/>
  <c r="X79" i="1"/>
  <c r="W79" i="1"/>
  <c r="Z78" i="1"/>
  <c r="Y77" i="1"/>
  <c r="X77" i="1"/>
  <c r="W77" i="1"/>
  <c r="Y76" i="1"/>
  <c r="Z76" i="1" s="1"/>
  <c r="P89" i="1" s="1"/>
  <c r="R80" i="1"/>
  <c r="Q80" i="1"/>
  <c r="P80" i="1"/>
  <c r="P78" i="1"/>
  <c r="P79" i="1"/>
  <c r="R79" i="1"/>
  <c r="Q79" i="1"/>
  <c r="R78" i="1"/>
  <c r="Q78" i="1"/>
  <c r="R77" i="1"/>
  <c r="Q77" i="1"/>
  <c r="P77" i="1"/>
  <c r="R76" i="1"/>
  <c r="Q76" i="1"/>
  <c r="P76" i="1"/>
  <c r="L114" i="1"/>
  <c r="L113" i="1"/>
  <c r="L112" i="1"/>
  <c r="L111" i="1"/>
  <c r="L110" i="1"/>
  <c r="D127" i="1"/>
  <c r="D126" i="1"/>
  <c r="D125" i="1"/>
  <c r="D124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J123" i="1"/>
  <c r="D110" i="1"/>
  <c r="C110" i="1"/>
  <c r="B110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C79" i="1"/>
  <c r="D80" i="1"/>
  <c r="C80" i="1"/>
  <c r="B80" i="1"/>
  <c r="D79" i="1"/>
  <c r="B79" i="1"/>
  <c r="D78" i="1"/>
  <c r="C78" i="1"/>
  <c r="B78" i="1"/>
  <c r="D77" i="1"/>
  <c r="C77" i="1"/>
  <c r="B77" i="1"/>
  <c r="D76" i="1"/>
  <c r="C76" i="1"/>
  <c r="B76" i="1"/>
  <c r="D93" i="1"/>
  <c r="D92" i="1"/>
  <c r="D91" i="1"/>
  <c r="D90" i="1"/>
  <c r="D62" i="1"/>
  <c r="D61" i="1"/>
  <c r="D60" i="1"/>
  <c r="D59" i="1"/>
  <c r="S79" i="1" l="1"/>
  <c r="E79" i="1"/>
  <c r="G92" i="1" s="1"/>
  <c r="S80" i="1"/>
  <c r="E80" i="1"/>
  <c r="G93" i="1" s="1"/>
  <c r="L78" i="1"/>
  <c r="J91" i="1" s="1"/>
  <c r="S76" i="1"/>
  <c r="M89" i="1" s="1"/>
  <c r="S77" i="1"/>
  <c r="E77" i="1"/>
  <c r="G90" i="1" s="1"/>
  <c r="L79" i="1"/>
  <c r="E78" i="1"/>
  <c r="G91" i="1" s="1"/>
  <c r="L80" i="1"/>
  <c r="J93" i="1" s="1"/>
  <c r="L76" i="1"/>
  <c r="J89" i="1" s="1"/>
  <c r="Z80" i="1"/>
  <c r="P93" i="1" s="1"/>
  <c r="J125" i="1"/>
  <c r="E76" i="1"/>
  <c r="G89" i="1" s="1"/>
  <c r="M93" i="1"/>
  <c r="L77" i="1"/>
  <c r="J90" i="1" s="1"/>
  <c r="S78" i="1"/>
  <c r="M91" i="1" s="1"/>
  <c r="Z77" i="1"/>
  <c r="P90" i="1" s="1"/>
  <c r="Z79" i="1"/>
  <c r="P92" i="1" s="1"/>
  <c r="V126" i="1"/>
  <c r="P126" i="1"/>
  <c r="S126" i="1"/>
  <c r="M126" i="1"/>
  <c r="E112" i="1"/>
  <c r="G125" i="1" s="1"/>
  <c r="E113" i="1"/>
  <c r="G126" i="1" s="1"/>
  <c r="E114" i="1"/>
  <c r="G127" i="1" s="1"/>
  <c r="P127" i="1"/>
  <c r="M127" i="1"/>
  <c r="V127" i="1"/>
  <c r="S127" i="1"/>
  <c r="M90" i="1"/>
  <c r="J92" i="1"/>
  <c r="E110" i="1"/>
  <c r="G123" i="1" s="1"/>
  <c r="E111" i="1"/>
  <c r="G124" i="1" s="1"/>
  <c r="J126" i="1"/>
  <c r="M124" i="1"/>
  <c r="S124" i="1"/>
  <c r="P124" i="1"/>
  <c r="V124" i="1"/>
  <c r="P91" i="1"/>
  <c r="S125" i="1"/>
  <c r="M125" i="1"/>
  <c r="V125" i="1"/>
  <c r="P125" i="1"/>
  <c r="M92" i="1"/>
  <c r="J124" i="1"/>
  <c r="J127" i="1"/>
  <c r="E49" i="1"/>
  <c r="E48" i="1"/>
  <c r="E47" i="1"/>
  <c r="E46" i="1"/>
  <c r="E45" i="1"/>
  <c r="G58" i="1" s="1"/>
  <c r="G62" i="1" l="1"/>
  <c r="G61" i="1" l="1"/>
  <c r="G59" i="1"/>
  <c r="G60" i="1"/>
  <c r="S20" i="1"/>
  <c r="D30" i="1"/>
  <c r="D31" i="1"/>
  <c r="D32" i="1"/>
  <c r="D33" i="1"/>
  <c r="D29" i="1"/>
  <c r="Z16" i="1"/>
  <c r="Z17" i="1"/>
  <c r="Z18" i="1"/>
  <c r="Z19" i="1"/>
  <c r="Z20" i="1"/>
  <c r="S16" i="1"/>
  <c r="S17" i="1"/>
  <c r="S18" i="1"/>
  <c r="S19" i="1"/>
  <c r="L16" i="1"/>
  <c r="L17" i="1"/>
  <c r="L18" i="1"/>
  <c r="L19" i="1"/>
  <c r="L20" i="1"/>
  <c r="E16" i="1"/>
  <c r="E17" i="1"/>
  <c r="E18" i="1"/>
  <c r="G31" i="1" s="1"/>
  <c r="E19" i="1"/>
  <c r="E20" i="1"/>
  <c r="J31" i="1" l="1"/>
  <c r="M31" i="1"/>
  <c r="G29" i="1"/>
  <c r="G30" i="1"/>
  <c r="J30" i="1"/>
  <c r="M30" i="1"/>
  <c r="P31" i="1"/>
  <c r="P30" i="1"/>
  <c r="G32" i="1"/>
  <c r="P29" i="1"/>
  <c r="J29" i="1"/>
  <c r="M29" i="1"/>
  <c r="J32" i="1"/>
  <c r="M32" i="1"/>
  <c r="P32" i="1"/>
  <c r="J33" i="1"/>
  <c r="M33" i="1"/>
  <c r="P33" i="1"/>
  <c r="G33" i="1"/>
</calcChain>
</file>

<file path=xl/sharedStrings.xml><?xml version="1.0" encoding="utf-8"?>
<sst xmlns="http://schemas.openxmlformats.org/spreadsheetml/2006/main" count="543" uniqueCount="94">
  <si>
    <t xml:space="preserve">Datos Experimentales </t>
  </si>
  <si>
    <t>Slip ratio 0</t>
  </si>
  <si>
    <t>x1</t>
  </si>
  <si>
    <t>x1.25</t>
  </si>
  <si>
    <t>x1.5</t>
  </si>
  <si>
    <t>x1.75</t>
  </si>
  <si>
    <t>x2</t>
  </si>
  <si>
    <t>dw</t>
  </si>
  <si>
    <t>dw1</t>
  </si>
  <si>
    <t>dw2</t>
  </si>
  <si>
    <t>dw3</t>
  </si>
  <si>
    <t>Slip ratio 0.20</t>
  </si>
  <si>
    <t>Slip ratio 0.50</t>
  </si>
  <si>
    <t>Slip ratio 0.65</t>
  </si>
  <si>
    <t>Slip ratio 0.95</t>
  </si>
  <si>
    <t>Primer Experimento</t>
  </si>
  <si>
    <t>dmin</t>
  </si>
  <si>
    <t>dl</t>
  </si>
  <si>
    <t>dmax</t>
  </si>
  <si>
    <t>Constantes para todos los casos de slip</t>
  </si>
  <si>
    <t xml:space="preserve"> slip ratio 0.20</t>
  </si>
  <si>
    <t xml:space="preserve"> slip ratio 0</t>
  </si>
  <si>
    <t xml:space="preserve"> slip ratio 0.50</t>
  </si>
  <si>
    <t xml:space="preserve"> slip ratio 0.65</t>
  </si>
  <si>
    <t xml:space="preserve"> slip ratio 0.95</t>
  </si>
  <si>
    <t>Segundo Experimento</t>
  </si>
  <si>
    <t>Media de 3 pasos</t>
  </si>
  <si>
    <t>Resultados estimacion del derrape</t>
  </si>
  <si>
    <t>Tercer Experimento</t>
  </si>
  <si>
    <t>Media Experimentos</t>
  </si>
  <si>
    <t>Slip ratio 0.30</t>
  </si>
  <si>
    <t>Porcentaje error</t>
  </si>
  <si>
    <t xml:space="preserve"> slip ratio 0 (%)</t>
  </si>
  <si>
    <t>repetir</t>
  </si>
  <si>
    <t>Slip ratio 0.25</t>
  </si>
  <si>
    <t>slip ratio 0.25</t>
  </si>
  <si>
    <t xml:space="preserve"> slip ratio 0.30</t>
  </si>
  <si>
    <t>Obtenido en experimento de ND vs WW</t>
  </si>
  <si>
    <t>Slip teorico 0.20</t>
  </si>
  <si>
    <t>Slip teorico 0.25</t>
  </si>
  <si>
    <t>Slip teorico 0.30</t>
  </si>
  <si>
    <t>Slip teorico 0.50</t>
  </si>
  <si>
    <t>Slip teorico 0.65</t>
  </si>
  <si>
    <t>Distancia=0.454</t>
  </si>
  <si>
    <t>Tiempo=31.58</t>
  </si>
  <si>
    <t>Velocidad real ND=1.44 cm/s</t>
  </si>
  <si>
    <t>Slip real 0.28</t>
  </si>
  <si>
    <t>Distancia=0.3921</t>
  </si>
  <si>
    <t>Tiempo=38.73s</t>
  </si>
  <si>
    <t>Velocidad real ND=1.01 cm/s</t>
  </si>
  <si>
    <t>Slip real 0.495</t>
  </si>
  <si>
    <t>Distancia=0.3341</t>
  </si>
  <si>
    <t>Tiempo=27.06s</t>
  </si>
  <si>
    <t>Velocidad real ND=1.23cm/s</t>
  </si>
  <si>
    <t>Slip real  0.385</t>
  </si>
  <si>
    <t>Distancia= 0.26</t>
  </si>
  <si>
    <t>Tiempo=41.5s</t>
  </si>
  <si>
    <t>Velocidad real ND=0.63 cm/s</t>
  </si>
  <si>
    <t>Slip real 0.685</t>
  </si>
  <si>
    <t>Distancia= 0.267</t>
  </si>
  <si>
    <t>Tiempo= 59.7s</t>
  </si>
  <si>
    <t>Velocidad real ND= 0.45 cm/s</t>
  </si>
  <si>
    <t>Slip real 0.775</t>
  </si>
  <si>
    <t xml:space="preserve"> slip ratio 0.28</t>
  </si>
  <si>
    <t>slip ratio 0.385</t>
  </si>
  <si>
    <t xml:space="preserve"> slip ratio 0.495</t>
  </si>
  <si>
    <t xml:space="preserve"> slip ratio 0.685</t>
  </si>
  <si>
    <t xml:space="preserve"> slip ratio 0.775</t>
  </si>
  <si>
    <t xml:space="preserve"> slip ratio 0.28 (%)</t>
  </si>
  <si>
    <t>slip ratio 0.385 (%)</t>
  </si>
  <si>
    <t>slip ratio 0.495 (%)</t>
  </si>
  <si>
    <t xml:space="preserve"> slip ratio 0.685 (%)</t>
  </si>
  <si>
    <t xml:space="preserve"> slip ratio 0.775 (%)</t>
  </si>
  <si>
    <t>degrees</t>
  </si>
  <si>
    <t>Comprobado el mismo en carpet que en slip 0.50</t>
  </si>
  <si>
    <t>Slip velocidad x2 0.6351</t>
  </si>
  <si>
    <t>El slip ratio no es dependiente de la velocidad de la rueda, se aplicara un slip ratio fijo</t>
  </si>
  <si>
    <t>Es esta pestana se han corregido los slip ratios a los reales, dmin y dmax han sido corregidos a los obtenidos en la experimentacion en la alfombra</t>
  </si>
  <si>
    <t>dmin definitivo</t>
  </si>
  <si>
    <t>dmax ERRONEOS</t>
  </si>
  <si>
    <t>DMAX CORREGIDO</t>
  </si>
  <si>
    <t>dmin corregido</t>
  </si>
  <si>
    <t>Slip 0</t>
  </si>
  <si>
    <t>Slip 0.28</t>
  </si>
  <si>
    <t>Slip 0.385</t>
  </si>
  <si>
    <t>Slip 0.495</t>
  </si>
  <si>
    <t>Slip 0.685</t>
  </si>
  <si>
    <t>Slip 0.775</t>
  </si>
  <si>
    <t>Slip 0.4764</t>
  </si>
  <si>
    <t>Slip 0.645</t>
  </si>
  <si>
    <t>Slip 0.1907</t>
  </si>
  <si>
    <t>real</t>
  </si>
  <si>
    <t>simulacion</t>
  </si>
  <si>
    <t>porcentaje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</si>
</sst>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1" fillId="9" borderId="1" applyNumberFormat="0" applyAlignment="0" applyProtection="0"/>
    <xf numFmtId="0" fontId="17" fillId="10" borderId="0" applyNumberFormat="0" applyBorder="0" applyAlignment="0" applyProtection="0"/>
  </cellStyleXfs>
  <cellXfs count="69">
    <xf numFmtId="0" fontId="0" fillId="0" borderId="0" xfId="0"/>
    <xf numFmtId="0" fontId="2" fillId="2" borderId="0" xfId="1"/>
    <xf numFmtId="0" fontId="7" fillId="2" borderId="0" xfId="1" applyFont="1"/>
    <xf numFmtId="0" fontId="5" fillId="5" borderId="2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4" fillId="4" borderId="8" xfId="3" applyBorder="1"/>
    <xf numFmtId="0" fontId="3" fillId="3" borderId="0" xfId="2" applyBorder="1"/>
    <xf numFmtId="0" fontId="3" fillId="3" borderId="7" xfId="2" applyBorder="1"/>
    <xf numFmtId="0" fontId="2" fillId="2" borderId="0" xfId="1" applyBorder="1"/>
    <xf numFmtId="0" fontId="4" fillId="4" borderId="9" xfId="3" applyBorder="1"/>
    <xf numFmtId="0" fontId="2" fillId="2" borderId="10" xfId="1" applyBorder="1"/>
    <xf numFmtId="0" fontId="0" fillId="0" borderId="10" xfId="0" applyBorder="1"/>
    <xf numFmtId="0" fontId="0" fillId="0" borderId="11" xfId="0" applyBorder="1"/>
    <xf numFmtId="0" fontId="6" fillId="7" borderId="3" xfId="6" applyBorder="1"/>
    <xf numFmtId="0" fontId="6" fillId="7" borderId="4" xfId="6" applyBorder="1"/>
    <xf numFmtId="0" fontId="6" fillId="7" borderId="5" xfId="6" applyBorder="1"/>
    <xf numFmtId="0" fontId="2" fillId="2" borderId="6" xfId="1" applyBorder="1"/>
    <xf numFmtId="0" fontId="2" fillId="2" borderId="12" xfId="1" applyBorder="1"/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1" fillId="6" borderId="6" xfId="5" applyBorder="1"/>
    <xf numFmtId="0" fontId="1" fillId="6" borderId="0" xfId="5" applyBorder="1"/>
    <xf numFmtId="0" fontId="1" fillId="6" borderId="7" xfId="5" applyBorder="1"/>
    <xf numFmtId="0" fontId="0" fillId="0" borderId="12" xfId="0" applyBorder="1"/>
    <xf numFmtId="0" fontId="6" fillId="8" borderId="0" xfId="7"/>
    <xf numFmtId="0" fontId="0" fillId="0" borderId="0" xfId="0" applyFill="1" applyBorder="1"/>
    <xf numFmtId="0" fontId="9" fillId="2" borderId="6" xfId="1" applyFont="1" applyBorder="1"/>
    <xf numFmtId="0" fontId="8" fillId="0" borderId="0" xfId="0" applyFont="1" applyBorder="1"/>
    <xf numFmtId="0" fontId="8" fillId="0" borderId="7" xfId="0" applyFont="1" applyBorder="1"/>
    <xf numFmtId="0" fontId="9" fillId="2" borderId="12" xfId="1" applyFont="1" applyBorder="1"/>
    <xf numFmtId="0" fontId="10" fillId="7" borderId="3" xfId="6" applyFont="1" applyBorder="1"/>
    <xf numFmtId="0" fontId="10" fillId="7" borderId="4" xfId="6" applyFont="1" applyBorder="1"/>
    <xf numFmtId="0" fontId="10" fillId="7" borderId="5" xfId="6" applyFont="1" applyBorder="1"/>
    <xf numFmtId="0" fontId="10" fillId="7" borderId="1" xfId="6" applyFont="1" applyBorder="1"/>
    <xf numFmtId="0" fontId="8" fillId="0" borderId="13" xfId="0" applyFont="1" applyBorder="1"/>
    <xf numFmtId="0" fontId="11" fillId="9" borderId="14" xfId="8" applyBorder="1"/>
    <xf numFmtId="0" fontId="11" fillId="9" borderId="15" xfId="8" applyBorder="1"/>
    <xf numFmtId="0" fontId="11" fillId="9" borderId="16" xfId="8" applyBorder="1"/>
    <xf numFmtId="0" fontId="11" fillId="9" borderId="17" xfId="8" applyBorder="1"/>
    <xf numFmtId="0" fontId="11" fillId="9" borderId="18" xfId="8" applyBorder="1"/>
    <xf numFmtId="0" fontId="11" fillId="9" borderId="19" xfId="8" applyBorder="1"/>
    <xf numFmtId="0" fontId="12" fillId="2" borderId="6" xfId="1" applyFont="1" applyBorder="1"/>
    <xf numFmtId="0" fontId="13" fillId="0" borderId="7" xfId="0" applyFont="1" applyBorder="1"/>
    <xf numFmtId="0" fontId="12" fillId="2" borderId="12" xfId="1" applyFont="1" applyBorder="1"/>
    <xf numFmtId="0" fontId="14" fillId="0" borderId="0" xfId="0" applyFont="1"/>
    <xf numFmtId="0" fontId="15" fillId="2" borderId="6" xfId="1" applyFont="1" applyBorder="1"/>
    <xf numFmtId="0" fontId="15" fillId="2" borderId="12" xfId="1" applyFont="1" applyBorder="1"/>
    <xf numFmtId="0" fontId="11" fillId="9" borderId="1" xfId="8"/>
    <xf numFmtId="0" fontId="16" fillId="9" borderId="1" xfId="8" applyFont="1"/>
    <xf numFmtId="0" fontId="17" fillId="10" borderId="0" xfId="9"/>
    <xf numFmtId="0" fontId="0" fillId="0" borderId="13" xfId="0" applyBorder="1"/>
    <xf numFmtId="0" fontId="0" fillId="0" borderId="20" xfId="0" applyBorder="1"/>
    <xf numFmtId="0" fontId="13" fillId="0" borderId="13" xfId="0" applyFont="1" applyBorder="1"/>
    <xf numFmtId="0" fontId="3" fillId="3" borderId="0" xfId="2"/>
    <xf numFmtId="0" fontId="17" fillId="10" borderId="0" xfId="9" applyBorder="1"/>
    <xf numFmtId="0" fontId="17" fillId="10" borderId="10" xfId="9" applyBorder="1"/>
    <xf numFmtId="0" fontId="2" fillId="2" borderId="7" xfId="1" applyBorder="1"/>
    <xf numFmtId="0" fontId="2" fillId="2" borderId="11" xfId="1" applyBorder="1"/>
    <xf numFmtId="0" fontId="8" fillId="11" borderId="0" xfId="0" applyFont="1" applyFill="1" applyBorder="1"/>
    <xf numFmtId="0" fontId="0" fillId="11" borderId="0" xfId="0" applyFill="1" applyBorder="1"/>
    <xf numFmtId="0" fontId="5" fillId="11" borderId="0" xfId="4" applyFill="1" applyBorder="1"/>
    <xf numFmtId="0" fontId="10" fillId="11" borderId="0" xfId="6" applyFont="1" applyFill="1" applyBorder="1"/>
    <xf numFmtId="0" fontId="9" fillId="11" borderId="0" xfId="1" applyFont="1" applyFill="1" applyBorder="1"/>
  </cellXfs>
  <cellStyles count="10">
    <cellStyle name="20% - Énfasis1" xfId="5" builtinId="30"/>
    <cellStyle name="Bueno" xfId="1" builtinId="26"/>
    <cellStyle name="Cálculo" xfId="3" builtinId="22"/>
    <cellStyle name="Celda de comprobación" xfId="4" builtinId="23"/>
    <cellStyle name="Énfasis2" xfId="6" builtinId="33"/>
    <cellStyle name="Énfasis5" xfId="7" builtinId="45"/>
    <cellStyle name="Entrada" xfId="8" builtinId="20"/>
    <cellStyle name="Incorrecto" xfId="9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percentage estimating the Slip ratio</a:t>
            </a:r>
          </a:p>
        </c:rich>
      </c:tx>
      <c:layout>
        <c:manualLayout>
          <c:xMode val="edge"/>
          <c:yMode val="edge"/>
          <c:x val="0.41921024076119362"/>
          <c:y val="1.111111273127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5461258519155695E-2"/>
          <c:y val="7.4823815400054533E-2"/>
          <c:w val="0.95773201879176872"/>
          <c:h val="0.86059645845829924"/>
        </c:manualLayout>
      </c:layout>
      <c:lineChart>
        <c:grouping val="standard"/>
        <c:varyColors val="0"/>
        <c:ser>
          <c:idx val="0"/>
          <c:order val="0"/>
          <c:tx>
            <c:strRef>
              <c:f>'Slip ratio estimation'!$L$73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'Slip ratio estimation'!$M$72:$R$72</c:f>
              <c:strCache>
                <c:ptCount val="6"/>
                <c:pt idx="0">
                  <c:v>Slip 0</c:v>
                </c:pt>
                <c:pt idx="1">
                  <c:v>Slip 0.28</c:v>
                </c:pt>
                <c:pt idx="2">
                  <c:v>Slip 0.385</c:v>
                </c:pt>
                <c:pt idx="3">
                  <c:v>Slip 0.495</c:v>
                </c:pt>
                <c:pt idx="4">
                  <c:v>Slip 0.685</c:v>
                </c:pt>
                <c:pt idx="5">
                  <c:v>Slip 0.775</c:v>
                </c:pt>
              </c:strCache>
            </c:strRef>
          </c:cat>
          <c:val>
            <c:numRef>
              <c:f>'Slip ratio estimation'!$M$73:$R$73</c:f>
              <c:numCache>
                <c:formatCode>General</c:formatCode>
                <c:ptCount val="6"/>
                <c:pt idx="0">
                  <c:v>1.5819486644104201</c:v>
                </c:pt>
                <c:pt idx="1">
                  <c:v>-4.2707700338425827</c:v>
                </c:pt>
                <c:pt idx="2">
                  <c:v>22.405023579804496</c:v>
                </c:pt>
                <c:pt idx="3">
                  <c:v>13.823074915393569</c:v>
                </c:pt>
                <c:pt idx="4">
                  <c:v>26.416919864629907</c:v>
                </c:pt>
                <c:pt idx="5">
                  <c:v>53.010764813866231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EBC-8415-620204BF6B8E}"/>
            </c:ext>
          </c:extLst>
        </c:ser>
        <c:ser>
          <c:idx val="1"/>
          <c:order val="1"/>
          <c:tx>
            <c:strRef>
              <c:f>'Slip ratio estimation'!$L$74</c:f>
              <c:strCache>
                <c:ptCount val="1"/>
                <c:pt idx="0">
                  <c:v>x1.25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'Slip ratio estimation'!$M$72:$R$72</c:f>
              <c:strCache>
                <c:ptCount val="6"/>
                <c:pt idx="0">
                  <c:v>Slip 0</c:v>
                </c:pt>
                <c:pt idx="1">
                  <c:v>Slip 0.28</c:v>
                </c:pt>
                <c:pt idx="2">
                  <c:v>Slip 0.385</c:v>
                </c:pt>
                <c:pt idx="3">
                  <c:v>Slip 0.495</c:v>
                </c:pt>
                <c:pt idx="4">
                  <c:v>Slip 0.685</c:v>
                </c:pt>
                <c:pt idx="5">
                  <c:v>Slip 0.775</c:v>
                </c:pt>
              </c:strCache>
            </c:strRef>
          </c:cat>
          <c:val>
            <c:numRef>
              <c:f>'Slip ratio estimation'!$M$74:$R$74</c:f>
              <c:numCache>
                <c:formatCode>General</c:formatCode>
                <c:ptCount val="6"/>
                <c:pt idx="0">
                  <c:v>1.2325963310174415</c:v>
                </c:pt>
                <c:pt idx="1">
                  <c:v>-5.196967876186215</c:v>
                </c:pt>
                <c:pt idx="2">
                  <c:v>22.513518385339783</c:v>
                </c:pt>
                <c:pt idx="3">
                  <c:v>29.072078026526498</c:v>
                </c:pt>
                <c:pt idx="4">
                  <c:v>19.014339502204546</c:v>
                </c:pt>
                <c:pt idx="5">
                  <c:v>32.201073460509591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EBC-8415-620204BF6B8E}"/>
            </c:ext>
          </c:extLst>
        </c:ser>
        <c:ser>
          <c:idx val="2"/>
          <c:order val="2"/>
          <c:tx>
            <c:strRef>
              <c:f>'Slip ratio estimation'!$L$75</c:f>
              <c:strCache>
                <c:ptCount val="1"/>
                <c:pt idx="0">
                  <c:v>x1.5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'Slip ratio estimation'!$M$72:$R$72</c:f>
              <c:strCache>
                <c:ptCount val="6"/>
                <c:pt idx="0">
                  <c:v>Slip 0</c:v>
                </c:pt>
                <c:pt idx="1">
                  <c:v>Slip 0.28</c:v>
                </c:pt>
                <c:pt idx="2">
                  <c:v>Slip 0.385</c:v>
                </c:pt>
                <c:pt idx="3">
                  <c:v>Slip 0.495</c:v>
                </c:pt>
                <c:pt idx="4">
                  <c:v>Slip 0.685</c:v>
                </c:pt>
                <c:pt idx="5">
                  <c:v>Slip 0.775</c:v>
                </c:pt>
              </c:strCache>
            </c:strRef>
          </c:cat>
          <c:val>
            <c:numRef>
              <c:f>'Slip ratio estimation'!$M$75:$R$75</c:f>
              <c:numCache>
                <c:formatCode>General</c:formatCode>
                <c:ptCount val="6"/>
                <c:pt idx="0">
                  <c:v>0.52032933579795004</c:v>
                </c:pt>
                <c:pt idx="1">
                  <c:v>4.26041881948046</c:v>
                </c:pt>
                <c:pt idx="2">
                  <c:v>19.256556273586067</c:v>
                </c:pt>
                <c:pt idx="3">
                  <c:v>18.500508303163173</c:v>
                </c:pt>
                <c:pt idx="4">
                  <c:v>9.5494003697107246</c:v>
                </c:pt>
                <c:pt idx="5">
                  <c:v>21.362573801633722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EBC-8415-620204BF6B8E}"/>
            </c:ext>
          </c:extLst>
        </c:ser>
        <c:ser>
          <c:idx val="3"/>
          <c:order val="3"/>
          <c:tx>
            <c:strRef>
              <c:f>'Slip ratio estimation'!$L$76</c:f>
              <c:strCache>
                <c:ptCount val="1"/>
                <c:pt idx="0">
                  <c:v>x1.75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'Slip ratio estimation'!$M$72:$R$72</c:f>
              <c:strCache>
                <c:ptCount val="6"/>
                <c:pt idx="0">
                  <c:v>Slip 0</c:v>
                </c:pt>
                <c:pt idx="1">
                  <c:v>Slip 0.28</c:v>
                </c:pt>
                <c:pt idx="2">
                  <c:v>Slip 0.385</c:v>
                </c:pt>
                <c:pt idx="3">
                  <c:v>Slip 0.495</c:v>
                </c:pt>
                <c:pt idx="4">
                  <c:v>Slip 0.685</c:v>
                </c:pt>
                <c:pt idx="5">
                  <c:v>Slip 0.775</c:v>
                </c:pt>
              </c:strCache>
            </c:strRef>
          </c:cat>
          <c:val>
            <c:numRef>
              <c:f>'Slip ratio estimation'!$M$76:$R$76</c:f>
              <c:numCache>
                <c:formatCode>General</c:formatCode>
                <c:ptCount val="6"/>
                <c:pt idx="0">
                  <c:v>4.243908596579355</c:v>
                </c:pt>
                <c:pt idx="1">
                  <c:v>11.468349948186408</c:v>
                </c:pt>
                <c:pt idx="2">
                  <c:v>23.461065510055956</c:v>
                </c:pt>
                <c:pt idx="3">
                  <c:v>16.461065510056333</c:v>
                </c:pt>
                <c:pt idx="4">
                  <c:v>8.7391364577412141</c:v>
                </c:pt>
                <c:pt idx="5">
                  <c:v>14.168425686110741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C-4EBC-8415-620204BF6B8E}"/>
            </c:ext>
          </c:extLst>
        </c:ser>
        <c:ser>
          <c:idx val="4"/>
          <c:order val="4"/>
          <c:tx>
            <c:strRef>
              <c:f>'Slip ratio estimation'!$L$77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'Slip ratio estimation'!$M$72:$R$72</c:f>
              <c:strCache>
                <c:ptCount val="6"/>
                <c:pt idx="0">
                  <c:v>Slip 0</c:v>
                </c:pt>
                <c:pt idx="1">
                  <c:v>Slip 0.28</c:v>
                </c:pt>
                <c:pt idx="2">
                  <c:v>Slip 0.385</c:v>
                </c:pt>
                <c:pt idx="3">
                  <c:v>Slip 0.495</c:v>
                </c:pt>
                <c:pt idx="4">
                  <c:v>Slip 0.685</c:v>
                </c:pt>
                <c:pt idx="5">
                  <c:v>Slip 0.775</c:v>
                </c:pt>
              </c:strCache>
            </c:strRef>
          </c:cat>
          <c:val>
            <c:numRef>
              <c:f>'Slip ratio estimation'!$M$77:$R$77</c:f>
              <c:numCache>
                <c:formatCode>General</c:formatCode>
                <c:ptCount val="6"/>
                <c:pt idx="0">
                  <c:v>1.5323194943951106</c:v>
                </c:pt>
                <c:pt idx="1">
                  <c:v>-4.6321277104664018</c:v>
                </c:pt>
                <c:pt idx="2">
                  <c:v>-5.5551308704935192</c:v>
                </c:pt>
                <c:pt idx="3">
                  <c:v>10.812741419039723</c:v>
                </c:pt>
                <c:pt idx="4">
                  <c:v>4.2851759837929766</c:v>
                </c:pt>
                <c:pt idx="5">
                  <c:v>11.374530674947202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C-4EBC-8415-620204BF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22224"/>
        <c:axId val="505922552"/>
      </c:lineChart>
      <c:catAx>
        <c:axId val="5059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22552"/>
        <c:crosses val="autoZero"/>
        <c:auto val="1"/>
        <c:lblAlgn val="ctr"/>
        <c:lblOffset val="100"/>
        <c:noMultiLvlLbl val="0"/>
      </c:catAx>
      <c:valAx>
        <c:axId val="5059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simulacion-real'!$D$9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'Comparativa simulacion-real'!$E$8:$J$8</c:f>
              <c:strCache>
                <c:ptCount val="6"/>
                <c:pt idx="0">
                  <c:v>Slip 0</c:v>
                </c:pt>
                <c:pt idx="1">
                  <c:v>Slip 0.28</c:v>
                </c:pt>
                <c:pt idx="2">
                  <c:v>Slip 0.385</c:v>
                </c:pt>
                <c:pt idx="3">
                  <c:v>Slip 0.495</c:v>
                </c:pt>
                <c:pt idx="4">
                  <c:v>Slip 0.685</c:v>
                </c:pt>
                <c:pt idx="5">
                  <c:v>Slip 0.775</c:v>
                </c:pt>
              </c:strCache>
            </c:strRef>
          </c:cat>
          <c:val>
            <c:numRef>
              <c:f>'Comparativa simulacion-real'!$E$9:$J$9</c:f>
              <c:numCache>
                <c:formatCode>General</c:formatCode>
                <c:ptCount val="6"/>
                <c:pt idx="0">
                  <c:v>1.5323194943951106</c:v>
                </c:pt>
                <c:pt idx="1">
                  <c:v>-4.6321277104664018</c:v>
                </c:pt>
                <c:pt idx="2">
                  <c:v>-5.5551308704935192</c:v>
                </c:pt>
                <c:pt idx="3">
                  <c:v>10.812741419039723</c:v>
                </c:pt>
                <c:pt idx="4">
                  <c:v>4.2851759837929766</c:v>
                </c:pt>
                <c:pt idx="5">
                  <c:v>11.374530674947202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5-4AB3-B71F-9FF3F9D1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24824"/>
        <c:axId val="526823840"/>
      </c:lineChart>
      <c:catAx>
        <c:axId val="52682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823840"/>
        <c:crosses val="autoZero"/>
        <c:auto val="1"/>
        <c:lblAlgn val="ctr"/>
        <c:lblOffset val="100"/>
        <c:noMultiLvlLbl val="0"/>
      </c:catAx>
      <c:valAx>
        <c:axId val="526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82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simulacion-real'!$D$20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'Comparativa simulacion-real'!$E$19:$H$19</c:f>
              <c:strCache>
                <c:ptCount val="4"/>
                <c:pt idx="0">
                  <c:v>Slip 0</c:v>
                </c:pt>
                <c:pt idx="1">
                  <c:v>Slip 0.1907</c:v>
                </c:pt>
                <c:pt idx="2">
                  <c:v>Slip 0.4764</c:v>
                </c:pt>
                <c:pt idx="3">
                  <c:v>Slip 0.645</c:v>
                </c:pt>
              </c:strCache>
            </c:strRef>
          </c:cat>
          <c:val>
            <c:numRef>
              <c:f>'Comparativa simulacion-real'!$E$20:$H$20</c:f>
              <c:numCache>
                <c:formatCode>General</c:formatCode>
                <c:ptCount val="4"/>
                <c:pt idx="0">
                  <c:v>8.74</c:v>
                </c:pt>
                <c:pt idx="1">
                  <c:v>4.089999999999999</c:v>
                </c:pt>
                <c:pt idx="2">
                  <c:v>-7.61</c:v>
                </c:pt>
                <c:pt idx="3">
                  <c:v>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2-4F3E-B426-5DB41AA6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92376"/>
        <c:axId val="405372224"/>
      </c:lineChart>
      <c:catAx>
        <c:axId val="5248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372224"/>
        <c:crosses val="autoZero"/>
        <c:auto val="1"/>
        <c:lblAlgn val="ctr"/>
        <c:lblOffset val="100"/>
        <c:noMultiLvlLbl val="0"/>
      </c:catAx>
      <c:valAx>
        <c:axId val="4053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89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559592</xdr:colOff>
      <xdr:row>66</xdr:row>
      <xdr:rowOff>59532</xdr:rowOff>
    </xdr:from>
    <xdr:to>
      <xdr:col>40</xdr:col>
      <xdr:colOff>226218</xdr:colOff>
      <xdr:row>101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13</xdr:row>
      <xdr:rowOff>123825</xdr:rowOff>
    </xdr:from>
    <xdr:to>
      <xdr:col>19</xdr:col>
      <xdr:colOff>561975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13</xdr:row>
      <xdr:rowOff>57150</xdr:rowOff>
    </xdr:from>
    <xdr:to>
      <xdr:col>27</xdr:col>
      <xdr:colOff>342900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N159"/>
  <sheetViews>
    <sheetView tabSelected="1" topLeftCell="A43" zoomScale="70" zoomScaleNormal="70" workbookViewId="0">
      <selection activeCell="O166" sqref="O166"/>
    </sheetView>
  </sheetViews>
  <sheetFormatPr baseColWidth="10" defaultColWidth="8.88671875" defaultRowHeight="14.4"/>
  <sheetData>
    <row r="6" spans="1:33" ht="21">
      <c r="A6" s="2" t="s">
        <v>0</v>
      </c>
      <c r="B6" s="2"/>
      <c r="C6" s="2"/>
      <c r="D6" s="1"/>
    </row>
    <row r="11" spans="1:33" ht="15" thickBot="1"/>
    <row r="12" spans="1:33" ht="15.6" thickTop="1" thickBot="1">
      <c r="E12" s="3" t="s">
        <v>15</v>
      </c>
      <c r="F12" s="3"/>
    </row>
    <row r="13" spans="1:33" ht="15.6" thickTop="1" thickBot="1"/>
    <row r="14" spans="1:33">
      <c r="A14" s="23"/>
      <c r="B14" s="24" t="s">
        <v>1</v>
      </c>
      <c r="C14" s="24"/>
      <c r="D14" s="24"/>
      <c r="E14" s="24"/>
      <c r="F14" s="5"/>
      <c r="G14" s="5"/>
      <c r="H14" s="24"/>
      <c r="I14" s="24" t="s">
        <v>11</v>
      </c>
      <c r="J14" s="24"/>
      <c r="K14" s="24"/>
      <c r="L14" s="24"/>
      <c r="M14" s="5"/>
      <c r="N14" s="5"/>
      <c r="O14" s="24"/>
      <c r="P14" s="24" t="s">
        <v>12</v>
      </c>
      <c r="Q14" s="24"/>
      <c r="R14" s="24"/>
      <c r="S14" s="24"/>
      <c r="T14" s="5"/>
      <c r="U14" s="5"/>
      <c r="V14" s="24"/>
      <c r="W14" s="24" t="s">
        <v>13</v>
      </c>
      <c r="X14" s="24"/>
      <c r="Y14" s="24"/>
      <c r="Z14" s="24"/>
      <c r="AA14" s="5"/>
      <c r="AB14" s="5"/>
      <c r="AC14" s="24"/>
      <c r="AD14" s="24" t="s">
        <v>14</v>
      </c>
      <c r="AE14" s="24"/>
      <c r="AF14" s="24"/>
      <c r="AG14" s="25"/>
    </row>
    <row r="15" spans="1:33">
      <c r="A15" s="26"/>
      <c r="B15" s="27" t="s">
        <v>8</v>
      </c>
      <c r="C15" s="27" t="s">
        <v>9</v>
      </c>
      <c r="D15" s="27" t="s">
        <v>10</v>
      </c>
      <c r="E15" s="27" t="s">
        <v>7</v>
      </c>
      <c r="F15" s="8"/>
      <c r="G15" s="8"/>
      <c r="H15" s="27"/>
      <c r="I15" s="27" t="s">
        <v>8</v>
      </c>
      <c r="J15" s="27" t="s">
        <v>9</v>
      </c>
      <c r="K15" s="27" t="s">
        <v>10</v>
      </c>
      <c r="L15" s="27" t="s">
        <v>7</v>
      </c>
      <c r="M15" s="8"/>
      <c r="N15" s="8"/>
      <c r="O15" s="27"/>
      <c r="P15" s="27" t="s">
        <v>8</v>
      </c>
      <c r="Q15" s="27" t="s">
        <v>9</v>
      </c>
      <c r="R15" s="27" t="s">
        <v>10</v>
      </c>
      <c r="S15" s="27" t="s">
        <v>7</v>
      </c>
      <c r="T15" s="8"/>
      <c r="U15" s="8"/>
      <c r="V15" s="27"/>
      <c r="W15" s="27" t="s">
        <v>8</v>
      </c>
      <c r="X15" s="27" t="s">
        <v>9</v>
      </c>
      <c r="Y15" s="27" t="s">
        <v>10</v>
      </c>
      <c r="Z15" s="27" t="s">
        <v>7</v>
      </c>
      <c r="AA15" s="8"/>
      <c r="AB15" s="8"/>
      <c r="AC15" s="27"/>
      <c r="AD15" s="27" t="s">
        <v>8</v>
      </c>
      <c r="AE15" s="27" t="s">
        <v>9</v>
      </c>
      <c r="AF15" s="27" t="s">
        <v>10</v>
      </c>
      <c r="AG15" s="28" t="s">
        <v>7</v>
      </c>
    </row>
    <row r="16" spans="1:33">
      <c r="A16" s="21" t="s">
        <v>2</v>
      </c>
      <c r="B16" s="8">
        <v>7.1999999999999995E-2</v>
      </c>
      <c r="C16" s="8">
        <v>7.1999999999999995E-2</v>
      </c>
      <c r="D16" s="8">
        <v>7.0000000000000007E-2</v>
      </c>
      <c r="E16" s="8">
        <f t="shared" ref="E16:E20" si="0">AVERAGE(B16:D16)</f>
        <v>7.1333333333333332E-2</v>
      </c>
      <c r="F16" s="8"/>
      <c r="G16" s="8"/>
      <c r="H16" s="13" t="s">
        <v>2</v>
      </c>
      <c r="I16" s="8">
        <v>6.7000000000000004E-2</v>
      </c>
      <c r="J16" s="8">
        <v>7.0000000000000007E-2</v>
      </c>
      <c r="K16" s="8">
        <v>6.4000000000000001E-2</v>
      </c>
      <c r="L16" s="8">
        <f t="shared" ref="L16:L20" si="1">AVERAGE(I16:K16)</f>
        <v>6.7000000000000004E-2</v>
      </c>
      <c r="M16" s="8"/>
      <c r="N16" s="8"/>
      <c r="O16" s="13" t="s">
        <v>2</v>
      </c>
      <c r="P16" s="8">
        <v>3.9E-2</v>
      </c>
      <c r="Q16" s="8">
        <v>3.5000000000000003E-2</v>
      </c>
      <c r="R16" s="8">
        <v>3.5000000000000003E-2</v>
      </c>
      <c r="S16" s="8">
        <f t="shared" ref="S16:S19" si="2">AVERAGE(P16:R16)</f>
        <v>3.6333333333333336E-2</v>
      </c>
      <c r="T16" s="8"/>
      <c r="U16" s="8"/>
      <c r="V16" s="13" t="s">
        <v>2</v>
      </c>
      <c r="W16" s="8">
        <v>2.4E-2</v>
      </c>
      <c r="X16" s="8">
        <v>2.1999999999999999E-2</v>
      </c>
      <c r="Y16" s="8"/>
      <c r="Z16" s="8">
        <f t="shared" ref="Z16:Z20" si="3">AVERAGE(W16:Y16)</f>
        <v>2.3E-2</v>
      </c>
      <c r="AA16" s="8"/>
      <c r="AB16" s="8"/>
      <c r="AC16" s="13" t="s">
        <v>2</v>
      </c>
      <c r="AD16" s="8"/>
      <c r="AE16" s="8"/>
      <c r="AF16" s="8"/>
      <c r="AG16" s="9"/>
    </row>
    <row r="17" spans="1:33">
      <c r="A17" s="21" t="s">
        <v>3</v>
      </c>
      <c r="B17" s="8">
        <v>7.2999999999999995E-2</v>
      </c>
      <c r="C17" s="8">
        <v>7.5999999999999998E-2</v>
      </c>
      <c r="D17" s="8">
        <v>7.2999999999999995E-2</v>
      </c>
      <c r="E17" s="8">
        <f t="shared" si="0"/>
        <v>7.3999999999999996E-2</v>
      </c>
      <c r="F17" s="8"/>
      <c r="G17" s="8"/>
      <c r="H17" s="13" t="s">
        <v>3</v>
      </c>
      <c r="I17" s="8">
        <v>7.3999999999999996E-2</v>
      </c>
      <c r="J17" s="8">
        <v>7.3999999999999996E-2</v>
      </c>
      <c r="K17" s="8">
        <v>7.0000000000000007E-2</v>
      </c>
      <c r="L17" s="8">
        <f t="shared" si="1"/>
        <v>7.2666666666666671E-2</v>
      </c>
      <c r="M17" s="8"/>
      <c r="N17" s="8"/>
      <c r="O17" s="13" t="s">
        <v>3</v>
      </c>
      <c r="P17" s="8">
        <v>4.9000000000000002E-2</v>
      </c>
      <c r="Q17" s="8">
        <v>4.7E-2</v>
      </c>
      <c r="R17" s="8">
        <v>4.8000000000000001E-2</v>
      </c>
      <c r="S17" s="8">
        <f t="shared" si="2"/>
        <v>4.8000000000000008E-2</v>
      </c>
      <c r="T17" s="8"/>
      <c r="U17" s="8"/>
      <c r="V17" s="13" t="s">
        <v>3</v>
      </c>
      <c r="W17" s="8">
        <v>2.1999999999999999E-2</v>
      </c>
      <c r="X17" s="8">
        <v>2.3E-2</v>
      </c>
      <c r="Y17" s="8"/>
      <c r="Z17" s="8">
        <f t="shared" si="3"/>
        <v>2.2499999999999999E-2</v>
      </c>
      <c r="AA17" s="8"/>
      <c r="AB17" s="8"/>
      <c r="AC17" s="13" t="s">
        <v>3</v>
      </c>
      <c r="AD17" s="8"/>
      <c r="AE17" s="8"/>
      <c r="AF17" s="8"/>
      <c r="AG17" s="9"/>
    </row>
    <row r="18" spans="1:33">
      <c r="A18" s="21" t="s">
        <v>4</v>
      </c>
      <c r="B18" s="8">
        <v>8.7999999999999995E-2</v>
      </c>
      <c r="C18" s="8">
        <v>8.4000000000000005E-2</v>
      </c>
      <c r="D18" s="8">
        <v>0.09</v>
      </c>
      <c r="E18" s="8">
        <f t="shared" si="0"/>
        <v>8.7333333333333332E-2</v>
      </c>
      <c r="F18" s="8"/>
      <c r="G18" s="8"/>
      <c r="H18" s="13" t="s">
        <v>4</v>
      </c>
      <c r="I18" s="8">
        <v>6.4000000000000001E-2</v>
      </c>
      <c r="J18" s="8">
        <v>7.6999999999999999E-2</v>
      </c>
      <c r="K18" s="8">
        <v>7.0000000000000007E-2</v>
      </c>
      <c r="L18" s="8">
        <f t="shared" si="1"/>
        <v>7.0333333333333345E-2</v>
      </c>
      <c r="M18" s="8"/>
      <c r="N18" s="8"/>
      <c r="O18" s="13" t="s">
        <v>4</v>
      </c>
      <c r="P18" s="8">
        <v>4.8000000000000001E-2</v>
      </c>
      <c r="Q18" s="8">
        <v>4.7E-2</v>
      </c>
      <c r="R18" s="8"/>
      <c r="S18" s="8">
        <f t="shared" si="2"/>
        <v>4.7500000000000001E-2</v>
      </c>
      <c r="T18" s="8"/>
      <c r="U18" s="8"/>
      <c r="V18" s="13" t="s">
        <v>4</v>
      </c>
      <c r="W18" s="8">
        <v>2.5999999999999999E-2</v>
      </c>
      <c r="X18" s="8">
        <v>2.1999999999999999E-2</v>
      </c>
      <c r="Y18" s="8">
        <v>2.5000000000000001E-2</v>
      </c>
      <c r="Z18" s="8">
        <f t="shared" si="3"/>
        <v>2.4333333333333335E-2</v>
      </c>
      <c r="AA18" s="8"/>
      <c r="AB18" s="8"/>
      <c r="AC18" s="13" t="s">
        <v>4</v>
      </c>
      <c r="AD18" s="8"/>
      <c r="AE18" s="8"/>
      <c r="AF18" s="8"/>
      <c r="AG18" s="9"/>
    </row>
    <row r="19" spans="1:33">
      <c r="A19" s="21" t="s">
        <v>5</v>
      </c>
      <c r="B19" s="8">
        <v>9.8000000000000004E-2</v>
      </c>
      <c r="C19" s="8">
        <v>9.2999999999999999E-2</v>
      </c>
      <c r="D19" s="8">
        <v>9.6000000000000002E-2</v>
      </c>
      <c r="E19" s="8">
        <f t="shared" si="0"/>
        <v>9.5666666666666678E-2</v>
      </c>
      <c r="F19" s="8"/>
      <c r="G19" s="8"/>
      <c r="H19" s="13" t="s">
        <v>5</v>
      </c>
      <c r="I19" s="8">
        <v>7.0000000000000007E-2</v>
      </c>
      <c r="J19" s="8">
        <v>7.9000000000000001E-2</v>
      </c>
      <c r="K19" s="8">
        <v>7.0000000000000007E-2</v>
      </c>
      <c r="L19" s="8">
        <f t="shared" si="1"/>
        <v>7.3000000000000009E-2</v>
      </c>
      <c r="M19" s="8"/>
      <c r="N19" s="8"/>
      <c r="O19" s="13" t="s">
        <v>5</v>
      </c>
      <c r="P19" s="8">
        <v>3.9E-2</v>
      </c>
      <c r="Q19" s="8">
        <v>4.7E-2</v>
      </c>
      <c r="R19" s="8"/>
      <c r="S19" s="8">
        <f t="shared" si="2"/>
        <v>4.2999999999999997E-2</v>
      </c>
      <c r="T19" s="8"/>
      <c r="U19" s="8"/>
      <c r="V19" s="13" t="s">
        <v>5</v>
      </c>
      <c r="W19" s="8">
        <v>2.9000000000000001E-2</v>
      </c>
      <c r="X19" s="8">
        <v>2.7E-2</v>
      </c>
      <c r="Y19" s="8"/>
      <c r="Z19" s="8">
        <f t="shared" si="3"/>
        <v>2.8000000000000001E-2</v>
      </c>
      <c r="AA19" s="8"/>
      <c r="AB19" s="8"/>
      <c r="AC19" s="13" t="s">
        <v>5</v>
      </c>
      <c r="AD19" s="8"/>
      <c r="AE19" s="8"/>
      <c r="AF19" s="8"/>
      <c r="AG19" s="9"/>
    </row>
    <row r="20" spans="1:33">
      <c r="A20" s="21" t="s">
        <v>6</v>
      </c>
      <c r="B20" s="8">
        <v>0.10100000000000001</v>
      </c>
      <c r="C20" s="8">
        <v>0.1</v>
      </c>
      <c r="D20" s="8">
        <v>0.10100000000000001</v>
      </c>
      <c r="E20" s="8">
        <f t="shared" si="0"/>
        <v>0.10066666666666668</v>
      </c>
      <c r="F20" s="8"/>
      <c r="G20" s="8"/>
      <c r="H20" s="13" t="s">
        <v>6</v>
      </c>
      <c r="I20" s="8">
        <v>8.7999999999999995E-2</v>
      </c>
      <c r="J20" s="8">
        <v>9.1999999999999998E-2</v>
      </c>
      <c r="K20" s="8">
        <v>8.8999999999999996E-2</v>
      </c>
      <c r="L20" s="8">
        <f t="shared" si="1"/>
        <v>8.9666666666666672E-2</v>
      </c>
      <c r="M20" s="8"/>
      <c r="N20" s="8"/>
      <c r="O20" s="13" t="s">
        <v>6</v>
      </c>
      <c r="P20" s="8">
        <v>4.4999999999999998E-2</v>
      </c>
      <c r="Q20" s="8">
        <v>0.04</v>
      </c>
      <c r="R20" s="8">
        <v>3.9E-2</v>
      </c>
      <c r="S20" s="8">
        <f>AVERAGE(P20:R20)</f>
        <v>4.1333333333333333E-2</v>
      </c>
      <c r="T20" s="8"/>
      <c r="U20" s="8"/>
      <c r="V20" s="13" t="s">
        <v>6</v>
      </c>
      <c r="W20" s="8">
        <v>2.5999999999999999E-2</v>
      </c>
      <c r="X20" s="8"/>
      <c r="Y20" s="8"/>
      <c r="Z20" s="8">
        <f t="shared" si="3"/>
        <v>2.5999999999999999E-2</v>
      </c>
      <c r="AA20" s="8"/>
      <c r="AB20" s="8"/>
      <c r="AC20" s="13" t="s">
        <v>6</v>
      </c>
      <c r="AD20" s="8"/>
      <c r="AE20" s="8"/>
      <c r="AF20" s="8"/>
      <c r="AG20" s="9"/>
    </row>
    <row r="21" spans="1:33" ht="15" thickBot="1">
      <c r="A21" s="29"/>
      <c r="B21" s="16"/>
      <c r="C21" s="16"/>
      <c r="D21" s="16"/>
      <c r="E21" s="16" t="s">
        <v>26</v>
      </c>
      <c r="F21" s="16"/>
      <c r="G21" s="16"/>
      <c r="H21" s="16"/>
      <c r="I21" s="16"/>
      <c r="J21" s="16"/>
      <c r="K21" s="16"/>
      <c r="L21" s="16" t="s">
        <v>26</v>
      </c>
      <c r="M21" s="16"/>
      <c r="N21" s="16"/>
      <c r="O21" s="16"/>
      <c r="P21" s="16"/>
      <c r="Q21" s="16"/>
      <c r="R21" s="16"/>
      <c r="S21" s="16" t="s">
        <v>26</v>
      </c>
      <c r="T21" s="16"/>
      <c r="U21" s="16"/>
      <c r="V21" s="16"/>
      <c r="W21" s="16"/>
      <c r="X21" s="16"/>
      <c r="Y21" s="16"/>
      <c r="Z21" s="16" t="s">
        <v>26</v>
      </c>
      <c r="AA21" s="16"/>
      <c r="AB21" s="16"/>
      <c r="AC21" s="16"/>
      <c r="AD21" s="16"/>
      <c r="AE21" s="16"/>
      <c r="AF21" s="16"/>
      <c r="AG21" s="17"/>
    </row>
    <row r="25" spans="1:33" ht="15" thickBot="1"/>
    <row r="26" spans="1:33">
      <c r="A26" s="4" t="s">
        <v>19</v>
      </c>
      <c r="B26" s="5"/>
      <c r="C26" s="5"/>
      <c r="D26" s="6"/>
      <c r="F26" t="s">
        <v>27</v>
      </c>
    </row>
    <row r="27" spans="1:33" ht="15" thickBot="1">
      <c r="A27" s="7"/>
      <c r="B27" s="8"/>
      <c r="C27" s="8"/>
      <c r="D27" s="9"/>
    </row>
    <row r="28" spans="1:33">
      <c r="A28" s="10" t="s">
        <v>16</v>
      </c>
      <c r="B28" s="8"/>
      <c r="C28" s="11" t="s">
        <v>17</v>
      </c>
      <c r="D28" s="12" t="s">
        <v>18</v>
      </c>
      <c r="F28" s="18" t="s">
        <v>21</v>
      </c>
      <c r="G28" s="19"/>
      <c r="H28" s="5"/>
      <c r="I28" s="19" t="s">
        <v>20</v>
      </c>
      <c r="J28" s="19"/>
      <c r="K28" s="5"/>
      <c r="L28" s="19" t="s">
        <v>22</v>
      </c>
      <c r="M28" s="19"/>
      <c r="N28" s="5"/>
      <c r="O28" s="19" t="s">
        <v>23</v>
      </c>
      <c r="P28" s="19"/>
      <c r="Q28" s="5"/>
      <c r="R28" s="19" t="s">
        <v>24</v>
      </c>
      <c r="S28" s="20"/>
    </row>
    <row r="29" spans="1:33">
      <c r="A29" s="10">
        <v>0.03</v>
      </c>
      <c r="B29" s="13" t="s">
        <v>2</v>
      </c>
      <c r="C29" s="8">
        <v>4.9000000000000002E-2</v>
      </c>
      <c r="D29" s="9">
        <f>C29+A29</f>
        <v>7.9000000000000001E-2</v>
      </c>
      <c r="F29" s="21" t="s">
        <v>2</v>
      </c>
      <c r="G29" s="8">
        <f>((D29-E16)/(D29-A29))</f>
        <v>0.15646258503401364</v>
      </c>
      <c r="H29" s="8"/>
      <c r="I29" s="13" t="s">
        <v>2</v>
      </c>
      <c r="J29" s="8">
        <f>(D29-L16)/(D29-A29)</f>
        <v>0.24489795918367338</v>
      </c>
      <c r="K29" s="8"/>
      <c r="L29" s="13" t="s">
        <v>2</v>
      </c>
      <c r="M29" s="8">
        <f>(D29-S16)/(D29-A29)</f>
        <v>0.87074829931972786</v>
      </c>
      <c r="N29" s="8"/>
      <c r="O29" s="13" t="s">
        <v>2</v>
      </c>
      <c r="P29" s="8">
        <f>(D29-Z16)/(D29-A29)</f>
        <v>1.1428571428571428</v>
      </c>
      <c r="Q29" s="8"/>
      <c r="R29" s="13" t="s">
        <v>2</v>
      </c>
      <c r="S29" s="9"/>
    </row>
    <row r="30" spans="1:33">
      <c r="A30" s="10">
        <v>0.03</v>
      </c>
      <c r="B30" s="13" t="s">
        <v>3</v>
      </c>
      <c r="C30" s="8">
        <v>6.1249999999999999E-2</v>
      </c>
      <c r="D30" s="9">
        <f t="shared" ref="D30:D33" si="4">C30+A30</f>
        <v>9.1249999999999998E-2</v>
      </c>
      <c r="F30" s="21" t="s">
        <v>3</v>
      </c>
      <c r="G30" s="8">
        <f>(D30-E17)/(D30-A30)</f>
        <v>0.28163265306122454</v>
      </c>
      <c r="H30" s="8"/>
      <c r="I30" s="13" t="s">
        <v>3</v>
      </c>
      <c r="J30" s="8">
        <f t="shared" ref="J30:J33" si="5">(D30-L17)/(D30-A30)</f>
        <v>0.30340136054421757</v>
      </c>
      <c r="K30" s="8"/>
      <c r="L30" s="13" t="s">
        <v>3</v>
      </c>
      <c r="M30" s="8">
        <f t="shared" ref="M30:M33" si="6">(D30-S17)/(D30-A30)</f>
        <v>0.70612244897959164</v>
      </c>
      <c r="N30" s="8"/>
      <c r="O30" s="13" t="s">
        <v>3</v>
      </c>
      <c r="P30" s="8">
        <f t="shared" ref="P30:P33" si="7">(D30-Z17)/(D30-A30)</f>
        <v>1.1224489795918369</v>
      </c>
      <c r="Q30" s="8"/>
      <c r="R30" s="13" t="s">
        <v>3</v>
      </c>
      <c r="S30" s="9"/>
    </row>
    <row r="31" spans="1:33">
      <c r="A31" s="10">
        <v>0.03</v>
      </c>
      <c r="B31" s="13" t="s">
        <v>4</v>
      </c>
      <c r="C31" s="8">
        <v>7.3499999999999996E-2</v>
      </c>
      <c r="D31" s="9">
        <f t="shared" si="4"/>
        <v>0.10349999999999999</v>
      </c>
      <c r="F31" s="21" t="s">
        <v>4</v>
      </c>
      <c r="G31" s="8">
        <f t="shared" ref="G31:G33" si="8">(D31-E18)/(D31-A31)</f>
        <v>0.21995464852607705</v>
      </c>
      <c r="H31" s="8"/>
      <c r="I31" s="13" t="s">
        <v>4</v>
      </c>
      <c r="J31" s="8">
        <f t="shared" si="5"/>
        <v>0.45124716553287963</v>
      </c>
      <c r="K31" s="8"/>
      <c r="L31" s="13" t="s">
        <v>4</v>
      </c>
      <c r="M31" s="8">
        <f t="shared" si="6"/>
        <v>0.76190476190476186</v>
      </c>
      <c r="N31" s="8"/>
      <c r="O31" s="13" t="s">
        <v>4</v>
      </c>
      <c r="P31" s="8">
        <f t="shared" si="7"/>
        <v>1.0770975056689343</v>
      </c>
      <c r="Q31" s="8"/>
      <c r="R31" s="13" t="s">
        <v>4</v>
      </c>
      <c r="S31" s="9"/>
    </row>
    <row r="32" spans="1:33">
      <c r="A32" s="10">
        <v>0.03</v>
      </c>
      <c r="B32" s="13" t="s">
        <v>5</v>
      </c>
      <c r="C32" s="8">
        <v>8.5750000000000007E-2</v>
      </c>
      <c r="D32" s="9">
        <f t="shared" si="4"/>
        <v>0.11575000000000001</v>
      </c>
      <c r="F32" s="21" t="s">
        <v>5</v>
      </c>
      <c r="G32" s="8">
        <f t="shared" si="8"/>
        <v>0.23420796890184636</v>
      </c>
      <c r="H32" s="8"/>
      <c r="I32" s="13" t="s">
        <v>5</v>
      </c>
      <c r="J32" s="8">
        <f t="shared" si="5"/>
        <v>0.49854227405247803</v>
      </c>
      <c r="K32" s="8"/>
      <c r="L32" s="13" t="s">
        <v>5</v>
      </c>
      <c r="M32" s="8">
        <f t="shared" si="6"/>
        <v>0.84839650145772594</v>
      </c>
      <c r="N32" s="8"/>
      <c r="O32" s="13" t="s">
        <v>5</v>
      </c>
      <c r="P32" s="8">
        <f t="shared" si="7"/>
        <v>1.02332361516035</v>
      </c>
      <c r="Q32" s="8"/>
      <c r="R32" s="13" t="s">
        <v>5</v>
      </c>
      <c r="S32" s="9"/>
    </row>
    <row r="33" spans="1:36" ht="15" thickBot="1">
      <c r="A33" s="14">
        <v>0.03</v>
      </c>
      <c r="B33" s="15" t="s">
        <v>6</v>
      </c>
      <c r="C33" s="16">
        <v>9.8000000000000004E-2</v>
      </c>
      <c r="D33" s="17">
        <f t="shared" si="4"/>
        <v>0.128</v>
      </c>
      <c r="F33" s="22" t="s">
        <v>6</v>
      </c>
      <c r="G33" s="16">
        <f t="shared" si="8"/>
        <v>0.27891156462585021</v>
      </c>
      <c r="H33" s="16"/>
      <c r="I33" s="15" t="s">
        <v>6</v>
      </c>
      <c r="J33" s="16">
        <f t="shared" si="5"/>
        <v>0.39115646258503395</v>
      </c>
      <c r="K33" s="16"/>
      <c r="L33" s="15" t="s">
        <v>6</v>
      </c>
      <c r="M33" s="16">
        <f t="shared" si="6"/>
        <v>0.88435374149659862</v>
      </c>
      <c r="N33" s="16"/>
      <c r="O33" s="15" t="s">
        <v>6</v>
      </c>
      <c r="P33" s="16">
        <f t="shared" si="7"/>
        <v>1.0408163265306123</v>
      </c>
      <c r="Q33" s="16"/>
      <c r="R33" s="15" t="s">
        <v>6</v>
      </c>
      <c r="S33" s="17"/>
    </row>
    <row r="39" spans="1:36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 ht="15" thickBot="1"/>
    <row r="41" spans="1:36" ht="15.6" thickTop="1" thickBot="1">
      <c r="E41" s="3" t="s">
        <v>25</v>
      </c>
      <c r="F41" s="3"/>
      <c r="G41" s="3"/>
    </row>
    <row r="42" spans="1:36" ht="15.6" thickTop="1" thickBot="1"/>
    <row r="43" spans="1:36">
      <c r="A43" s="23"/>
      <c r="B43" s="24" t="s">
        <v>1</v>
      </c>
      <c r="C43" s="24"/>
      <c r="D43" s="24"/>
      <c r="E43" s="24"/>
    </row>
    <row r="44" spans="1:36">
      <c r="A44" s="26"/>
      <c r="B44" s="27" t="s">
        <v>8</v>
      </c>
      <c r="C44" s="27" t="s">
        <v>9</v>
      </c>
      <c r="D44" s="27" t="s">
        <v>10</v>
      </c>
      <c r="E44" s="27" t="s">
        <v>7</v>
      </c>
    </row>
    <row r="45" spans="1:36">
      <c r="A45" s="21" t="s">
        <v>2</v>
      </c>
      <c r="B45" s="8">
        <v>7.1999999999999995E-2</v>
      </c>
      <c r="C45" s="8">
        <v>7.1999999999999995E-2</v>
      </c>
      <c r="D45" s="8">
        <v>7.1999999999999995E-2</v>
      </c>
      <c r="E45" s="8">
        <f>AVERAGE(B45:D45)</f>
        <v>7.1999999999999995E-2</v>
      </c>
    </row>
    <row r="46" spans="1:36">
      <c r="A46" s="21" t="s">
        <v>3</v>
      </c>
      <c r="B46" s="8">
        <v>7.9000000000000001E-2</v>
      </c>
      <c r="C46" s="8">
        <v>7.9000000000000001E-2</v>
      </c>
      <c r="D46" s="8">
        <v>7.6999999999999999E-2</v>
      </c>
      <c r="E46" s="8">
        <f>AVERAGE(B46:D46)</f>
        <v>7.8333333333333324E-2</v>
      </c>
    </row>
    <row r="47" spans="1:36">
      <c r="A47" s="21" t="s">
        <v>4</v>
      </c>
      <c r="B47" s="8">
        <v>8.2000000000000003E-2</v>
      </c>
      <c r="C47" s="8">
        <v>8.5999999999999993E-2</v>
      </c>
      <c r="D47" s="8">
        <v>8.1000000000000003E-2</v>
      </c>
      <c r="E47" s="8">
        <f>AVERAGE(B47:D47)</f>
        <v>8.3000000000000004E-2</v>
      </c>
    </row>
    <row r="48" spans="1:36">
      <c r="A48" s="21" t="s">
        <v>5</v>
      </c>
      <c r="B48" s="8">
        <v>9.4E-2</v>
      </c>
      <c r="C48" s="8">
        <v>9.4E-2</v>
      </c>
      <c r="D48" s="8">
        <v>9.2999999999999999E-2</v>
      </c>
      <c r="E48" s="8">
        <f>AVERAGE(B48:D48)</f>
        <v>9.3666666666666676E-2</v>
      </c>
    </row>
    <row r="49" spans="1:7">
      <c r="A49" s="21" t="s">
        <v>6</v>
      </c>
      <c r="B49" s="8">
        <v>0.1</v>
      </c>
      <c r="C49" s="8">
        <v>0.1</v>
      </c>
      <c r="D49" s="8">
        <v>0.1</v>
      </c>
      <c r="E49" s="8">
        <f>AVERAGE(B49:D49)</f>
        <v>0.10000000000000002</v>
      </c>
    </row>
    <row r="50" spans="1:7" ht="15" thickBot="1">
      <c r="A50" s="29"/>
      <c r="B50" s="16"/>
      <c r="C50" s="16"/>
      <c r="D50" s="16"/>
      <c r="E50" s="16" t="s">
        <v>26</v>
      </c>
    </row>
    <row r="54" spans="1:7" ht="15" thickBot="1"/>
    <row r="55" spans="1:7">
      <c r="A55" s="4" t="s">
        <v>19</v>
      </c>
      <c r="B55" s="5"/>
      <c r="C55" s="5"/>
      <c r="D55" s="6"/>
      <c r="F55" t="s">
        <v>27</v>
      </c>
    </row>
    <row r="56" spans="1:7" ht="15" thickBot="1">
      <c r="A56" s="7"/>
      <c r="B56" s="8"/>
      <c r="C56" s="8"/>
      <c r="D56" s="9"/>
    </row>
    <row r="57" spans="1:7">
      <c r="A57" s="10" t="s">
        <v>16</v>
      </c>
      <c r="B57" s="8"/>
      <c r="C57" s="11" t="s">
        <v>17</v>
      </c>
      <c r="D57" s="12" t="s">
        <v>18</v>
      </c>
      <c r="F57" s="18" t="s">
        <v>21</v>
      </c>
      <c r="G57" s="19"/>
    </row>
    <row r="58" spans="1:7">
      <c r="A58" s="10">
        <v>3.3000000000000002E-2</v>
      </c>
      <c r="B58" s="13" t="s">
        <v>2</v>
      </c>
      <c r="C58" s="8"/>
      <c r="D58" s="9">
        <v>0.08</v>
      </c>
      <c r="F58" s="21" t="s">
        <v>2</v>
      </c>
      <c r="G58" s="8">
        <f>(D58-E45)/(D58-A58)</f>
        <v>0.17021276595744697</v>
      </c>
    </row>
    <row r="59" spans="1:7">
      <c r="A59" s="10">
        <v>3.3000000000000002E-2</v>
      </c>
      <c r="B59" s="13" t="s">
        <v>3</v>
      </c>
      <c r="C59" s="8"/>
      <c r="D59" s="9">
        <f>(0.097*1.25)-0.017</f>
        <v>0.10425</v>
      </c>
      <c r="F59" s="21" t="s">
        <v>3</v>
      </c>
      <c r="G59" s="8">
        <f>(D59-E46)/(D59-A59)</f>
        <v>0.36374269005847965</v>
      </c>
    </row>
    <row r="60" spans="1:7">
      <c r="A60" s="10">
        <v>3.3000000000000002E-2</v>
      </c>
      <c r="B60" s="13" t="s">
        <v>4</v>
      </c>
      <c r="C60" s="8"/>
      <c r="D60" s="9">
        <f>(0.097*1.5)-0.017</f>
        <v>0.1285</v>
      </c>
      <c r="F60" s="21" t="s">
        <v>4</v>
      </c>
      <c r="G60" s="8">
        <f t="shared" ref="G60:G62" si="9">(D60-E47)/(D60-A60)</f>
        <v>0.47643979057591623</v>
      </c>
    </row>
    <row r="61" spans="1:7">
      <c r="A61" s="10">
        <v>3.3000000000000002E-2</v>
      </c>
      <c r="B61" s="13" t="s">
        <v>5</v>
      </c>
      <c r="C61" s="8"/>
      <c r="D61" s="9">
        <f>(0.097*1.75)-0.017</f>
        <v>0.15275</v>
      </c>
      <c r="F61" s="21" t="s">
        <v>5</v>
      </c>
      <c r="G61" s="8">
        <f t="shared" si="9"/>
        <v>0.49338900487125947</v>
      </c>
    </row>
    <row r="62" spans="1:7" ht="15" thickBot="1">
      <c r="A62" s="14">
        <v>3.3000000000000002E-2</v>
      </c>
      <c r="B62" s="15" t="s">
        <v>6</v>
      </c>
      <c r="C62" s="16"/>
      <c r="D62" s="17">
        <f>(0.097*2)-0.017</f>
        <v>0.17699999999999999</v>
      </c>
      <c r="F62" s="22" t="s">
        <v>6</v>
      </c>
      <c r="G62" s="16">
        <f t="shared" si="9"/>
        <v>0.5347222222222221</v>
      </c>
    </row>
    <row r="70" spans="1:36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1:36" ht="15" thickBot="1"/>
    <row r="72" spans="1:36" ht="15.6" thickTop="1" thickBot="1">
      <c r="E72" s="3" t="s">
        <v>28</v>
      </c>
      <c r="F72" s="3"/>
      <c r="G72" s="3"/>
    </row>
    <row r="73" spans="1:36" ht="15.6" thickTop="1" thickBot="1"/>
    <row r="74" spans="1:36">
      <c r="A74" s="23"/>
      <c r="B74" s="24" t="s">
        <v>1</v>
      </c>
      <c r="C74" s="24"/>
      <c r="D74" s="24"/>
      <c r="E74" s="24"/>
      <c r="F74" s="5"/>
      <c r="G74" s="5"/>
      <c r="H74" s="24"/>
      <c r="I74" s="24" t="s">
        <v>11</v>
      </c>
      <c r="J74" s="24"/>
      <c r="K74" s="24"/>
      <c r="L74" s="24"/>
      <c r="M74" s="5"/>
      <c r="N74" s="5"/>
      <c r="O74" s="24"/>
      <c r="P74" s="24" t="s">
        <v>12</v>
      </c>
      <c r="Q74" s="24"/>
      <c r="R74" s="24"/>
      <c r="S74" s="24"/>
      <c r="T74" s="5"/>
      <c r="U74" s="5"/>
      <c r="V74" s="24"/>
      <c r="W74" s="24" t="s">
        <v>13</v>
      </c>
      <c r="X74" s="24"/>
      <c r="Y74" s="24"/>
      <c r="Z74" s="24"/>
      <c r="AA74" s="5"/>
      <c r="AB74" s="5"/>
      <c r="AC74" s="24"/>
      <c r="AD74" s="24" t="s">
        <v>14</v>
      </c>
      <c r="AE74" s="24"/>
      <c r="AF74" s="24"/>
      <c r="AG74" s="25"/>
    </row>
    <row r="75" spans="1:36">
      <c r="A75" s="26"/>
      <c r="B75" s="27" t="s">
        <v>8</v>
      </c>
      <c r="C75" s="27" t="s">
        <v>9</v>
      </c>
      <c r="D75" s="27" t="s">
        <v>10</v>
      </c>
      <c r="E75" s="27" t="s">
        <v>7</v>
      </c>
      <c r="F75" s="8"/>
      <c r="G75" s="8"/>
      <c r="H75" s="27"/>
      <c r="I75" s="27" t="s">
        <v>8</v>
      </c>
      <c r="J75" s="27" t="s">
        <v>9</v>
      </c>
      <c r="K75" s="27" t="s">
        <v>10</v>
      </c>
      <c r="L75" s="27" t="s">
        <v>7</v>
      </c>
      <c r="M75" s="8"/>
      <c r="N75" s="8"/>
      <c r="O75" s="27"/>
      <c r="P75" s="27" t="s">
        <v>8</v>
      </c>
      <c r="Q75" s="27" t="s">
        <v>9</v>
      </c>
      <c r="R75" s="27" t="s">
        <v>10</v>
      </c>
      <c r="S75" s="27" t="s">
        <v>7</v>
      </c>
      <c r="T75" s="8"/>
      <c r="U75" s="8"/>
      <c r="V75" s="27"/>
      <c r="W75" s="27" t="s">
        <v>8</v>
      </c>
      <c r="X75" s="27" t="s">
        <v>9</v>
      </c>
      <c r="Y75" s="27" t="s">
        <v>10</v>
      </c>
      <c r="Z75" s="27" t="s">
        <v>7</v>
      </c>
      <c r="AA75" s="8"/>
      <c r="AB75" s="8"/>
      <c r="AC75" s="27"/>
      <c r="AD75" s="27" t="s">
        <v>8</v>
      </c>
      <c r="AE75" s="27" t="s">
        <v>9</v>
      </c>
      <c r="AF75" s="27" t="s">
        <v>10</v>
      </c>
      <c r="AG75" s="28" t="s">
        <v>7</v>
      </c>
    </row>
    <row r="76" spans="1:36">
      <c r="A76" s="21" t="s">
        <v>2</v>
      </c>
      <c r="B76" s="8">
        <f>4.359-4.283</f>
        <v>7.5999999999999623E-2</v>
      </c>
      <c r="C76" s="8">
        <f>4.522-4.444</f>
        <v>7.8000000000000291E-2</v>
      </c>
      <c r="D76" s="8">
        <f>4.602-4.527</f>
        <v>7.5000000000000178E-2</v>
      </c>
      <c r="E76" s="8">
        <f>AVERAGE(B76:D76)</f>
        <v>7.6333333333333364E-2</v>
      </c>
      <c r="F76" s="8"/>
      <c r="G76" s="8"/>
      <c r="H76" s="13" t="s">
        <v>2</v>
      </c>
      <c r="I76" s="8">
        <f>4.283-4.226</f>
        <v>5.7000000000000384E-2</v>
      </c>
      <c r="J76" s="8">
        <f>4.501-4.443</f>
        <v>5.8000000000000718E-2</v>
      </c>
      <c r="K76" s="8">
        <f>4.177-4.117</f>
        <v>5.9999999999999609E-2</v>
      </c>
      <c r="L76" s="8">
        <f>AVERAGE(I76:K76)</f>
        <v>5.833333333333357E-2</v>
      </c>
      <c r="M76" s="8"/>
      <c r="N76" s="8"/>
      <c r="O76" s="13" t="s">
        <v>2</v>
      </c>
      <c r="P76" s="8">
        <f>4.231-4.196</f>
        <v>3.5000000000000142E-2</v>
      </c>
      <c r="Q76" s="8">
        <f>4.313-4.276</f>
        <v>3.6999999999999922E-2</v>
      </c>
      <c r="R76" s="8">
        <f>4.151-4.112</f>
        <v>3.8999999999999702E-2</v>
      </c>
      <c r="S76" s="8">
        <f>AVERAGE(P76:R76)</f>
        <v>3.6999999999999922E-2</v>
      </c>
      <c r="T76" s="8"/>
      <c r="U76" s="8"/>
      <c r="V76" s="13" t="s">
        <v>2</v>
      </c>
      <c r="W76" s="8">
        <v>2.4E-2</v>
      </c>
      <c r="X76" s="8">
        <v>2.1999999999999999E-2</v>
      </c>
      <c r="Y76" s="8">
        <f>4.002-3.982</f>
        <v>1.9999999999999574E-2</v>
      </c>
      <c r="Z76" s="9">
        <f>AVERAGE(W76:Y76)</f>
        <v>2.1999999999999856E-2</v>
      </c>
      <c r="AA76" s="8"/>
      <c r="AB76" s="8"/>
      <c r="AC76" s="13" t="s">
        <v>2</v>
      </c>
      <c r="AD76" s="8"/>
      <c r="AE76" s="8"/>
      <c r="AF76" s="8"/>
      <c r="AG76" s="9"/>
    </row>
    <row r="77" spans="1:36">
      <c r="A77" s="21" t="s">
        <v>3</v>
      </c>
      <c r="B77" s="8">
        <f>4.583-4.498</f>
        <v>8.4999999999999964E-2</v>
      </c>
      <c r="C77" s="8">
        <f>4.672-4.589</f>
        <v>8.2999999999999297E-2</v>
      </c>
      <c r="D77" s="8">
        <f>4.764-4.679</f>
        <v>8.4999999999999964E-2</v>
      </c>
      <c r="E77" s="8">
        <f>AVERAGE(B77:D77)</f>
        <v>8.433333333333308E-2</v>
      </c>
      <c r="F77" s="8"/>
      <c r="G77" s="8"/>
      <c r="H77" s="13" t="s">
        <v>3</v>
      </c>
      <c r="I77" s="8">
        <f>4.232-4.17</f>
        <v>6.2000000000000277E-2</v>
      </c>
      <c r="J77" s="8">
        <f>4.464-4.406</f>
        <v>5.8000000000000718E-2</v>
      </c>
      <c r="K77" s="8">
        <f>4.635-4.575</f>
        <v>5.9999999999999609E-2</v>
      </c>
      <c r="L77" s="8">
        <f>AVERAGE(I77:K77)</f>
        <v>6.0000000000000199E-2</v>
      </c>
      <c r="M77" s="8"/>
      <c r="N77" s="8"/>
      <c r="O77" s="13" t="s">
        <v>3</v>
      </c>
      <c r="P77" s="8">
        <f>4.466-4.428</f>
        <v>3.8000000000000256E-2</v>
      </c>
      <c r="Q77" s="8">
        <f>4.188-4.15</f>
        <v>3.7999999999999368E-2</v>
      </c>
      <c r="R77" s="8">
        <f>4.375-4.338</f>
        <v>3.6999999999999922E-2</v>
      </c>
      <c r="S77" s="8">
        <f>AVERAGE(P77:R77)</f>
        <v>3.7666666666666515E-2</v>
      </c>
      <c r="T77" s="8"/>
      <c r="U77" s="8"/>
      <c r="V77" s="13" t="s">
        <v>3</v>
      </c>
      <c r="W77" s="8">
        <f>4.08-4.053</f>
        <v>2.7000000000000135E-2</v>
      </c>
      <c r="X77" s="8">
        <f>3.989-3.964</f>
        <v>2.4999999999999911E-2</v>
      </c>
      <c r="Y77" s="8">
        <f>3.929-3.904</f>
        <v>2.4999999999999911E-2</v>
      </c>
      <c r="Z77" s="9">
        <f>AVERAGE(W77:Y77)</f>
        <v>2.5666666666666654E-2</v>
      </c>
      <c r="AA77" s="8"/>
      <c r="AB77" s="8"/>
      <c r="AC77" s="13" t="s">
        <v>3</v>
      </c>
      <c r="AD77" s="8"/>
      <c r="AE77" s="8"/>
      <c r="AF77" s="8"/>
      <c r="AG77" s="9"/>
    </row>
    <row r="78" spans="1:36">
      <c r="A78" s="21" t="s">
        <v>4</v>
      </c>
      <c r="B78" s="8">
        <f>4.532-4.441</f>
        <v>9.1000000000000192E-2</v>
      </c>
      <c r="C78" s="8">
        <f>4.727-4.636</f>
        <v>9.1000000000000192E-2</v>
      </c>
      <c r="D78" s="8">
        <f>4.919-4.829</f>
        <v>8.9999999999999858E-2</v>
      </c>
      <c r="E78" s="8">
        <f>AVERAGE(B78:D78)</f>
        <v>9.0666666666666743E-2</v>
      </c>
      <c r="F78" s="8"/>
      <c r="G78" s="8"/>
      <c r="H78" s="13" t="s">
        <v>4</v>
      </c>
      <c r="I78" s="8">
        <f>4.675-4.614</f>
        <v>6.0999999999999943E-2</v>
      </c>
      <c r="J78" s="8">
        <f>4.552-4.489</f>
        <v>6.2999999999999723E-2</v>
      </c>
      <c r="K78" s="8">
        <f>4.36-4.299</f>
        <v>6.0999999999999943E-2</v>
      </c>
      <c r="L78" s="8">
        <f>AVERAGE(I78:K78)</f>
        <v>6.1666666666666536E-2</v>
      </c>
      <c r="M78" s="8"/>
      <c r="N78" s="8"/>
      <c r="O78" s="13" t="s">
        <v>4</v>
      </c>
      <c r="P78" s="8">
        <f>4.513-4.471</f>
        <v>4.1999999999999815E-2</v>
      </c>
      <c r="Q78" s="8">
        <f>4.196-4.156</f>
        <v>4.0000000000000036E-2</v>
      </c>
      <c r="R78" s="8">
        <f>4.474-4.433</f>
        <v>4.1000000000000369E-2</v>
      </c>
      <c r="S78" s="8">
        <f>AVERAGE(P78:R78)</f>
        <v>4.1000000000000071E-2</v>
      </c>
      <c r="T78" s="8"/>
      <c r="U78" s="8"/>
      <c r="V78" s="13" t="s">
        <v>4</v>
      </c>
      <c r="W78" s="8">
        <v>2.9000000000000001E-2</v>
      </c>
      <c r="X78" s="8">
        <v>2.7E-2</v>
      </c>
      <c r="Y78" s="8">
        <v>2.7E-2</v>
      </c>
      <c r="Z78" s="9">
        <f>AVERAGE(W78:Y78)</f>
        <v>2.7666666666666669E-2</v>
      </c>
      <c r="AA78" s="8"/>
      <c r="AB78" s="8"/>
      <c r="AC78" s="13" t="s">
        <v>4</v>
      </c>
      <c r="AD78" s="8"/>
      <c r="AE78" s="8"/>
      <c r="AF78" s="8"/>
      <c r="AG78" s="9"/>
    </row>
    <row r="79" spans="1:36">
      <c r="A79" s="21" t="s">
        <v>5</v>
      </c>
      <c r="B79" s="8">
        <f>4.876-4.777</f>
        <v>9.9000000000000199E-2</v>
      </c>
      <c r="C79" s="8">
        <f>4.773-4.671</f>
        <v>0.10199999999999942</v>
      </c>
      <c r="D79" s="8">
        <f>4.674-4.573</f>
        <v>0.10099999999999998</v>
      </c>
      <c r="E79" s="8">
        <f>AVERAGE(B79:D79)</f>
        <v>0.10066666666666653</v>
      </c>
      <c r="F79" s="8"/>
      <c r="G79" s="8"/>
      <c r="H79" s="13" t="s">
        <v>5</v>
      </c>
      <c r="I79" s="8">
        <f>4.072-4.004</f>
        <v>6.8000000000000504E-2</v>
      </c>
      <c r="J79" s="8">
        <f>4.553-4.488</f>
        <v>6.4999999999999503E-2</v>
      </c>
      <c r="K79" s="8">
        <f>4.348-4.282</f>
        <v>6.5999999999999837E-2</v>
      </c>
      <c r="L79" s="8">
        <f>AVERAGE(I79:K79)</f>
        <v>6.6333333333333286E-2</v>
      </c>
      <c r="M79" s="8"/>
      <c r="N79" s="8"/>
      <c r="O79" s="13" t="s">
        <v>5</v>
      </c>
      <c r="P79" s="8">
        <f>4.247-4.206</f>
        <v>4.0999999999999481E-2</v>
      </c>
      <c r="Q79" s="8">
        <f>4.429-4.387</f>
        <v>4.2000000000000703E-2</v>
      </c>
      <c r="R79" s="8">
        <f>4.168-4.121</f>
        <v>4.6999999999999709E-2</v>
      </c>
      <c r="S79" s="8">
        <f>AVERAGE(P79:R79)</f>
        <v>4.33333333333333E-2</v>
      </c>
      <c r="T79" s="8"/>
      <c r="U79" s="8"/>
      <c r="V79" s="13" t="s">
        <v>5</v>
      </c>
      <c r="W79" s="8">
        <f>4.138-4.105</f>
        <v>3.2999999999999474E-2</v>
      </c>
      <c r="X79" s="8">
        <f>4.11-4.078</f>
        <v>3.2000000000000028E-2</v>
      </c>
      <c r="Y79" s="8">
        <f>3.828-3.797</f>
        <v>3.0999999999999694E-2</v>
      </c>
      <c r="Z79" s="9">
        <f>AVERAGE(W79:Y79)</f>
        <v>3.199999999999973E-2</v>
      </c>
      <c r="AA79" s="8"/>
      <c r="AB79" s="8"/>
      <c r="AC79" s="13" t="s">
        <v>5</v>
      </c>
      <c r="AD79" s="8"/>
      <c r="AE79" s="8"/>
      <c r="AF79" s="8"/>
      <c r="AG79" s="9"/>
    </row>
    <row r="80" spans="1:36">
      <c r="A80" s="21" t="s">
        <v>6</v>
      </c>
      <c r="B80" s="8">
        <f>4.538-4.429</f>
        <v>0.10899999999999999</v>
      </c>
      <c r="C80" s="8">
        <f>4.424-4.318</f>
        <v>0.10600000000000076</v>
      </c>
      <c r="D80" s="8">
        <f>4.315-4.204</f>
        <v>0.11100000000000065</v>
      </c>
      <c r="E80" s="31">
        <f>AVERAGE(B80:D80)</f>
        <v>0.10866666666666713</v>
      </c>
      <c r="F80" s="8"/>
      <c r="G80" s="8"/>
      <c r="H80" s="13" t="s">
        <v>6</v>
      </c>
      <c r="I80" s="8">
        <f>4.217-4.141</f>
        <v>7.5999999999999623E-2</v>
      </c>
      <c r="J80" s="8">
        <f>4.52-4.448</f>
        <v>7.1999999999999176E-2</v>
      </c>
      <c r="K80" s="8">
        <f>4.751-4.68</f>
        <v>7.1000000000000618E-2</v>
      </c>
      <c r="L80" s="31">
        <f>AVERAGE(I80:K80)</f>
        <v>7.2999999999999801E-2</v>
      </c>
      <c r="M80" s="8"/>
      <c r="N80" s="8"/>
      <c r="O80" s="13" t="s">
        <v>6</v>
      </c>
      <c r="P80" s="8">
        <f>4.192-4.143</f>
        <v>4.9000000000000377E-2</v>
      </c>
      <c r="Q80" s="8">
        <f>4.464-4.419</f>
        <v>4.5000000000000817E-2</v>
      </c>
      <c r="R80" s="8">
        <f>4.563-4.517</f>
        <v>4.5999999999999375E-2</v>
      </c>
      <c r="S80" s="31">
        <f>AVERAGE(P80:R80)</f>
        <v>4.6666666666666856E-2</v>
      </c>
      <c r="T80" s="8"/>
      <c r="U80" s="8"/>
      <c r="V80" s="13" t="s">
        <v>6</v>
      </c>
      <c r="W80" s="8">
        <f>4.143-4.108</f>
        <v>3.5000000000000142E-2</v>
      </c>
      <c r="X80" s="8">
        <f>4.325-4.293</f>
        <v>3.2000000000000028E-2</v>
      </c>
      <c r="Y80" s="8">
        <f>4.301-4.27</f>
        <v>3.1000000000000583E-2</v>
      </c>
      <c r="Z80" s="9">
        <f>AVERAGE(W80:Y80)</f>
        <v>3.266666666666692E-2</v>
      </c>
      <c r="AA80" s="8"/>
      <c r="AB80" s="8"/>
      <c r="AC80" s="13" t="s">
        <v>6</v>
      </c>
      <c r="AD80" s="8"/>
      <c r="AE80" s="8"/>
      <c r="AF80" s="8"/>
      <c r="AG80" s="9"/>
    </row>
    <row r="81" spans="1:33" ht="15" thickBot="1">
      <c r="A81" s="29"/>
      <c r="B81" s="16"/>
      <c r="C81" s="16"/>
      <c r="D81" s="16"/>
      <c r="E81" s="16" t="s">
        <v>26</v>
      </c>
      <c r="F81" s="16"/>
      <c r="G81" s="16"/>
      <c r="H81" s="16"/>
      <c r="I81" s="16"/>
      <c r="J81" s="16"/>
      <c r="K81" s="16"/>
      <c r="L81" s="16" t="s">
        <v>26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7"/>
    </row>
    <row r="85" spans="1:33" ht="15" thickBot="1"/>
    <row r="86" spans="1:33">
      <c r="A86" s="4" t="s">
        <v>19</v>
      </c>
      <c r="B86" s="5"/>
      <c r="C86" s="5"/>
      <c r="D86" s="6"/>
      <c r="F86" t="s">
        <v>27</v>
      </c>
    </row>
    <row r="87" spans="1:33" ht="15" thickBot="1">
      <c r="A87" s="7"/>
      <c r="B87" s="8"/>
      <c r="C87" s="8"/>
      <c r="D87" s="9"/>
    </row>
    <row r="88" spans="1:33">
      <c r="A88" s="10" t="s">
        <v>16</v>
      </c>
      <c r="B88" s="8"/>
      <c r="C88" s="11" t="s">
        <v>17</v>
      </c>
      <c r="D88" s="12" t="s">
        <v>18</v>
      </c>
      <c r="F88" s="18" t="s">
        <v>21</v>
      </c>
      <c r="G88" s="19"/>
      <c r="H88" s="5"/>
      <c r="I88" s="19" t="s">
        <v>20</v>
      </c>
      <c r="J88" s="19"/>
      <c r="K88" s="5"/>
      <c r="L88" s="19" t="s">
        <v>22</v>
      </c>
      <c r="M88" s="19"/>
      <c r="N88" s="5"/>
      <c r="O88" s="19" t="s">
        <v>23</v>
      </c>
      <c r="P88" s="19"/>
      <c r="Q88" s="5"/>
      <c r="R88" s="19" t="s">
        <v>24</v>
      </c>
      <c r="S88" s="20"/>
    </row>
    <row r="89" spans="1:33">
      <c r="A89" s="10">
        <v>3.3000000000000002E-2</v>
      </c>
      <c r="B89" s="13" t="s">
        <v>2</v>
      </c>
      <c r="C89" s="8"/>
      <c r="D89" s="9">
        <v>0.08</v>
      </c>
      <c r="F89" s="21" t="s">
        <v>2</v>
      </c>
      <c r="G89" s="8">
        <f>(D89-E76)/(D89-A89)</f>
        <v>7.8014184397162498E-2</v>
      </c>
      <c r="H89" s="8"/>
      <c r="I89" s="13" t="s">
        <v>2</v>
      </c>
      <c r="J89" s="8">
        <f>(D89-L76)/(D89-A89)</f>
        <v>0.46099290780141344</v>
      </c>
      <c r="K89" s="8"/>
      <c r="L89" s="13" t="s">
        <v>2</v>
      </c>
      <c r="M89" s="8">
        <f>(D89-S76)/(D89-A89)</f>
        <v>0.91489361702127825</v>
      </c>
      <c r="N89" s="8"/>
      <c r="O89" s="13" t="s">
        <v>2</v>
      </c>
      <c r="P89" s="9">
        <f>(D89-Z76)/(D89-A89)</f>
        <v>1.2340425531914925</v>
      </c>
      <c r="Q89" s="8"/>
      <c r="R89" s="13" t="s">
        <v>2</v>
      </c>
      <c r="S89" s="9"/>
    </row>
    <row r="90" spans="1:33">
      <c r="A90" s="10">
        <v>3.3000000000000002E-2</v>
      </c>
      <c r="B90" s="13" t="s">
        <v>3</v>
      </c>
      <c r="C90" s="8"/>
      <c r="D90" s="9">
        <f>(0.097*1.25)-0.017</f>
        <v>0.10425</v>
      </c>
      <c r="F90" s="21" t="s">
        <v>3</v>
      </c>
      <c r="G90" s="8">
        <f t="shared" ref="G90:G92" si="10">(D90-E77)/(D90-A90)</f>
        <v>0.27953216374269357</v>
      </c>
      <c r="H90" s="8"/>
      <c r="I90" s="13" t="s">
        <v>3</v>
      </c>
      <c r="J90" s="8">
        <f t="shared" ref="J90:J93" si="11">(D90-L77)/(D90-A90)</f>
        <v>0.62105263157894453</v>
      </c>
      <c r="K90" s="8"/>
      <c r="L90" s="13" t="s">
        <v>3</v>
      </c>
      <c r="M90" s="8">
        <f t="shared" ref="M90:M93" si="12">(D90-S77)/(D90-A90)</f>
        <v>0.93450292397661028</v>
      </c>
      <c r="N90" s="8"/>
      <c r="O90" s="13" t="s">
        <v>3</v>
      </c>
      <c r="P90" s="9">
        <f t="shared" ref="P90:P93" si="13">(D90-Z77)/(D90-A90)</f>
        <v>1.1029239766081873</v>
      </c>
      <c r="Q90" s="8"/>
      <c r="R90" s="13" t="s">
        <v>3</v>
      </c>
      <c r="S90" s="9"/>
    </row>
    <row r="91" spans="1:33">
      <c r="A91" s="10">
        <v>3.3000000000000002E-2</v>
      </c>
      <c r="B91" s="13" t="s">
        <v>4</v>
      </c>
      <c r="C91" s="8"/>
      <c r="D91" s="9">
        <f>(0.097*1.5)-0.017</f>
        <v>0.1285</v>
      </c>
      <c r="F91" s="21" t="s">
        <v>4</v>
      </c>
      <c r="G91" s="8">
        <f t="shared" si="10"/>
        <v>0.3961605584642226</v>
      </c>
      <c r="H91" s="8"/>
      <c r="I91" s="13" t="s">
        <v>4</v>
      </c>
      <c r="J91" s="8">
        <f>(D91-L78)/(D91-A91)</f>
        <v>0.69982547993019339</v>
      </c>
      <c r="K91" s="8"/>
      <c r="L91" s="13" t="s">
        <v>4</v>
      </c>
      <c r="M91" s="8">
        <f t="shared" si="12"/>
        <v>0.91623036649214595</v>
      </c>
      <c r="N91" s="8"/>
      <c r="O91" s="13" t="s">
        <v>4</v>
      </c>
      <c r="P91" s="9">
        <f t="shared" si="13"/>
        <v>1.0558464223385688</v>
      </c>
      <c r="Q91" s="8"/>
      <c r="R91" s="13" t="s">
        <v>4</v>
      </c>
      <c r="S91" s="9"/>
    </row>
    <row r="92" spans="1:33">
      <c r="A92" s="10">
        <v>3.3000000000000002E-2</v>
      </c>
      <c r="B92" s="13" t="s">
        <v>5</v>
      </c>
      <c r="C92" s="8"/>
      <c r="D92" s="9">
        <f>(0.097*1.75)-0.017</f>
        <v>0.15275</v>
      </c>
      <c r="F92" s="21" t="s">
        <v>5</v>
      </c>
      <c r="G92" s="8">
        <f t="shared" si="10"/>
        <v>0.43493389004871374</v>
      </c>
      <c r="H92" s="8"/>
      <c r="I92" s="13" t="s">
        <v>5</v>
      </c>
      <c r="J92" s="8">
        <f t="shared" si="11"/>
        <v>0.72164231036882431</v>
      </c>
      <c r="K92" s="8"/>
      <c r="L92" s="13" t="s">
        <v>5</v>
      </c>
      <c r="M92" s="8">
        <f t="shared" si="12"/>
        <v>0.9137091162143357</v>
      </c>
      <c r="N92" s="8"/>
      <c r="O92" s="13" t="s">
        <v>5</v>
      </c>
      <c r="P92" s="9">
        <f t="shared" si="13"/>
        <v>1.0083507306889377</v>
      </c>
      <c r="Q92" s="8"/>
      <c r="R92" s="13" t="s">
        <v>5</v>
      </c>
      <c r="S92" s="9"/>
    </row>
    <row r="93" spans="1:33" ht="15" thickBot="1">
      <c r="A93" s="14">
        <v>3.3000000000000002E-2</v>
      </c>
      <c r="B93" s="15" t="s">
        <v>6</v>
      </c>
      <c r="C93" s="16"/>
      <c r="D93" s="17">
        <f>(0.097*2)-0.017</f>
        <v>0.17699999999999999</v>
      </c>
      <c r="F93" s="22" t="s">
        <v>6</v>
      </c>
      <c r="G93" s="8">
        <f>(D93-E80)/(D93-A93)</f>
        <v>0.47453703703703376</v>
      </c>
      <c r="H93" s="16"/>
      <c r="I93" s="15" t="s">
        <v>6</v>
      </c>
      <c r="J93" s="8">
        <f t="shared" si="11"/>
        <v>0.72222222222222354</v>
      </c>
      <c r="K93" s="16"/>
      <c r="L93" s="15" t="s">
        <v>6</v>
      </c>
      <c r="M93" s="8">
        <f t="shared" si="12"/>
        <v>0.90509259259259123</v>
      </c>
      <c r="N93" s="16"/>
      <c r="O93" s="15" t="s">
        <v>6</v>
      </c>
      <c r="P93" s="9">
        <f t="shared" si="13"/>
        <v>1.0023148148148131</v>
      </c>
      <c r="Q93" s="16"/>
      <c r="R93" s="15" t="s">
        <v>6</v>
      </c>
      <c r="S93" s="17"/>
    </row>
    <row r="104" spans="1:40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:40" ht="15" thickBot="1"/>
    <row r="106" spans="1:40" ht="15.6" thickTop="1" thickBot="1">
      <c r="E106" s="3" t="s">
        <v>29</v>
      </c>
      <c r="F106" s="3"/>
      <c r="G106" s="3"/>
    </row>
    <row r="107" spans="1:40" ht="15.6" thickTop="1" thickBot="1"/>
    <row r="108" spans="1:40">
      <c r="A108" s="23"/>
      <c r="B108" s="24" t="s">
        <v>1</v>
      </c>
      <c r="C108" s="24"/>
      <c r="D108" s="24"/>
      <c r="E108" s="24"/>
      <c r="F108" s="5"/>
      <c r="G108" s="5"/>
      <c r="H108" s="24"/>
      <c r="I108" s="24" t="s">
        <v>11</v>
      </c>
      <c r="J108" s="24"/>
      <c r="K108" s="24"/>
      <c r="L108" s="24"/>
      <c r="M108" s="5"/>
      <c r="N108" s="5"/>
      <c r="O108" s="5"/>
      <c r="P108" s="24"/>
      <c r="Q108" s="24" t="s">
        <v>30</v>
      </c>
      <c r="R108" s="24"/>
      <c r="S108" s="24"/>
      <c r="T108" s="24"/>
      <c r="U108" s="5"/>
      <c r="V108" s="24"/>
      <c r="W108" s="24" t="s">
        <v>12</v>
      </c>
      <c r="X108" s="24"/>
      <c r="Y108" s="24"/>
      <c r="Z108" s="24"/>
      <c r="AA108" s="5"/>
      <c r="AB108" s="5"/>
      <c r="AC108" s="24"/>
      <c r="AD108" s="24" t="s">
        <v>13</v>
      </c>
      <c r="AE108" s="24"/>
      <c r="AF108" s="24"/>
      <c r="AG108" s="25"/>
      <c r="AJ108" s="24"/>
      <c r="AK108" s="24" t="s">
        <v>34</v>
      </c>
      <c r="AL108" s="24"/>
      <c r="AM108" s="24"/>
      <c r="AN108" s="24"/>
    </row>
    <row r="109" spans="1:40">
      <c r="A109" s="26"/>
      <c r="B109" s="27" t="s">
        <v>8</v>
      </c>
      <c r="C109" s="27" t="s">
        <v>9</v>
      </c>
      <c r="D109" s="27" t="s">
        <v>10</v>
      </c>
      <c r="E109" s="27" t="s">
        <v>7</v>
      </c>
      <c r="F109" s="8"/>
      <c r="G109" s="8"/>
      <c r="H109" s="27"/>
      <c r="I109" s="27" t="s">
        <v>8</v>
      </c>
      <c r="J109" s="27" t="s">
        <v>9</v>
      </c>
      <c r="K109" s="27" t="s">
        <v>10</v>
      </c>
      <c r="L109" s="27" t="s">
        <v>7</v>
      </c>
      <c r="M109" s="8"/>
      <c r="N109" s="8"/>
      <c r="O109" s="8"/>
      <c r="P109" s="27"/>
      <c r="Q109" s="27" t="s">
        <v>8</v>
      </c>
      <c r="R109" s="27" t="s">
        <v>9</v>
      </c>
      <c r="S109" s="27" t="s">
        <v>10</v>
      </c>
      <c r="T109" s="27" t="s">
        <v>7</v>
      </c>
      <c r="U109" s="8"/>
      <c r="V109" s="27"/>
      <c r="W109" s="27" t="s">
        <v>8</v>
      </c>
      <c r="X109" s="27" t="s">
        <v>9</v>
      </c>
      <c r="Y109" s="27" t="s">
        <v>10</v>
      </c>
      <c r="Z109" s="27" t="s">
        <v>7</v>
      </c>
      <c r="AA109" s="8"/>
      <c r="AB109" s="8"/>
      <c r="AC109" s="27"/>
      <c r="AD109" s="27" t="s">
        <v>8</v>
      </c>
      <c r="AE109" s="27" t="s">
        <v>9</v>
      </c>
      <c r="AF109" s="27" t="s">
        <v>10</v>
      </c>
      <c r="AG109" s="28" t="s">
        <v>7</v>
      </c>
      <c r="AJ109" s="27"/>
      <c r="AK109" s="27" t="s">
        <v>8</v>
      </c>
      <c r="AL109" s="27" t="s">
        <v>9</v>
      </c>
      <c r="AM109" s="27" t="s">
        <v>10</v>
      </c>
      <c r="AN109" s="27" t="s">
        <v>7</v>
      </c>
    </row>
    <row r="110" spans="1:40">
      <c r="A110" s="21" t="s">
        <v>2</v>
      </c>
      <c r="B110" s="8">
        <f>4.359-4.283</f>
        <v>7.5999999999999623E-2</v>
      </c>
      <c r="C110" s="8">
        <f>4.522-4.444</f>
        <v>7.8000000000000291E-2</v>
      </c>
      <c r="D110" s="8">
        <f>4.602-4.527</f>
        <v>7.5000000000000178E-2</v>
      </c>
      <c r="E110" s="8">
        <f>AVERAGE(B110:D110)</f>
        <v>7.6333333333333364E-2</v>
      </c>
      <c r="F110" s="8"/>
      <c r="G110" s="8"/>
      <c r="H110" s="13" t="s">
        <v>2</v>
      </c>
      <c r="I110" s="8">
        <v>6.7000000000000004E-2</v>
      </c>
      <c r="J110" s="8">
        <v>7.0000000000000007E-2</v>
      </c>
      <c r="K110" s="8">
        <v>6.4000000000000001E-2</v>
      </c>
      <c r="L110" s="8">
        <f t="shared" ref="L110:L114" si="14">AVERAGE(I110:K110)</f>
        <v>6.7000000000000004E-2</v>
      </c>
      <c r="M110" s="8"/>
      <c r="N110" s="8"/>
      <c r="O110" s="8" t="s">
        <v>33</v>
      </c>
      <c r="P110" s="13" t="s">
        <v>2</v>
      </c>
      <c r="Q110" s="8">
        <v>4.1000000000000002E-2</v>
      </c>
      <c r="R110" s="8">
        <v>0.04</v>
      </c>
      <c r="S110" s="8">
        <v>4.4999999999999998E-2</v>
      </c>
      <c r="T110" s="8">
        <f>AVERAGE(Q110:S110)+0.01</f>
        <v>5.2000000000000005E-2</v>
      </c>
      <c r="U110" s="8"/>
      <c r="V110" s="13" t="s">
        <v>2</v>
      </c>
      <c r="W110" s="8">
        <f>4.231-4.196</f>
        <v>3.5000000000000142E-2</v>
      </c>
      <c r="X110" s="8">
        <f>4.313-4.276</f>
        <v>3.6999999999999922E-2</v>
      </c>
      <c r="Y110" s="8">
        <f>4.151-4.112</f>
        <v>3.8999999999999702E-2</v>
      </c>
      <c r="Z110" s="8">
        <f>AVERAGE(W110:Y110)</f>
        <v>3.6999999999999922E-2</v>
      </c>
      <c r="AA110" s="8"/>
      <c r="AB110" s="8"/>
      <c r="AC110" s="13" t="s">
        <v>2</v>
      </c>
      <c r="AD110" s="8">
        <v>2.4E-2</v>
      </c>
      <c r="AE110" s="8">
        <v>2.1999999999999999E-2</v>
      </c>
      <c r="AF110" s="8">
        <f>4.002-3.982</f>
        <v>1.9999999999999574E-2</v>
      </c>
      <c r="AG110" s="9">
        <f>AVERAGE(AD110:AF110)</f>
        <v>2.1999999999999856E-2</v>
      </c>
      <c r="AJ110" s="13" t="s">
        <v>2</v>
      </c>
      <c r="AK110" s="8">
        <f>4.264-4.214</f>
        <v>4.9999999999999822E-2</v>
      </c>
      <c r="AL110" s="8">
        <f>3.918-3.866</f>
        <v>5.2000000000000046E-2</v>
      </c>
      <c r="AM110" s="8">
        <f>4.087-4.035</f>
        <v>5.1999999999999602E-2</v>
      </c>
      <c r="AN110" s="8">
        <f>AVERAGE(AK110:AM110)</f>
        <v>5.1333333333333155E-2</v>
      </c>
    </row>
    <row r="111" spans="1:40">
      <c r="A111" s="21" t="s">
        <v>3</v>
      </c>
      <c r="B111" s="8">
        <f>4.583-4.498</f>
        <v>8.4999999999999964E-2</v>
      </c>
      <c r="C111" s="8">
        <f>4.672-4.589</f>
        <v>8.2999999999999297E-2</v>
      </c>
      <c r="D111" s="8">
        <f>4.764-4.679</f>
        <v>8.4999999999999964E-2</v>
      </c>
      <c r="E111" s="8">
        <f>AVERAGE(B111:D111)</f>
        <v>8.433333333333308E-2</v>
      </c>
      <c r="F111" s="8"/>
      <c r="G111" s="8"/>
      <c r="H111" s="13" t="s">
        <v>3</v>
      </c>
      <c r="I111" s="8">
        <v>7.3999999999999996E-2</v>
      </c>
      <c r="J111" s="8">
        <v>7.3999999999999996E-2</v>
      </c>
      <c r="K111" s="8">
        <v>7.0000000000000007E-2</v>
      </c>
      <c r="L111" s="8">
        <f t="shared" si="14"/>
        <v>7.2666666666666671E-2</v>
      </c>
      <c r="M111" s="8"/>
      <c r="N111" s="8"/>
      <c r="O111" s="8"/>
      <c r="P111" s="13" t="s">
        <v>3</v>
      </c>
      <c r="Q111" s="8">
        <f>4.49-4.448</f>
        <v>4.1999999999999815E-2</v>
      </c>
      <c r="R111" s="8">
        <f>4.401-4.353</f>
        <v>4.8000000000000043E-2</v>
      </c>
      <c r="S111" s="8">
        <f>4.319-4.275</f>
        <v>4.3999999999999595E-2</v>
      </c>
      <c r="T111" s="8">
        <f>AVERAGE(Q111:S111)</f>
        <v>4.4666666666666487E-2</v>
      </c>
      <c r="U111" s="8"/>
      <c r="V111" s="13" t="s">
        <v>3</v>
      </c>
      <c r="W111" s="8">
        <f>4.466-4.428</f>
        <v>3.8000000000000256E-2</v>
      </c>
      <c r="X111" s="8">
        <f>4.188-4.15</f>
        <v>3.7999999999999368E-2</v>
      </c>
      <c r="Y111" s="8">
        <f>4.375-4.338</f>
        <v>3.6999999999999922E-2</v>
      </c>
      <c r="Z111" s="8">
        <f>AVERAGE(W111:Y111)</f>
        <v>3.7666666666666515E-2</v>
      </c>
      <c r="AA111" s="8"/>
      <c r="AB111" s="8"/>
      <c r="AC111" s="13" t="s">
        <v>3</v>
      </c>
      <c r="AD111" s="8">
        <f>4.08-4.053</f>
        <v>2.7000000000000135E-2</v>
      </c>
      <c r="AE111" s="8">
        <f>3.989-3.964</f>
        <v>2.4999999999999911E-2</v>
      </c>
      <c r="AF111" s="8">
        <f>3.929-3.904</f>
        <v>2.4999999999999911E-2</v>
      </c>
      <c r="AG111" s="9">
        <f>AVERAGE(AD111:AF111)</f>
        <v>2.5666666666666654E-2</v>
      </c>
      <c r="AJ111" s="13" t="s">
        <v>3</v>
      </c>
      <c r="AK111" s="8">
        <f>4.237-4.186</f>
        <v>5.1000000000000156E-2</v>
      </c>
      <c r="AL111" s="8">
        <f>4.38-4.327</f>
        <v>5.2999999999999936E-2</v>
      </c>
      <c r="AM111" s="8">
        <f>4.135-4.083</f>
        <v>5.1999999999999602E-2</v>
      </c>
      <c r="AN111" s="8">
        <f>AVERAGE(AK111:AM111)</f>
        <v>5.19999999999999E-2</v>
      </c>
    </row>
    <row r="112" spans="1:40">
      <c r="A112" s="21" t="s">
        <v>4</v>
      </c>
      <c r="B112" s="8">
        <f>4.532-4.441</f>
        <v>9.1000000000000192E-2</v>
      </c>
      <c r="C112" s="8">
        <f>4.727-4.636</f>
        <v>9.1000000000000192E-2</v>
      </c>
      <c r="D112" s="8">
        <f>4.919-4.829</f>
        <v>8.9999999999999858E-2</v>
      </c>
      <c r="E112" s="8">
        <f>AVERAGE(B112:D112)</f>
        <v>9.0666666666666743E-2</v>
      </c>
      <c r="F112" s="8"/>
      <c r="G112" s="8"/>
      <c r="H112" s="13" t="s">
        <v>4</v>
      </c>
      <c r="I112" s="8">
        <v>6.4000000000000001E-2</v>
      </c>
      <c r="J112" s="8">
        <v>7.6999999999999999E-2</v>
      </c>
      <c r="K112" s="8">
        <v>7.0000000000000007E-2</v>
      </c>
      <c r="L112" s="8">
        <f t="shared" si="14"/>
        <v>7.0333333333333345E-2</v>
      </c>
      <c r="M112" s="8"/>
      <c r="N112" s="8"/>
      <c r="O112" s="8"/>
      <c r="P112" s="13" t="s">
        <v>4</v>
      </c>
      <c r="Q112" s="8">
        <f>4.419-4.372</f>
        <v>4.6999999999999709E-2</v>
      </c>
      <c r="R112" s="8">
        <f>4.128-4.075</f>
        <v>5.2999999999999936E-2</v>
      </c>
      <c r="S112" s="8">
        <f>4.563-4.513</f>
        <v>4.9999999999999822E-2</v>
      </c>
      <c r="T112" s="8">
        <f>AVERAGE(Q112:S112)</f>
        <v>4.9999999999999822E-2</v>
      </c>
      <c r="U112" s="8"/>
      <c r="V112" s="13" t="s">
        <v>4</v>
      </c>
      <c r="W112" s="8">
        <f>4.513-4.471</f>
        <v>4.1999999999999815E-2</v>
      </c>
      <c r="X112" s="8">
        <f>4.196-4.156</f>
        <v>4.0000000000000036E-2</v>
      </c>
      <c r="Y112" s="8">
        <f>4.474-4.433</f>
        <v>4.1000000000000369E-2</v>
      </c>
      <c r="Z112" s="8">
        <f>AVERAGE(W112:Y112)</f>
        <v>4.1000000000000071E-2</v>
      </c>
      <c r="AA112" s="8"/>
      <c r="AB112" s="8"/>
      <c r="AC112" s="13" t="s">
        <v>4</v>
      </c>
      <c r="AD112" s="8">
        <v>2.9000000000000001E-2</v>
      </c>
      <c r="AE112" s="8">
        <v>2.7E-2</v>
      </c>
      <c r="AF112" s="8">
        <v>2.7E-2</v>
      </c>
      <c r="AG112" s="9">
        <f>AVERAGE(AD112:AF112)</f>
        <v>2.7666666666666669E-2</v>
      </c>
      <c r="AJ112" s="13" t="s">
        <v>4</v>
      </c>
      <c r="AK112" s="8">
        <f>3.954-3.898</f>
        <v>5.600000000000005E-2</v>
      </c>
      <c r="AL112" s="8">
        <f>4.353-4.3</f>
        <v>5.2999999999999936E-2</v>
      </c>
      <c r="AM112" s="8">
        <f>4.058-4.005</f>
        <v>5.2999999999999936E-2</v>
      </c>
      <c r="AN112" s="8">
        <f>AVERAGE(AK112:AM112)</f>
        <v>5.3999999999999972E-2</v>
      </c>
    </row>
    <row r="113" spans="1:40">
      <c r="A113" s="21" t="s">
        <v>5</v>
      </c>
      <c r="B113" s="8">
        <f>4.876-4.777</f>
        <v>9.9000000000000199E-2</v>
      </c>
      <c r="C113" s="8">
        <f>4.773-4.671</f>
        <v>0.10199999999999942</v>
      </c>
      <c r="D113" s="8">
        <f>4.674-4.573</f>
        <v>0.10099999999999998</v>
      </c>
      <c r="E113" s="8">
        <f>AVERAGE(B113:D113)</f>
        <v>0.10066666666666653</v>
      </c>
      <c r="F113" s="8"/>
      <c r="G113" s="8"/>
      <c r="H113" s="13" t="s">
        <v>5</v>
      </c>
      <c r="I113" s="8">
        <v>7.0000000000000007E-2</v>
      </c>
      <c r="J113" s="8">
        <v>7.9000000000000001E-2</v>
      </c>
      <c r="K113" s="8">
        <v>7.0000000000000007E-2</v>
      </c>
      <c r="L113" s="8">
        <f t="shared" si="14"/>
        <v>7.3000000000000009E-2</v>
      </c>
      <c r="M113" s="8"/>
      <c r="N113" s="8"/>
      <c r="O113" s="8"/>
      <c r="P113" s="13" t="s">
        <v>5</v>
      </c>
      <c r="Q113" s="8">
        <f>4.478-4.421</f>
        <v>5.6999999999999496E-2</v>
      </c>
      <c r="R113" s="8">
        <f>4.312-4.26</f>
        <v>5.200000000000049E-2</v>
      </c>
      <c r="S113" s="8">
        <f>4.478-4.421</f>
        <v>5.6999999999999496E-2</v>
      </c>
      <c r="T113" s="8">
        <f>AVERAGE(Q113:S113)</f>
        <v>5.5333333333333158E-2</v>
      </c>
      <c r="U113" s="8"/>
      <c r="V113" s="13" t="s">
        <v>5</v>
      </c>
      <c r="W113" s="8">
        <f>4.247-4.206</f>
        <v>4.0999999999999481E-2</v>
      </c>
      <c r="X113" s="8">
        <f>4.429-4.387</f>
        <v>4.2000000000000703E-2</v>
      </c>
      <c r="Y113" s="8">
        <f>4.168-4.121</f>
        <v>4.6999999999999709E-2</v>
      </c>
      <c r="Z113" s="8">
        <f>AVERAGE(W113:Y113)</f>
        <v>4.33333333333333E-2</v>
      </c>
      <c r="AA113" s="8"/>
      <c r="AB113" s="8"/>
      <c r="AC113" s="13" t="s">
        <v>5</v>
      </c>
      <c r="AD113" s="8">
        <f>4.138-4.105</f>
        <v>3.2999999999999474E-2</v>
      </c>
      <c r="AE113" s="8">
        <f>4.11-4.078</f>
        <v>3.2000000000000028E-2</v>
      </c>
      <c r="AF113" s="8">
        <f>3.828-3.797</f>
        <v>3.0999999999999694E-2</v>
      </c>
      <c r="AG113" s="9">
        <f>AVERAGE(AD113:AF113)</f>
        <v>3.199999999999973E-2</v>
      </c>
      <c r="AJ113" s="13" t="s">
        <v>5</v>
      </c>
      <c r="AK113" s="8">
        <f>4.126-4.071</f>
        <v>5.5000000000000604E-2</v>
      </c>
      <c r="AL113" s="8">
        <f>4.352-4.296</f>
        <v>5.600000000000005E-2</v>
      </c>
      <c r="AM113" s="8">
        <f>4.242-4.187</f>
        <v>5.4999999999999716E-2</v>
      </c>
      <c r="AN113" s="8">
        <f>AVERAGE(AK113:AM113)</f>
        <v>5.5333333333333456E-2</v>
      </c>
    </row>
    <row r="114" spans="1:40">
      <c r="A114" s="21" t="s">
        <v>6</v>
      </c>
      <c r="B114" s="8">
        <f>4.538-4.429</f>
        <v>0.10899999999999999</v>
      </c>
      <c r="C114" s="8">
        <f>4.424-4.318</f>
        <v>0.10600000000000076</v>
      </c>
      <c r="D114" s="8">
        <f>4.315-4.204</f>
        <v>0.11100000000000065</v>
      </c>
      <c r="E114" s="31">
        <f>AVERAGE(B114:D114)</f>
        <v>0.10866666666666713</v>
      </c>
      <c r="F114" s="8"/>
      <c r="G114" s="8"/>
      <c r="H114" s="13" t="s">
        <v>6</v>
      </c>
      <c r="I114" s="8">
        <v>8.7999999999999995E-2</v>
      </c>
      <c r="J114" s="8">
        <v>9.1999999999999998E-2</v>
      </c>
      <c r="K114" s="8">
        <v>8.8999999999999996E-2</v>
      </c>
      <c r="L114" s="8">
        <f t="shared" si="14"/>
        <v>8.9666666666666672E-2</v>
      </c>
      <c r="M114" s="8"/>
      <c r="N114" s="8"/>
      <c r="O114" s="8"/>
      <c r="P114" s="13" t="s">
        <v>6</v>
      </c>
      <c r="Q114" s="8">
        <f>4.429-4.366</f>
        <v>6.3000000000000611E-2</v>
      </c>
      <c r="R114" s="8">
        <f>4.298-4.242</f>
        <v>5.600000000000005E-2</v>
      </c>
      <c r="S114" s="8">
        <f>4.238-4.174</f>
        <v>6.4000000000000057E-2</v>
      </c>
      <c r="T114" s="31">
        <f>AVERAGE(Q114:S114)</f>
        <v>6.1000000000000242E-2</v>
      </c>
      <c r="U114" s="8"/>
      <c r="V114" s="13" t="s">
        <v>6</v>
      </c>
      <c r="W114" s="8">
        <f>4.192-4.143</f>
        <v>4.9000000000000377E-2</v>
      </c>
      <c r="X114" s="8">
        <f>4.464-4.419</f>
        <v>4.5000000000000817E-2</v>
      </c>
      <c r="Y114" s="8">
        <f>4.563-4.517</f>
        <v>4.5999999999999375E-2</v>
      </c>
      <c r="Z114" s="31">
        <f>AVERAGE(W114:Y114)</f>
        <v>4.6666666666666856E-2</v>
      </c>
      <c r="AA114" s="8"/>
      <c r="AB114" s="8"/>
      <c r="AC114" s="13" t="s">
        <v>6</v>
      </c>
      <c r="AD114" s="8">
        <f>4.143-4.108</f>
        <v>3.5000000000000142E-2</v>
      </c>
      <c r="AE114" s="8">
        <f>4.325-4.293</f>
        <v>3.2000000000000028E-2</v>
      </c>
      <c r="AF114" s="8">
        <f>4.301-4.27</f>
        <v>3.1000000000000583E-2</v>
      </c>
      <c r="AG114" s="9">
        <f>AVERAGE(AD114:AF114)</f>
        <v>3.266666666666692E-2</v>
      </c>
      <c r="AJ114" s="13" t="s">
        <v>6</v>
      </c>
      <c r="AK114" s="8">
        <f>4.314-4.235</f>
        <v>7.8999999999999737E-2</v>
      </c>
      <c r="AL114" s="8">
        <f>3.876-3.794</f>
        <v>8.1999999999999851E-2</v>
      </c>
      <c r="AM114" s="8">
        <f>4.138-4.055</f>
        <v>8.3000000000000185E-2</v>
      </c>
      <c r="AN114" s="31">
        <f>AVERAGE(AK114:AM114)</f>
        <v>8.1333333333333258E-2</v>
      </c>
    </row>
    <row r="115" spans="1:40" ht="15" thickBot="1">
      <c r="A115" s="29"/>
      <c r="B115" s="16"/>
      <c r="C115" s="16"/>
      <c r="D115" s="16"/>
      <c r="E115" s="16" t="s">
        <v>26</v>
      </c>
      <c r="F115" s="16"/>
      <c r="G115" s="16"/>
      <c r="H115" s="16"/>
      <c r="I115" s="16"/>
      <c r="J115" s="16"/>
      <c r="K115" s="16"/>
      <c r="L115" s="16" t="s">
        <v>26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</row>
    <row r="119" spans="1:40" ht="15" thickBot="1"/>
    <row r="120" spans="1:40">
      <c r="A120" s="4" t="s">
        <v>19</v>
      </c>
      <c r="B120" s="5"/>
      <c r="C120" s="5"/>
      <c r="D120" s="6"/>
      <c r="F120" t="s">
        <v>27</v>
      </c>
    </row>
    <row r="121" spans="1:40" ht="15" thickBot="1">
      <c r="A121" s="7"/>
      <c r="B121" s="8"/>
      <c r="C121" s="8"/>
      <c r="D121" s="9"/>
    </row>
    <row r="122" spans="1:40">
      <c r="A122" s="10" t="s">
        <v>16</v>
      </c>
      <c r="B122" s="8"/>
      <c r="C122" s="11" t="s">
        <v>17</v>
      </c>
      <c r="D122" s="12" t="s">
        <v>18</v>
      </c>
      <c r="F122" s="18" t="s">
        <v>21</v>
      </c>
      <c r="G122" s="19"/>
      <c r="H122" s="5"/>
      <c r="I122" s="19" t="s">
        <v>20</v>
      </c>
      <c r="J122" s="19"/>
      <c r="K122" s="5"/>
      <c r="L122" s="19" t="s">
        <v>35</v>
      </c>
      <c r="M122" s="19"/>
      <c r="N122" s="5"/>
      <c r="O122" s="19" t="s">
        <v>36</v>
      </c>
      <c r="P122" s="19"/>
      <c r="Q122" s="5"/>
      <c r="R122" s="19" t="s">
        <v>22</v>
      </c>
      <c r="S122" s="19"/>
      <c r="T122" s="5"/>
      <c r="U122" s="19" t="s">
        <v>23</v>
      </c>
      <c r="V122" s="20"/>
    </row>
    <row r="123" spans="1:40">
      <c r="A123" s="10">
        <v>3.3000000000000002E-2</v>
      </c>
      <c r="B123" s="13" t="s">
        <v>2</v>
      </c>
      <c r="C123" s="8"/>
      <c r="D123" s="9">
        <v>0.08</v>
      </c>
      <c r="F123" s="21" t="s">
        <v>2</v>
      </c>
      <c r="G123" s="8">
        <f>(D123-E110)/(D123-A123)</f>
        <v>7.8014184397162498E-2</v>
      </c>
      <c r="H123" s="8"/>
      <c r="I123" s="13" t="s">
        <v>2</v>
      </c>
      <c r="J123" s="8">
        <f>(D123-L110)/(D123-A123)</f>
        <v>0.27659574468085102</v>
      </c>
      <c r="K123" s="8"/>
      <c r="L123" s="13" t="s">
        <v>2</v>
      </c>
      <c r="M123" s="8">
        <f>(D123-AN110)/(D123-A123)</f>
        <v>0.60992907801418828</v>
      </c>
      <c r="N123" s="8"/>
      <c r="O123" s="13" t="s">
        <v>2</v>
      </c>
      <c r="P123" s="8">
        <f>(D123-T110)/(D123-A123)</f>
        <v>0.5957446808510638</v>
      </c>
      <c r="Q123" s="8"/>
      <c r="R123" s="13" t="s">
        <v>2</v>
      </c>
      <c r="S123" s="8">
        <f>(D123-Z110)/(D123-A123)</f>
        <v>0.91489361702127825</v>
      </c>
      <c r="T123" s="8"/>
      <c r="U123" s="13" t="s">
        <v>2</v>
      </c>
      <c r="V123" s="9">
        <f>(D123-AG110)/(D123-A123)</f>
        <v>1.2340425531914925</v>
      </c>
    </row>
    <row r="124" spans="1:40">
      <c r="A124" s="10">
        <v>3.3000000000000002E-2</v>
      </c>
      <c r="B124" s="13" t="s">
        <v>3</v>
      </c>
      <c r="C124" s="8"/>
      <c r="D124" s="9">
        <f>(0.097*1.25)-0.017</f>
        <v>0.10425</v>
      </c>
      <c r="F124" s="21" t="s">
        <v>3</v>
      </c>
      <c r="G124" s="8">
        <f t="shared" ref="G124:G126" si="15">(D124-E111)/(D124-A124)</f>
        <v>0.27953216374269357</v>
      </c>
      <c r="H124" s="8"/>
      <c r="I124" s="13" t="s">
        <v>3</v>
      </c>
      <c r="J124" s="8">
        <f t="shared" ref="J124:J127" si="16">(D124-L111)/(D124-A124)</f>
        <v>0.44327485380116949</v>
      </c>
      <c r="K124" s="8"/>
      <c r="L124" s="13" t="s">
        <v>3</v>
      </c>
      <c r="M124" s="8">
        <f t="shared" ref="M124:M127" si="17">(D124-AN111)/(D124-A124)</f>
        <v>0.73333333333333472</v>
      </c>
      <c r="N124" s="8"/>
      <c r="O124" s="13" t="s">
        <v>3</v>
      </c>
      <c r="P124" s="8">
        <f t="shared" ref="P124:P127" si="18">(D124-T111)/(D124-A124)</f>
        <v>0.83625730994152303</v>
      </c>
      <c r="Q124" s="8"/>
      <c r="R124" s="13" t="s">
        <v>3</v>
      </c>
      <c r="S124" s="8">
        <f t="shared" ref="S124:S127" si="19">(D124-Z111)/(D124-A124)</f>
        <v>0.93450292397661028</v>
      </c>
      <c r="T124" s="8"/>
      <c r="U124" s="13" t="s">
        <v>3</v>
      </c>
      <c r="V124" s="9">
        <f t="shared" ref="V124:V127" si="20">(D124-AG111)/(D124-A124)</f>
        <v>1.1029239766081873</v>
      </c>
    </row>
    <row r="125" spans="1:40">
      <c r="A125" s="10">
        <v>3.3000000000000002E-2</v>
      </c>
      <c r="B125" s="13" t="s">
        <v>4</v>
      </c>
      <c r="C125" s="8"/>
      <c r="D125" s="9">
        <f>(0.097*1.5)-0.017</f>
        <v>0.1285</v>
      </c>
      <c r="F125" s="21" t="s">
        <v>4</v>
      </c>
      <c r="G125" s="8">
        <f t="shared" si="15"/>
        <v>0.3961605584642226</v>
      </c>
      <c r="H125" s="8"/>
      <c r="I125" s="13" t="s">
        <v>4</v>
      </c>
      <c r="J125" s="8">
        <f t="shared" si="16"/>
        <v>0.6090750436300173</v>
      </c>
      <c r="K125" s="8"/>
      <c r="L125" s="13" t="s">
        <v>4</v>
      </c>
      <c r="M125" s="8">
        <f t="shared" si="17"/>
        <v>0.78010471204188525</v>
      </c>
      <c r="N125" s="8"/>
      <c r="O125" s="13" t="s">
        <v>4</v>
      </c>
      <c r="P125" s="8">
        <f t="shared" si="18"/>
        <v>0.82198952879581344</v>
      </c>
      <c r="Q125" s="8"/>
      <c r="R125" s="13" t="s">
        <v>4</v>
      </c>
      <c r="S125" s="8">
        <f t="shared" si="19"/>
        <v>0.91623036649214595</v>
      </c>
      <c r="T125" s="8"/>
      <c r="U125" s="13" t="s">
        <v>4</v>
      </c>
      <c r="V125" s="9">
        <f t="shared" si="20"/>
        <v>1.0558464223385688</v>
      </c>
    </row>
    <row r="126" spans="1:40">
      <c r="A126" s="10">
        <v>3.3000000000000002E-2</v>
      </c>
      <c r="B126" s="13" t="s">
        <v>5</v>
      </c>
      <c r="C126" s="8"/>
      <c r="D126" s="9">
        <f>(0.097*1.75)-0.017</f>
        <v>0.15275</v>
      </c>
      <c r="F126" s="21" t="s">
        <v>5</v>
      </c>
      <c r="G126" s="8">
        <f t="shared" si="15"/>
        <v>0.43493389004871374</v>
      </c>
      <c r="H126" s="8"/>
      <c r="I126" s="13" t="s">
        <v>5</v>
      </c>
      <c r="J126" s="8">
        <f t="shared" si="16"/>
        <v>0.66597077244258862</v>
      </c>
      <c r="K126" s="8"/>
      <c r="L126" s="13" t="s">
        <v>5</v>
      </c>
      <c r="M126" s="8">
        <f t="shared" si="17"/>
        <v>0.81350034794711101</v>
      </c>
      <c r="N126" s="8"/>
      <c r="O126" s="13" t="s">
        <v>5</v>
      </c>
      <c r="P126" s="8">
        <f t="shared" si="18"/>
        <v>0.81350034794711357</v>
      </c>
      <c r="Q126" s="8"/>
      <c r="R126" s="13" t="s">
        <v>5</v>
      </c>
      <c r="S126" s="8">
        <f t="shared" si="19"/>
        <v>0.9137091162143357</v>
      </c>
      <c r="T126" s="8"/>
      <c r="U126" s="13" t="s">
        <v>5</v>
      </c>
      <c r="V126" s="9">
        <f t="shared" si="20"/>
        <v>1.0083507306889377</v>
      </c>
    </row>
    <row r="127" spans="1:40" ht="15" thickBot="1">
      <c r="A127" s="14">
        <v>3.3000000000000002E-2</v>
      </c>
      <c r="B127" s="15" t="s">
        <v>6</v>
      </c>
      <c r="C127" s="16"/>
      <c r="D127" s="17">
        <f>(0.097*2)-0.017</f>
        <v>0.17699999999999999</v>
      </c>
      <c r="F127" s="22" t="s">
        <v>6</v>
      </c>
      <c r="G127" s="16">
        <f>(D127-E114)/(D127-A127)</f>
        <v>0.47453703703703376</v>
      </c>
      <c r="H127" s="16"/>
      <c r="I127" s="15" t="s">
        <v>6</v>
      </c>
      <c r="J127" s="16">
        <f t="shared" si="16"/>
        <v>0.6064814814814814</v>
      </c>
      <c r="K127" s="16"/>
      <c r="L127" s="15" t="s">
        <v>6</v>
      </c>
      <c r="M127" s="8">
        <f t="shared" si="17"/>
        <v>0.66435185185185242</v>
      </c>
      <c r="N127" s="16"/>
      <c r="O127" s="15" t="s">
        <v>6</v>
      </c>
      <c r="P127" s="8">
        <f t="shared" si="18"/>
        <v>0.8055555555555538</v>
      </c>
      <c r="Q127" s="16"/>
      <c r="R127" s="15" t="s">
        <v>6</v>
      </c>
      <c r="S127" s="8">
        <f t="shared" si="19"/>
        <v>0.90509259259259123</v>
      </c>
      <c r="T127" s="16"/>
      <c r="U127" s="15" t="s">
        <v>6</v>
      </c>
      <c r="V127" s="9">
        <f t="shared" si="20"/>
        <v>1.0023148148148131</v>
      </c>
    </row>
    <row r="142" spans="1:36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7" spans="3:23">
      <c r="C147" s="65"/>
      <c r="D147" s="65"/>
      <c r="E147" s="66"/>
      <c r="F147" s="66"/>
      <c r="G147" s="66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3:23"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3:23"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3:23"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3:23"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3:23"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3:23" ht="21">
      <c r="C153" s="65"/>
      <c r="D153" s="65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5"/>
    </row>
    <row r="154" spans="3:23" ht="18">
      <c r="C154" s="65"/>
      <c r="D154" s="65"/>
      <c r="E154" s="68"/>
      <c r="F154" s="64"/>
      <c r="G154" s="64"/>
      <c r="H154" s="68"/>
      <c r="I154" s="64"/>
      <c r="J154" s="64"/>
      <c r="K154" s="68"/>
      <c r="L154" s="64"/>
      <c r="M154" s="64"/>
      <c r="N154" s="68"/>
      <c r="O154" s="64"/>
      <c r="P154" s="64"/>
      <c r="Q154" s="68"/>
      <c r="R154" s="64"/>
      <c r="S154" s="64"/>
      <c r="T154" s="68"/>
      <c r="U154" s="64"/>
      <c r="V154" s="65"/>
      <c r="W154" s="65"/>
    </row>
    <row r="155" spans="3:23" ht="18">
      <c r="C155" s="65"/>
      <c r="D155" s="65"/>
      <c r="E155" s="68"/>
      <c r="F155" s="64"/>
      <c r="G155" s="64"/>
      <c r="H155" s="68"/>
      <c r="I155" s="64"/>
      <c r="J155" s="64"/>
      <c r="K155" s="68"/>
      <c r="L155" s="64"/>
      <c r="M155" s="64"/>
      <c r="N155" s="68"/>
      <c r="O155" s="64"/>
      <c r="P155" s="64"/>
      <c r="Q155" s="68"/>
      <c r="R155" s="64"/>
      <c r="S155" s="64"/>
      <c r="T155" s="68"/>
      <c r="U155" s="64"/>
      <c r="V155" s="65"/>
      <c r="W155" s="65"/>
    </row>
    <row r="156" spans="3:23" ht="18">
      <c r="C156" s="65"/>
      <c r="D156" s="65"/>
      <c r="E156" s="68"/>
      <c r="F156" s="64"/>
      <c r="G156" s="64"/>
      <c r="H156" s="68"/>
      <c r="I156" s="64"/>
      <c r="J156" s="64"/>
      <c r="K156" s="68"/>
      <c r="L156" s="64"/>
      <c r="M156" s="64"/>
      <c r="N156" s="68"/>
      <c r="O156" s="64"/>
      <c r="P156" s="64"/>
      <c r="Q156" s="68"/>
      <c r="R156" s="64"/>
      <c r="S156" s="64"/>
      <c r="T156" s="68"/>
      <c r="U156" s="64"/>
      <c r="V156" s="65"/>
      <c r="W156" s="65"/>
    </row>
    <row r="157" spans="3:23" ht="18">
      <c r="C157" s="65"/>
      <c r="D157" s="65"/>
      <c r="E157" s="68"/>
      <c r="F157" s="64"/>
      <c r="G157" s="64"/>
      <c r="H157" s="68"/>
      <c r="I157" s="64"/>
      <c r="J157" s="64"/>
      <c r="K157" s="68"/>
      <c r="L157" s="64"/>
      <c r="M157" s="64"/>
      <c r="N157" s="68"/>
      <c r="O157" s="64"/>
      <c r="P157" s="64"/>
      <c r="Q157" s="68"/>
      <c r="R157" s="64"/>
      <c r="S157" s="64"/>
      <c r="T157" s="68"/>
      <c r="U157" s="64"/>
      <c r="V157" s="65"/>
      <c r="W157" s="65"/>
    </row>
    <row r="158" spans="3:23" ht="18">
      <c r="C158" s="65"/>
      <c r="D158" s="65"/>
      <c r="E158" s="68"/>
      <c r="F158" s="64"/>
      <c r="G158" s="64"/>
      <c r="H158" s="68"/>
      <c r="I158" s="64"/>
      <c r="J158" s="64"/>
      <c r="K158" s="68"/>
      <c r="L158" s="64"/>
      <c r="M158" s="64"/>
      <c r="N158" s="68"/>
      <c r="O158" s="64"/>
      <c r="P158" s="64"/>
      <c r="Q158" s="68"/>
      <c r="R158" s="64"/>
      <c r="S158" s="64"/>
      <c r="T158" s="68"/>
      <c r="U158" s="64"/>
      <c r="V158" s="65"/>
      <c r="W158" s="65"/>
    </row>
    <row r="159" spans="3:23"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Resultados!F154:F154</xm:f>
              <xm:sqref>F154</xm:sqref>
            </x14:sparkline>
            <x14:sparkline>
              <xm:f>Resultados!F155:F155</xm:f>
              <xm:sqref>F155</xm:sqref>
            </x14:sparkline>
            <x14:sparkline>
              <xm:f>Resultados!F156:F156</xm:f>
              <xm:sqref>F156</xm:sqref>
            </x14:sparkline>
            <x14:sparkline>
              <xm:f>Resultados!F157:F157</xm:f>
              <xm:sqref>F157</xm:sqref>
            </x14:sparkline>
            <x14:sparkline>
              <xm:f>Resultados!F158:F158</xm:f>
              <xm:sqref>F158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9"/>
  <sheetViews>
    <sheetView workbookViewId="0">
      <selection activeCell="Q25" sqref="Q25"/>
    </sheetView>
  </sheetViews>
  <sheetFormatPr baseColWidth="10" defaultColWidth="8.88671875" defaultRowHeight="14.4"/>
  <sheetData>
    <row r="2" spans="2:22" ht="15" thickBot="1"/>
    <row r="3" spans="2:22" ht="15.6" thickTop="1" thickBot="1">
      <c r="B3" s="3" t="s">
        <v>37</v>
      </c>
      <c r="C3" s="3"/>
      <c r="D3" s="3"/>
      <c r="E3" s="3"/>
    </row>
    <row r="4" spans="2:22" ht="15" thickTop="1"/>
    <row r="7" spans="2:22" ht="15" thickBot="1"/>
    <row r="8" spans="2:22">
      <c r="B8" s="42" t="s">
        <v>38</v>
      </c>
      <c r="C8" s="43"/>
      <c r="D8" s="44"/>
      <c r="E8" s="45"/>
      <c r="F8" s="42" t="s">
        <v>39</v>
      </c>
      <c r="G8" s="43"/>
      <c r="H8" s="44"/>
      <c r="I8" s="45"/>
      <c r="J8" s="42" t="s">
        <v>40</v>
      </c>
      <c r="K8" s="43"/>
      <c r="L8" s="44"/>
      <c r="M8" s="41"/>
      <c r="N8" s="46"/>
      <c r="O8" s="42" t="s">
        <v>41</v>
      </c>
      <c r="P8" s="43"/>
      <c r="Q8" s="44"/>
      <c r="R8" s="41"/>
      <c r="S8" s="46"/>
      <c r="T8" s="42" t="s">
        <v>42</v>
      </c>
      <c r="U8" s="43"/>
      <c r="V8" s="44"/>
    </row>
    <row r="9" spans="2:22">
      <c r="B9" s="7"/>
      <c r="C9" s="8"/>
      <c r="D9" s="9"/>
      <c r="F9" s="7"/>
      <c r="G9" s="8"/>
      <c r="H9" s="9"/>
      <c r="J9" s="7"/>
      <c r="K9" s="8"/>
      <c r="L9" s="9"/>
      <c r="O9" s="7"/>
      <c r="P9" s="8"/>
      <c r="Q9" s="9"/>
      <c r="T9" s="7"/>
      <c r="U9" s="8"/>
      <c r="V9" s="9"/>
    </row>
    <row r="10" spans="2:22">
      <c r="B10" s="7" t="s">
        <v>43</v>
      </c>
      <c r="C10" s="8"/>
      <c r="D10" s="9"/>
      <c r="F10" s="7" t="s">
        <v>51</v>
      </c>
      <c r="G10" s="8"/>
      <c r="H10" s="9"/>
      <c r="J10" s="7" t="s">
        <v>47</v>
      </c>
      <c r="K10" s="8"/>
      <c r="L10" s="9"/>
      <c r="O10" s="7" t="s">
        <v>55</v>
      </c>
      <c r="P10" s="8"/>
      <c r="Q10" s="9"/>
      <c r="T10" s="7" t="s">
        <v>59</v>
      </c>
      <c r="U10" s="8"/>
      <c r="V10" s="9"/>
    </row>
    <row r="11" spans="2:22">
      <c r="B11" s="7" t="s">
        <v>44</v>
      </c>
      <c r="C11" s="8"/>
      <c r="D11" s="9"/>
      <c r="F11" s="7" t="s">
        <v>52</v>
      </c>
      <c r="G11" s="8"/>
      <c r="H11" s="9"/>
      <c r="J11" s="7" t="s">
        <v>48</v>
      </c>
      <c r="K11" s="8"/>
      <c r="L11" s="9"/>
      <c r="O11" s="7" t="s">
        <v>56</v>
      </c>
      <c r="P11" s="8"/>
      <c r="Q11" s="9"/>
      <c r="T11" s="7" t="s">
        <v>60</v>
      </c>
      <c r="U11" s="8"/>
      <c r="V11" s="9"/>
    </row>
    <row r="12" spans="2:22">
      <c r="B12" s="7" t="s">
        <v>45</v>
      </c>
      <c r="C12" s="8"/>
      <c r="D12" s="9"/>
      <c r="F12" s="7" t="s">
        <v>53</v>
      </c>
      <c r="G12" s="8"/>
      <c r="H12" s="9"/>
      <c r="J12" s="7" t="s">
        <v>49</v>
      </c>
      <c r="K12" s="8"/>
      <c r="L12" s="9"/>
      <c r="O12" s="7" t="s">
        <v>57</v>
      </c>
      <c r="P12" s="8"/>
      <c r="Q12" s="9"/>
      <c r="T12" s="7" t="s">
        <v>61</v>
      </c>
      <c r="U12" s="8"/>
      <c r="V12" s="9"/>
    </row>
    <row r="13" spans="2:22">
      <c r="B13" s="7"/>
      <c r="C13" s="8"/>
      <c r="D13" s="9"/>
      <c r="F13" s="7"/>
      <c r="G13" s="8"/>
      <c r="H13" s="9"/>
      <c r="J13" s="7"/>
      <c r="K13" s="8"/>
      <c r="L13" s="9"/>
      <c r="O13" s="7"/>
      <c r="P13" s="8"/>
      <c r="Q13" s="9"/>
      <c r="T13" s="7"/>
      <c r="U13" s="8"/>
      <c r="V13" s="9"/>
    </row>
    <row r="14" spans="2:22" ht="15" thickBot="1">
      <c r="B14" s="22" t="s">
        <v>46</v>
      </c>
      <c r="C14" s="15"/>
      <c r="D14" s="17"/>
      <c r="F14" s="22" t="s">
        <v>54</v>
      </c>
      <c r="G14" s="15"/>
      <c r="H14" s="17"/>
      <c r="J14" s="22" t="s">
        <v>50</v>
      </c>
      <c r="K14" s="15"/>
      <c r="L14" s="17"/>
      <c r="O14" s="22" t="s">
        <v>58</v>
      </c>
      <c r="P14" s="15"/>
      <c r="Q14" s="17"/>
      <c r="T14" s="22" t="s">
        <v>62</v>
      </c>
      <c r="U14" s="15"/>
      <c r="V14" s="17"/>
    </row>
    <row r="17" spans="15:23">
      <c r="O17" s="1" t="s">
        <v>75</v>
      </c>
      <c r="P17" s="1"/>
      <c r="Q17" s="1"/>
    </row>
    <row r="19" spans="15:23">
      <c r="O19" s="55" t="s">
        <v>76</v>
      </c>
      <c r="P19" s="55"/>
      <c r="Q19" s="55"/>
      <c r="R19" s="55"/>
      <c r="S19" s="55"/>
      <c r="T19" s="55"/>
      <c r="U19" s="55"/>
      <c r="V19" s="55"/>
      <c r="W19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7"/>
  <sheetViews>
    <sheetView zoomScale="53" zoomScaleNormal="53" workbookViewId="0">
      <selection activeCell="L77" sqref="L77:R77"/>
    </sheetView>
  </sheetViews>
  <sheetFormatPr baseColWidth="10" defaultColWidth="8.88671875" defaultRowHeight="14.4"/>
  <sheetData>
    <row r="1" spans="1:44" ht="15.6">
      <c r="A1" s="50"/>
      <c r="B1" s="50"/>
      <c r="C1" s="50"/>
      <c r="D1" s="50"/>
      <c r="G1" s="55" t="s">
        <v>77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44">
      <c r="A2" s="53"/>
      <c r="B2" s="54" t="s">
        <v>18</v>
      </c>
      <c r="C2" s="54" t="s">
        <v>73</v>
      </c>
      <c r="D2" s="54" t="s">
        <v>16</v>
      </c>
    </row>
    <row r="3" spans="1:44" ht="15.6">
      <c r="A3" s="51" t="s">
        <v>2</v>
      </c>
      <c r="B3" s="60">
        <f>(4.599-3.516)/10</f>
        <v>0.10830000000000002</v>
      </c>
      <c r="C3" s="8">
        <f>(0.2723+0.01031)</f>
        <v>0.28260999999999997</v>
      </c>
      <c r="D3" s="9">
        <f>0.125*(SIN(C3))</f>
        <v>3.4857882391202855E-2</v>
      </c>
    </row>
    <row r="4" spans="1:44" ht="15.6">
      <c r="A4" s="51" t="s">
        <v>3</v>
      </c>
      <c r="B4" s="60">
        <f>(3.895-2.608)/10</f>
        <v>0.12869999999999998</v>
      </c>
      <c r="C4" s="8">
        <f>(0.2566-0.006698)</f>
        <v>0.24990199999999999</v>
      </c>
      <c r="D4" s="9">
        <f>0.125*(SIN(C4))</f>
        <v>3.0913625581164183E-2</v>
      </c>
    </row>
    <row r="5" spans="1:44" ht="15.6">
      <c r="A5" s="51" t="s">
        <v>4</v>
      </c>
      <c r="B5" s="60">
        <f>(8.182-6.816)/10</f>
        <v>0.13660000000000005</v>
      </c>
      <c r="C5" s="8">
        <f>(0.2102+0.007008)</f>
        <v>0.21720800000000001</v>
      </c>
      <c r="D5" s="9">
        <f>0.125*(SIN(C5))</f>
        <v>2.6938008795511732E-2</v>
      </c>
    </row>
    <row r="6" spans="1:44" ht="15.6">
      <c r="A6" s="51" t="s">
        <v>5</v>
      </c>
      <c r="B6" s="60">
        <f>(8.977-7.45)/10</f>
        <v>0.1527</v>
      </c>
      <c r="C6" s="8">
        <f>(0.2114-0.006317)</f>
        <v>0.20508300000000002</v>
      </c>
      <c r="D6" s="9">
        <f>0.125*(SIN(C6))</f>
        <v>2.5456052658151592E-2</v>
      </c>
    </row>
    <row r="7" spans="1:44" ht="16.2" thickBot="1">
      <c r="A7" s="52" t="s">
        <v>6</v>
      </c>
      <c r="B7" s="61">
        <f>(4.871-3.277)/10</f>
        <v>0.15940000000000004</v>
      </c>
      <c r="C7" s="16">
        <f>(0.1954-0.01046)</f>
        <v>0.18493999999999999</v>
      </c>
      <c r="D7" s="17">
        <f>0.125*(SIN(C7))</f>
        <v>2.2985944627741877E-2</v>
      </c>
      <c r="F7" t="s">
        <v>74</v>
      </c>
    </row>
    <row r="8" spans="1:44">
      <c r="B8" t="s">
        <v>79</v>
      </c>
    </row>
    <row r="10" spans="1:44">
      <c r="D10" t="s">
        <v>78</v>
      </c>
    </row>
    <row r="13" spans="1:44" ht="15" thickBot="1"/>
    <row r="14" spans="1:44" ht="15.6" thickTop="1" thickBot="1">
      <c r="I14" s="3" t="s">
        <v>29</v>
      </c>
      <c r="J14" s="3"/>
      <c r="K14" s="3"/>
    </row>
    <row r="15" spans="1:44" ht="15.6" thickTop="1" thickBot="1"/>
    <row r="16" spans="1:44">
      <c r="E16" s="23"/>
      <c r="F16" s="24" t="s">
        <v>1</v>
      </c>
      <c r="G16" s="24"/>
      <c r="H16" s="24"/>
      <c r="I16" s="24"/>
      <c r="J16" s="5"/>
      <c r="K16" s="5"/>
      <c r="L16" s="24"/>
      <c r="M16" s="24" t="s">
        <v>11</v>
      </c>
      <c r="N16" s="24"/>
      <c r="O16" s="24"/>
      <c r="P16" s="24"/>
      <c r="Q16" s="5"/>
      <c r="R16" s="5"/>
      <c r="S16" s="5"/>
      <c r="T16" s="24"/>
      <c r="U16" s="24" t="s">
        <v>30</v>
      </c>
      <c r="V16" s="24"/>
      <c r="W16" s="24"/>
      <c r="X16" s="24"/>
      <c r="Y16" s="5"/>
      <c r="Z16" s="24"/>
      <c r="AA16" s="24" t="s">
        <v>12</v>
      </c>
      <c r="AB16" s="24"/>
      <c r="AC16" s="24"/>
      <c r="AD16" s="24"/>
      <c r="AE16" s="5"/>
      <c r="AF16" s="5"/>
      <c r="AG16" s="24"/>
      <c r="AH16" s="24" t="s">
        <v>13</v>
      </c>
      <c r="AI16" s="24"/>
      <c r="AJ16" s="24"/>
      <c r="AK16" s="25"/>
      <c r="AN16" s="24"/>
      <c r="AO16" s="24" t="s">
        <v>34</v>
      </c>
      <c r="AP16" s="24"/>
      <c r="AQ16" s="24"/>
      <c r="AR16" s="24"/>
    </row>
    <row r="17" spans="3:44">
      <c r="E17" s="26"/>
      <c r="F17" s="27" t="s">
        <v>8</v>
      </c>
      <c r="G17" s="27" t="s">
        <v>9</v>
      </c>
      <c r="H17" s="27" t="s">
        <v>10</v>
      </c>
      <c r="I17" s="27" t="s">
        <v>7</v>
      </c>
      <c r="J17" s="8"/>
      <c r="K17" s="8"/>
      <c r="L17" s="27"/>
      <c r="M17" s="27" t="s">
        <v>8</v>
      </c>
      <c r="N17" s="27" t="s">
        <v>9</v>
      </c>
      <c r="O17" s="27" t="s">
        <v>10</v>
      </c>
      <c r="P17" s="27" t="s">
        <v>7</v>
      </c>
      <c r="Q17" s="8"/>
      <c r="R17" s="8"/>
      <c r="S17" s="8"/>
      <c r="T17" s="27"/>
      <c r="U17" s="27" t="s">
        <v>8</v>
      </c>
      <c r="V17" s="27" t="s">
        <v>9</v>
      </c>
      <c r="W17" s="27" t="s">
        <v>10</v>
      </c>
      <c r="X17" s="27" t="s">
        <v>7</v>
      </c>
      <c r="Y17" s="8"/>
      <c r="Z17" s="27"/>
      <c r="AA17" s="27" t="s">
        <v>8</v>
      </c>
      <c r="AB17" s="27" t="s">
        <v>9</v>
      </c>
      <c r="AC17" s="27" t="s">
        <v>10</v>
      </c>
      <c r="AD17" s="27" t="s">
        <v>7</v>
      </c>
      <c r="AE17" s="8"/>
      <c r="AF17" s="8"/>
      <c r="AG17" s="27"/>
      <c r="AH17" s="27" t="s">
        <v>8</v>
      </c>
      <c r="AI17" s="27" t="s">
        <v>9</v>
      </c>
      <c r="AJ17" s="27" t="s">
        <v>10</v>
      </c>
      <c r="AK17" s="28" t="s">
        <v>7</v>
      </c>
      <c r="AN17" s="27"/>
      <c r="AO17" s="27" t="s">
        <v>8</v>
      </c>
      <c r="AP17" s="27" t="s">
        <v>9</v>
      </c>
      <c r="AQ17" s="27" t="s">
        <v>10</v>
      </c>
      <c r="AR17" s="27" t="s">
        <v>7</v>
      </c>
    </row>
    <row r="18" spans="3:44">
      <c r="E18" s="21" t="s">
        <v>2</v>
      </c>
      <c r="F18" s="8">
        <f>4.359-4.283</f>
        <v>7.5999999999999623E-2</v>
      </c>
      <c r="G18" s="8">
        <f>4.522-4.444</f>
        <v>7.8000000000000291E-2</v>
      </c>
      <c r="H18" s="8">
        <f>4.602-4.527</f>
        <v>7.5000000000000178E-2</v>
      </c>
      <c r="I18" s="8">
        <f>AVERAGE(F18:H18)</f>
        <v>7.6333333333333364E-2</v>
      </c>
      <c r="J18" s="8"/>
      <c r="K18" s="8"/>
      <c r="L18" s="13" t="s">
        <v>2</v>
      </c>
      <c r="M18" s="8">
        <v>6.7000000000000004E-2</v>
      </c>
      <c r="N18" s="8">
        <v>7.0000000000000007E-2</v>
      </c>
      <c r="O18" s="8">
        <v>6.4000000000000001E-2</v>
      </c>
      <c r="P18" s="8">
        <f t="shared" ref="P18:P22" si="0">AVERAGE(M18:O18)</f>
        <v>6.7000000000000004E-2</v>
      </c>
      <c r="Q18" s="8"/>
      <c r="R18" s="8"/>
      <c r="S18" s="8" t="s">
        <v>33</v>
      </c>
      <c r="T18" s="13" t="s">
        <v>2</v>
      </c>
      <c r="U18" s="8">
        <v>4.1000000000000002E-2</v>
      </c>
      <c r="V18" s="8">
        <v>0.04</v>
      </c>
      <c r="W18" s="8">
        <v>4.4999999999999998E-2</v>
      </c>
      <c r="X18" s="8">
        <f>AVERAGE(U18:W18)+0.01</f>
        <v>5.2000000000000005E-2</v>
      </c>
      <c r="Y18" s="8"/>
      <c r="Z18" s="13" t="s">
        <v>2</v>
      </c>
      <c r="AA18" s="8">
        <f>4.231-4.196</f>
        <v>3.5000000000000142E-2</v>
      </c>
      <c r="AB18" s="8">
        <f>4.313-4.276</f>
        <v>3.6999999999999922E-2</v>
      </c>
      <c r="AC18" s="8">
        <f>4.151-4.112</f>
        <v>3.8999999999999702E-2</v>
      </c>
      <c r="AD18" s="8">
        <f>AVERAGE(AA18:AC18)</f>
        <v>3.6999999999999922E-2</v>
      </c>
      <c r="AE18" s="8"/>
      <c r="AF18" s="8"/>
      <c r="AG18" s="13" t="s">
        <v>2</v>
      </c>
      <c r="AH18" s="8">
        <v>2.4E-2</v>
      </c>
      <c r="AI18" s="8">
        <v>2.1999999999999999E-2</v>
      </c>
      <c r="AJ18" s="8">
        <f>4.002-3.982</f>
        <v>1.9999999999999574E-2</v>
      </c>
      <c r="AK18" s="9">
        <f>AVERAGE(AH18:AJ18)</f>
        <v>2.1999999999999856E-2</v>
      </c>
      <c r="AN18" s="13" t="s">
        <v>2</v>
      </c>
      <c r="AO18" s="8">
        <f>4.264-4.214</f>
        <v>4.9999999999999822E-2</v>
      </c>
      <c r="AP18" s="8">
        <f>3.918-3.866</f>
        <v>5.2000000000000046E-2</v>
      </c>
      <c r="AQ18" s="8">
        <f>4.087-4.035</f>
        <v>5.1999999999999602E-2</v>
      </c>
      <c r="AR18" s="8">
        <f>AVERAGE(AO18:AQ18)</f>
        <v>5.1333333333333155E-2</v>
      </c>
    </row>
    <row r="19" spans="3:44">
      <c r="C19" s="8"/>
      <c r="E19" s="21" t="s">
        <v>3</v>
      </c>
      <c r="F19" s="8">
        <f>4.583-4.498</f>
        <v>8.4999999999999964E-2</v>
      </c>
      <c r="G19" s="8">
        <f>4.672-4.589</f>
        <v>8.2999999999999297E-2</v>
      </c>
      <c r="H19" s="8">
        <f>4.764-4.679</f>
        <v>8.4999999999999964E-2</v>
      </c>
      <c r="I19" s="8">
        <f>AVERAGE(F19:H19)</f>
        <v>8.433333333333308E-2</v>
      </c>
      <c r="J19" s="8"/>
      <c r="K19" s="8"/>
      <c r="L19" s="13" t="s">
        <v>3</v>
      </c>
      <c r="M19" s="8">
        <v>7.3999999999999996E-2</v>
      </c>
      <c r="N19" s="8">
        <v>7.3999999999999996E-2</v>
      </c>
      <c r="O19" s="8">
        <v>7.0000000000000007E-2</v>
      </c>
      <c r="P19" s="8">
        <f t="shared" si="0"/>
        <v>7.2666666666666671E-2</v>
      </c>
      <c r="Q19" s="8"/>
      <c r="R19" s="8"/>
      <c r="S19" s="8"/>
      <c r="T19" s="13" t="s">
        <v>3</v>
      </c>
      <c r="U19" s="8">
        <f>4.49-4.448</f>
        <v>4.1999999999999815E-2</v>
      </c>
      <c r="V19" s="8">
        <f>4.401-4.353</f>
        <v>4.8000000000000043E-2</v>
      </c>
      <c r="W19" s="8">
        <f>4.319-4.275</f>
        <v>4.3999999999999595E-2</v>
      </c>
      <c r="X19" s="8">
        <f>AVERAGE(U19:W19)</f>
        <v>4.4666666666666487E-2</v>
      </c>
      <c r="Y19" s="8"/>
      <c r="Z19" s="13" t="s">
        <v>3</v>
      </c>
      <c r="AA19" s="8">
        <f>4.466-4.428</f>
        <v>3.8000000000000256E-2</v>
      </c>
      <c r="AB19" s="8">
        <f>4.188-4.15</f>
        <v>3.7999999999999368E-2</v>
      </c>
      <c r="AC19" s="8">
        <f>4.375-4.338</f>
        <v>3.6999999999999922E-2</v>
      </c>
      <c r="AD19" s="8">
        <f>AVERAGE(AA19:AC19)</f>
        <v>3.7666666666666515E-2</v>
      </c>
      <c r="AE19" s="8"/>
      <c r="AF19" s="8"/>
      <c r="AG19" s="13" t="s">
        <v>3</v>
      </c>
      <c r="AH19" s="8">
        <f>4.08-4.053</f>
        <v>2.7000000000000135E-2</v>
      </c>
      <c r="AI19" s="8">
        <f>3.989-3.964</f>
        <v>2.4999999999999911E-2</v>
      </c>
      <c r="AJ19" s="8">
        <f>3.929-3.904</f>
        <v>2.4999999999999911E-2</v>
      </c>
      <c r="AK19" s="9">
        <f>AVERAGE(AH19:AJ19)</f>
        <v>2.5666666666666654E-2</v>
      </c>
      <c r="AN19" s="13" t="s">
        <v>3</v>
      </c>
      <c r="AO19" s="8">
        <f>4.237-4.186</f>
        <v>5.1000000000000156E-2</v>
      </c>
      <c r="AP19" s="8">
        <f>4.38-4.327</f>
        <v>5.2999999999999936E-2</v>
      </c>
      <c r="AQ19" s="8">
        <f>4.135-4.083</f>
        <v>5.1999999999999602E-2</v>
      </c>
      <c r="AR19" s="8">
        <f>AVERAGE(AO19:AQ19)</f>
        <v>5.19999999999999E-2</v>
      </c>
    </row>
    <row r="20" spans="3:44">
      <c r="C20" s="8"/>
      <c r="E20" s="21" t="s">
        <v>4</v>
      </c>
      <c r="F20" s="8">
        <f>4.532-4.441</f>
        <v>9.1000000000000192E-2</v>
      </c>
      <c r="G20" s="8">
        <f>4.727-4.636</f>
        <v>9.1000000000000192E-2</v>
      </c>
      <c r="H20" s="8">
        <f>4.919-4.829</f>
        <v>8.9999999999999858E-2</v>
      </c>
      <c r="I20" s="8">
        <f>AVERAGE(F20:H20)</f>
        <v>9.0666666666666743E-2</v>
      </c>
      <c r="J20" s="8"/>
      <c r="K20" s="8"/>
      <c r="L20" s="13" t="s">
        <v>4</v>
      </c>
      <c r="M20" s="8">
        <v>6.4000000000000001E-2</v>
      </c>
      <c r="N20" s="8">
        <v>7.6999999999999999E-2</v>
      </c>
      <c r="O20" s="8">
        <v>7.0000000000000007E-2</v>
      </c>
      <c r="P20" s="8">
        <f t="shared" si="0"/>
        <v>7.0333333333333345E-2</v>
      </c>
      <c r="Q20" s="8"/>
      <c r="R20" s="8"/>
      <c r="S20" s="8"/>
      <c r="T20" s="13" t="s">
        <v>4</v>
      </c>
      <c r="U20" s="8">
        <f>4.419-4.372</f>
        <v>4.6999999999999709E-2</v>
      </c>
      <c r="V20" s="8">
        <f>4.128-4.075</f>
        <v>5.2999999999999936E-2</v>
      </c>
      <c r="W20" s="8">
        <f>4.563-4.513</f>
        <v>4.9999999999999822E-2</v>
      </c>
      <c r="X20" s="8">
        <f>AVERAGE(U20:W20)</f>
        <v>4.9999999999999822E-2</v>
      </c>
      <c r="Y20" s="8"/>
      <c r="Z20" s="13" t="s">
        <v>4</v>
      </c>
      <c r="AA20" s="8">
        <f>4.513-4.471</f>
        <v>4.1999999999999815E-2</v>
      </c>
      <c r="AB20" s="8">
        <f>4.196-4.156</f>
        <v>4.0000000000000036E-2</v>
      </c>
      <c r="AC20" s="8">
        <f>4.474-4.433</f>
        <v>4.1000000000000369E-2</v>
      </c>
      <c r="AD20" s="8">
        <f>AVERAGE(AA20:AC20)</f>
        <v>4.1000000000000071E-2</v>
      </c>
      <c r="AE20" s="8"/>
      <c r="AF20" s="8"/>
      <c r="AG20" s="13" t="s">
        <v>4</v>
      </c>
      <c r="AH20" s="8">
        <v>2.9000000000000001E-2</v>
      </c>
      <c r="AI20" s="8">
        <v>2.7E-2</v>
      </c>
      <c r="AJ20" s="8">
        <v>2.7E-2</v>
      </c>
      <c r="AK20" s="9">
        <f>AVERAGE(AH20:AJ20)</f>
        <v>2.7666666666666669E-2</v>
      </c>
      <c r="AN20" s="13" t="s">
        <v>4</v>
      </c>
      <c r="AO20" s="8">
        <f>3.954-3.898</f>
        <v>5.600000000000005E-2</v>
      </c>
      <c r="AP20" s="8">
        <f>4.353-4.3</f>
        <v>5.2999999999999936E-2</v>
      </c>
      <c r="AQ20" s="8">
        <f>4.058-4.005</f>
        <v>5.2999999999999936E-2</v>
      </c>
      <c r="AR20" s="8">
        <f>AVERAGE(AO20:AQ20)</f>
        <v>5.3999999999999972E-2</v>
      </c>
    </row>
    <row r="21" spans="3:44">
      <c r="C21" s="8"/>
      <c r="E21" s="21" t="s">
        <v>5</v>
      </c>
      <c r="F21" s="8">
        <f>4.876-4.777</f>
        <v>9.9000000000000199E-2</v>
      </c>
      <c r="G21" s="8">
        <f>4.773-4.671</f>
        <v>0.10199999999999942</v>
      </c>
      <c r="H21" s="8">
        <f>4.674-4.573</f>
        <v>0.10099999999999998</v>
      </c>
      <c r="I21" s="8">
        <f>AVERAGE(F21:H21)</f>
        <v>0.10066666666666653</v>
      </c>
      <c r="J21" s="8"/>
      <c r="K21" s="8"/>
      <c r="L21" s="13" t="s">
        <v>5</v>
      </c>
      <c r="M21" s="8">
        <v>7.0000000000000007E-2</v>
      </c>
      <c r="N21" s="8">
        <v>7.9000000000000001E-2</v>
      </c>
      <c r="O21" s="8">
        <v>7.0000000000000007E-2</v>
      </c>
      <c r="P21" s="8">
        <f t="shared" si="0"/>
        <v>7.3000000000000009E-2</v>
      </c>
      <c r="Q21" s="8"/>
      <c r="R21" s="8"/>
      <c r="S21" s="8"/>
      <c r="T21" s="13" t="s">
        <v>5</v>
      </c>
      <c r="U21" s="8">
        <f>4.478-4.421</f>
        <v>5.6999999999999496E-2</v>
      </c>
      <c r="V21" s="8">
        <f>4.312-4.26</f>
        <v>5.200000000000049E-2</v>
      </c>
      <c r="W21" s="8">
        <f>4.478-4.421</f>
        <v>5.6999999999999496E-2</v>
      </c>
      <c r="X21" s="8">
        <f>AVERAGE(U21:W21)</f>
        <v>5.5333333333333158E-2</v>
      </c>
      <c r="Y21" s="8"/>
      <c r="Z21" s="13" t="s">
        <v>5</v>
      </c>
      <c r="AA21" s="8">
        <f>4.247-4.206</f>
        <v>4.0999999999999481E-2</v>
      </c>
      <c r="AB21" s="8">
        <f>4.429-4.387</f>
        <v>4.2000000000000703E-2</v>
      </c>
      <c r="AC21" s="8">
        <f>4.168-4.121</f>
        <v>4.6999999999999709E-2</v>
      </c>
      <c r="AD21" s="8">
        <f>AVERAGE(AA21:AC21)</f>
        <v>4.33333333333333E-2</v>
      </c>
      <c r="AE21" s="8"/>
      <c r="AF21" s="8"/>
      <c r="AG21" s="13" t="s">
        <v>5</v>
      </c>
      <c r="AH21" s="8">
        <f>4.138-4.105</f>
        <v>3.2999999999999474E-2</v>
      </c>
      <c r="AI21" s="8">
        <f>4.11-4.078</f>
        <v>3.2000000000000028E-2</v>
      </c>
      <c r="AJ21" s="8">
        <f>3.828-3.797</f>
        <v>3.0999999999999694E-2</v>
      </c>
      <c r="AK21" s="9">
        <f>AVERAGE(AH21:AJ21)</f>
        <v>3.199999999999973E-2</v>
      </c>
      <c r="AN21" s="13" t="s">
        <v>5</v>
      </c>
      <c r="AO21" s="8">
        <f>4.126-4.071</f>
        <v>5.5000000000000604E-2</v>
      </c>
      <c r="AP21" s="8">
        <f>4.352-4.296</f>
        <v>5.600000000000005E-2</v>
      </c>
      <c r="AQ21" s="8">
        <f>4.242-4.187</f>
        <v>5.4999999999999716E-2</v>
      </c>
      <c r="AR21" s="8">
        <f>AVERAGE(AO21:AQ21)</f>
        <v>5.5333333333333456E-2</v>
      </c>
    </row>
    <row r="22" spans="3:44">
      <c r="C22" s="8"/>
      <c r="E22" s="21" t="s">
        <v>6</v>
      </c>
      <c r="F22" s="8">
        <f>4.538-4.429</f>
        <v>0.10899999999999999</v>
      </c>
      <c r="G22" s="8">
        <f>4.424-4.318</f>
        <v>0.10600000000000076</v>
      </c>
      <c r="H22" s="8">
        <f>4.315-4.204</f>
        <v>0.11100000000000065</v>
      </c>
      <c r="I22" s="31">
        <f>AVERAGE(F22:H22)</f>
        <v>0.10866666666666713</v>
      </c>
      <c r="J22" s="8"/>
      <c r="K22" s="8"/>
      <c r="L22" s="13" t="s">
        <v>6</v>
      </c>
      <c r="M22" s="8">
        <v>8.7999999999999995E-2</v>
      </c>
      <c r="N22" s="8">
        <v>9.1999999999999998E-2</v>
      </c>
      <c r="O22" s="8">
        <v>8.8999999999999996E-2</v>
      </c>
      <c r="P22" s="8">
        <f t="shared" si="0"/>
        <v>8.9666666666666672E-2</v>
      </c>
      <c r="Q22" s="8"/>
      <c r="R22" s="8"/>
      <c r="S22" s="8"/>
      <c r="T22" s="13" t="s">
        <v>6</v>
      </c>
      <c r="U22" s="8">
        <f>4.429-4.366</f>
        <v>6.3000000000000611E-2</v>
      </c>
      <c r="V22" s="8">
        <f>4.298-4.242</f>
        <v>5.600000000000005E-2</v>
      </c>
      <c r="W22" s="8">
        <f>4.238-4.174</f>
        <v>6.4000000000000057E-2</v>
      </c>
      <c r="X22" s="31">
        <f>AVERAGE(U22:W22)</f>
        <v>6.1000000000000242E-2</v>
      </c>
      <c r="Y22" s="8"/>
      <c r="Z22" s="13" t="s">
        <v>6</v>
      </c>
      <c r="AA22" s="8">
        <f>4.192-4.143</f>
        <v>4.9000000000000377E-2</v>
      </c>
      <c r="AB22" s="8">
        <f>4.464-4.419</f>
        <v>4.5000000000000817E-2</v>
      </c>
      <c r="AC22" s="8">
        <f>4.563-4.517</f>
        <v>4.5999999999999375E-2</v>
      </c>
      <c r="AD22" s="31">
        <f>AVERAGE(AA22:AC22)</f>
        <v>4.6666666666666856E-2</v>
      </c>
      <c r="AE22" s="8"/>
      <c r="AF22" s="8"/>
      <c r="AG22" s="13" t="s">
        <v>6</v>
      </c>
      <c r="AH22" s="8">
        <f>4.143-4.108</f>
        <v>3.5000000000000142E-2</v>
      </c>
      <c r="AI22" s="8">
        <f>4.325-4.293</f>
        <v>3.2000000000000028E-2</v>
      </c>
      <c r="AJ22" s="8">
        <f>4.301-4.27</f>
        <v>3.1000000000000583E-2</v>
      </c>
      <c r="AK22" s="9">
        <f>AVERAGE(AH22:AJ22)</f>
        <v>3.266666666666692E-2</v>
      </c>
      <c r="AN22" s="13" t="s">
        <v>6</v>
      </c>
      <c r="AO22" s="8">
        <f>4.314-4.235</f>
        <v>7.8999999999999737E-2</v>
      </c>
      <c r="AP22" s="8">
        <f>3.876-3.794</f>
        <v>8.1999999999999851E-2</v>
      </c>
      <c r="AQ22" s="8">
        <f>4.138-4.055</f>
        <v>8.3000000000000185E-2</v>
      </c>
      <c r="AR22" s="31">
        <f>AVERAGE(AO22:AQ22)</f>
        <v>8.1333333333333258E-2</v>
      </c>
    </row>
    <row r="23" spans="3:44" ht="15" thickBot="1">
      <c r="C23" s="8"/>
      <c r="E23" s="29"/>
      <c r="F23" s="16"/>
      <c r="G23" s="16"/>
      <c r="H23" s="16"/>
      <c r="I23" s="16" t="s">
        <v>26</v>
      </c>
      <c r="J23" s="16"/>
      <c r="K23" s="16"/>
      <c r="L23" s="16"/>
      <c r="M23" s="16"/>
      <c r="N23" s="16"/>
      <c r="O23" s="16"/>
      <c r="P23" s="16" t="s">
        <v>26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</row>
    <row r="24" spans="3:44">
      <c r="C24" s="8"/>
    </row>
    <row r="27" spans="3:44" ht="15" thickBot="1"/>
    <row r="28" spans="3:44">
      <c r="E28" s="4" t="s">
        <v>19</v>
      </c>
      <c r="F28" s="5"/>
      <c r="G28" s="5"/>
      <c r="H28" s="6"/>
      <c r="J28" t="s">
        <v>27</v>
      </c>
    </row>
    <row r="29" spans="3:44" ht="15" thickBot="1">
      <c r="E29" s="7"/>
      <c r="F29" s="8"/>
      <c r="G29" s="8"/>
      <c r="H29" s="9"/>
    </row>
    <row r="30" spans="3:44">
      <c r="E30" s="10" t="s">
        <v>16</v>
      </c>
      <c r="F30" s="8"/>
      <c r="G30" s="11" t="s">
        <v>17</v>
      </c>
      <c r="H30" s="12" t="s">
        <v>18</v>
      </c>
      <c r="J30" s="18" t="s">
        <v>21</v>
      </c>
      <c r="K30" s="19"/>
      <c r="L30" s="5"/>
      <c r="M30" s="19" t="s">
        <v>63</v>
      </c>
      <c r="N30" s="19"/>
      <c r="O30" s="5"/>
      <c r="P30" s="19" t="s">
        <v>64</v>
      </c>
      <c r="Q30" s="19"/>
      <c r="R30" s="5"/>
      <c r="S30" s="19" t="s">
        <v>65</v>
      </c>
      <c r="T30" s="19"/>
      <c r="U30" s="5"/>
      <c r="V30" s="19" t="s">
        <v>66</v>
      </c>
      <c r="W30" s="19"/>
      <c r="X30" s="5"/>
      <c r="Y30" s="19" t="s">
        <v>67</v>
      </c>
      <c r="Z30" s="20"/>
    </row>
    <row r="31" spans="3:44">
      <c r="E31" s="56">
        <f>D3</f>
        <v>3.4857882391202855E-2</v>
      </c>
      <c r="F31" s="13" t="s">
        <v>2</v>
      </c>
      <c r="G31" s="8"/>
      <c r="H31" s="62">
        <f>0.077</f>
        <v>7.6999999999999999E-2</v>
      </c>
      <c r="J31" s="21" t="s">
        <v>2</v>
      </c>
      <c r="K31" s="8">
        <f>(H31-I18)/(H31-E31)</f>
        <v>1.5819486644104201E-2</v>
      </c>
      <c r="L31" s="8"/>
      <c r="M31" s="13" t="s">
        <v>2</v>
      </c>
      <c r="N31" s="8">
        <f>(H31-P18)/(H31-E31)</f>
        <v>0.2372922996615742</v>
      </c>
      <c r="O31" s="8"/>
      <c r="P31" s="13" t="s">
        <v>2</v>
      </c>
      <c r="Q31" s="8">
        <f>(H31-AR18)/(H31-E31)</f>
        <v>0.60905023579804496</v>
      </c>
      <c r="R31" s="8"/>
      <c r="S31" s="13" t="s">
        <v>2</v>
      </c>
      <c r="T31" s="8">
        <f>(H31-X18)/(H31-E31)</f>
        <v>0.5932307491539357</v>
      </c>
      <c r="U31" s="8"/>
      <c r="V31" s="13" t="s">
        <v>2</v>
      </c>
      <c r="W31" s="8">
        <f>(H31-AD18)/(H31-E31)</f>
        <v>0.94916919864629912</v>
      </c>
      <c r="X31" s="8"/>
      <c r="Y31" s="13" t="s">
        <v>2</v>
      </c>
      <c r="Z31" s="9">
        <f>(H31-AK18)/(H31-E31)</f>
        <v>1.3051076481386623</v>
      </c>
    </row>
    <row r="32" spans="3:44">
      <c r="E32" s="56">
        <f t="shared" ref="E32:E35" si="1">D4</f>
        <v>3.0913625581164183E-2</v>
      </c>
      <c r="F32" s="13" t="s">
        <v>3</v>
      </c>
      <c r="G32" s="8"/>
      <c r="H32" s="62">
        <v>8.5000000000000006E-2</v>
      </c>
      <c r="J32" s="21" t="s">
        <v>3</v>
      </c>
      <c r="K32" s="8">
        <f t="shared" ref="K32:K34" si="2">(H32-I19)/(H32-E32)</f>
        <v>1.2325963310174414E-2</v>
      </c>
      <c r="L32" s="8"/>
      <c r="M32" s="13" t="s">
        <v>3</v>
      </c>
      <c r="N32" s="8">
        <f t="shared" ref="N32:N35" si="3">(H32-P19)/(H32-E32)</f>
        <v>0.22803032123813788</v>
      </c>
      <c r="O32" s="8"/>
      <c r="P32" s="13" t="s">
        <v>3</v>
      </c>
      <c r="Q32" s="8">
        <f t="shared" ref="Q32:Q35" si="4">(H32-AR19)/(H32-E32)</f>
        <v>0.61013518385339782</v>
      </c>
      <c r="R32" s="8"/>
      <c r="S32" s="13" t="s">
        <v>3</v>
      </c>
      <c r="T32" s="8">
        <f t="shared" ref="T32:T35" si="5">(H32-X19)/(H32-E32)</f>
        <v>0.745720780265265</v>
      </c>
      <c r="U32" s="8"/>
      <c r="V32" s="13" t="s">
        <v>3</v>
      </c>
      <c r="W32" s="8">
        <f t="shared" ref="W32:W35" si="6">(H32-AD19)/(H32-E32)</f>
        <v>0.87514339502204552</v>
      </c>
      <c r="X32" s="8"/>
      <c r="Y32" s="13" t="s">
        <v>3</v>
      </c>
      <c r="Z32" s="9">
        <f t="shared" ref="Z32:Z35" si="7">(H32-AK19)/(H32-E32)</f>
        <v>1.0970107346050959</v>
      </c>
    </row>
    <row r="33" spans="5:40">
      <c r="E33" s="56">
        <f t="shared" si="1"/>
        <v>2.6938008795511732E-2</v>
      </c>
      <c r="F33" s="13" t="s">
        <v>4</v>
      </c>
      <c r="G33" s="8"/>
      <c r="H33" s="62">
        <v>9.0999999999999998E-2</v>
      </c>
      <c r="J33" s="21" t="s">
        <v>4</v>
      </c>
      <c r="K33" s="8">
        <f t="shared" si="2"/>
        <v>5.2032933579795005E-3</v>
      </c>
      <c r="L33" s="8"/>
      <c r="M33" s="13" t="s">
        <v>4</v>
      </c>
      <c r="N33" s="8">
        <f t="shared" si="3"/>
        <v>0.32260418819480463</v>
      </c>
      <c r="O33" s="8"/>
      <c r="P33" s="13" t="s">
        <v>4</v>
      </c>
      <c r="Q33" s="8">
        <f t="shared" si="4"/>
        <v>0.57756556273586068</v>
      </c>
      <c r="R33" s="8"/>
      <c r="S33" s="13" t="s">
        <v>4</v>
      </c>
      <c r="T33" s="8">
        <f t="shared" si="5"/>
        <v>0.64000508303163173</v>
      </c>
      <c r="U33" s="8"/>
      <c r="V33" s="13" t="s">
        <v>4</v>
      </c>
      <c r="W33" s="8">
        <f t="shared" si="6"/>
        <v>0.78049400369710731</v>
      </c>
      <c r="X33" s="8"/>
      <c r="Y33" s="13" t="s">
        <v>4</v>
      </c>
      <c r="Z33" s="9">
        <f t="shared" si="7"/>
        <v>0.98862573801633724</v>
      </c>
    </row>
    <row r="34" spans="5:40">
      <c r="E34" s="56">
        <f t="shared" si="1"/>
        <v>2.5456052658151592E-2</v>
      </c>
      <c r="F34" s="13" t="s">
        <v>5</v>
      </c>
      <c r="G34" s="8"/>
      <c r="H34" s="62">
        <v>0.104</v>
      </c>
      <c r="J34" s="21" t="s">
        <v>5</v>
      </c>
      <c r="K34" s="8">
        <f t="shared" si="2"/>
        <v>4.2439085965793551E-2</v>
      </c>
      <c r="L34" s="8"/>
      <c r="M34" s="13" t="s">
        <v>5</v>
      </c>
      <c r="N34" s="8">
        <f t="shared" si="3"/>
        <v>0.3946834994818641</v>
      </c>
      <c r="O34" s="8"/>
      <c r="P34" s="13" t="s">
        <v>5</v>
      </c>
      <c r="Q34" s="8">
        <f t="shared" si="4"/>
        <v>0.61961065510055957</v>
      </c>
      <c r="R34" s="8"/>
      <c r="S34" s="13" t="s">
        <v>5</v>
      </c>
      <c r="T34" s="8">
        <f t="shared" si="5"/>
        <v>0.61961065510056335</v>
      </c>
      <c r="U34" s="8"/>
      <c r="V34" s="13" t="s">
        <v>5</v>
      </c>
      <c r="W34" s="8">
        <f t="shared" si="6"/>
        <v>0.7723913645774122</v>
      </c>
      <c r="X34" s="8"/>
      <c r="Y34" s="13" t="s">
        <v>5</v>
      </c>
      <c r="Z34" s="9">
        <f t="shared" si="7"/>
        <v>0.91668425686110744</v>
      </c>
    </row>
    <row r="35" spans="5:40" ht="15" thickBot="1">
      <c r="E35" s="57">
        <f t="shared" si="1"/>
        <v>2.2985944627741877E-2</v>
      </c>
      <c r="F35" s="15" t="s">
        <v>6</v>
      </c>
      <c r="G35" s="16"/>
      <c r="H35" s="63">
        <v>0.11</v>
      </c>
      <c r="J35" s="22" t="s">
        <v>6</v>
      </c>
      <c r="K35" s="16">
        <f>(H35-I22)/(H35-E35)</f>
        <v>1.5323194943951107E-2</v>
      </c>
      <c r="L35" s="16"/>
      <c r="M35" s="15" t="s">
        <v>6</v>
      </c>
      <c r="N35" s="16">
        <f t="shared" si="3"/>
        <v>0.23367872289533601</v>
      </c>
      <c r="O35" s="16"/>
      <c r="P35" s="15" t="s">
        <v>6</v>
      </c>
      <c r="Q35" s="8">
        <f t="shared" si="4"/>
        <v>0.32944869129506482</v>
      </c>
      <c r="R35" s="16"/>
      <c r="S35" s="15" t="s">
        <v>6</v>
      </c>
      <c r="T35" s="8">
        <f t="shared" si="5"/>
        <v>0.56312741419039725</v>
      </c>
      <c r="U35" s="16"/>
      <c r="V35" s="15" t="s">
        <v>6</v>
      </c>
      <c r="W35" s="8">
        <f t="shared" si="6"/>
        <v>0.72785175983792982</v>
      </c>
      <c r="X35" s="16"/>
      <c r="Y35" s="15" t="s">
        <v>6</v>
      </c>
      <c r="Z35" s="9">
        <f t="shared" si="7"/>
        <v>0.88874530674947205</v>
      </c>
    </row>
    <row r="38" spans="5:40">
      <c r="E38" t="s">
        <v>81</v>
      </c>
      <c r="H38" t="s">
        <v>80</v>
      </c>
    </row>
    <row r="42" spans="5:40"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6" spans="5:40" ht="15" thickBot="1"/>
    <row r="47" spans="5:40" ht="15.6" thickTop="1" thickBot="1">
      <c r="I47" s="3" t="s">
        <v>31</v>
      </c>
      <c r="J47" s="3"/>
      <c r="K47" s="3"/>
    </row>
    <row r="48" spans="5:40" ht="15" thickTop="1"/>
    <row r="50" spans="7:28"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</row>
    <row r="51" spans="7:28"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</row>
    <row r="52" spans="7:28" ht="15" thickBot="1">
      <c r="G52" s="59"/>
      <c r="AB52" s="59"/>
    </row>
    <row r="53" spans="7:28" ht="21">
      <c r="G53" s="59"/>
      <c r="I53" s="36" t="s">
        <v>32</v>
      </c>
      <c r="J53" s="38"/>
      <c r="K53" s="37"/>
      <c r="L53" s="36" t="s">
        <v>68</v>
      </c>
      <c r="M53" s="38"/>
      <c r="N53" s="37"/>
      <c r="O53" s="36" t="s">
        <v>69</v>
      </c>
      <c r="P53" s="38"/>
      <c r="Q53" s="37"/>
      <c r="R53" s="36" t="s">
        <v>70</v>
      </c>
      <c r="S53" s="38"/>
      <c r="T53" s="37"/>
      <c r="U53" s="36" t="s">
        <v>71</v>
      </c>
      <c r="V53" s="38"/>
      <c r="W53" s="37"/>
      <c r="X53" s="36" t="s">
        <v>72</v>
      </c>
      <c r="Y53" s="38"/>
      <c r="Z53" s="39"/>
      <c r="AB53" s="59"/>
    </row>
    <row r="54" spans="7:28" ht="18">
      <c r="G54" s="59"/>
      <c r="I54" s="32" t="s">
        <v>2</v>
      </c>
      <c r="J54" s="34">
        <f>K31*100</f>
        <v>1.5819486644104201</v>
      </c>
      <c r="K54" s="33"/>
      <c r="L54" s="32" t="s">
        <v>2</v>
      </c>
      <c r="M54" s="34">
        <f>(N31-0.28)*100</f>
        <v>-4.2707700338425827</v>
      </c>
      <c r="N54" s="33"/>
      <c r="O54" s="32" t="s">
        <v>2</v>
      </c>
      <c r="P54" s="34">
        <f>(Q31-0.385)*100</f>
        <v>22.405023579804496</v>
      </c>
      <c r="Q54" s="33"/>
      <c r="R54" s="32" t="s">
        <v>2</v>
      </c>
      <c r="S54" s="34">
        <f>(T31-0.455)*100</f>
        <v>13.823074915393569</v>
      </c>
      <c r="T54" s="33"/>
      <c r="U54" s="32" t="s">
        <v>2</v>
      </c>
      <c r="V54" s="34">
        <f>(W31-0.685)*100</f>
        <v>26.416919864629907</v>
      </c>
      <c r="W54" s="33"/>
      <c r="X54" s="32" t="s">
        <v>2</v>
      </c>
      <c r="Y54" s="34">
        <f>(Z31-0.775)*100</f>
        <v>53.010764813866231</v>
      </c>
      <c r="AB54" s="59"/>
    </row>
    <row r="55" spans="7:28" ht="18">
      <c r="G55" s="59"/>
      <c r="I55" s="32" t="s">
        <v>3</v>
      </c>
      <c r="J55" s="34">
        <f t="shared" ref="J55:J58" si="8">K32*100</f>
        <v>1.2325963310174415</v>
      </c>
      <c r="K55" s="33"/>
      <c r="L55" s="32" t="s">
        <v>3</v>
      </c>
      <c r="M55" s="34">
        <f>(N32-0.28)*100</f>
        <v>-5.196967876186215</v>
      </c>
      <c r="N55" s="33"/>
      <c r="O55" s="32" t="s">
        <v>3</v>
      </c>
      <c r="P55" s="34">
        <f t="shared" ref="P55:P58" si="9">(Q32-0.385)*100</f>
        <v>22.513518385339783</v>
      </c>
      <c r="Q55" s="33"/>
      <c r="R55" s="32" t="s">
        <v>3</v>
      </c>
      <c r="S55" s="34">
        <f t="shared" ref="S55:S58" si="10">(T32-0.455)*100</f>
        <v>29.072078026526498</v>
      </c>
      <c r="T55" s="33"/>
      <c r="U55" s="32" t="s">
        <v>3</v>
      </c>
      <c r="V55" s="34">
        <f t="shared" ref="V55:V58" si="11">(W32-0.685)*100</f>
        <v>19.014339502204546</v>
      </c>
      <c r="W55" s="33"/>
      <c r="X55" s="32" t="s">
        <v>3</v>
      </c>
      <c r="Y55" s="34">
        <f t="shared" ref="Y55:Y58" si="12">(Z32-0.775)*100</f>
        <v>32.201073460509591</v>
      </c>
      <c r="AB55" s="59"/>
    </row>
    <row r="56" spans="7:28" ht="18">
      <c r="G56" s="59"/>
      <c r="I56" s="47" t="s">
        <v>4</v>
      </c>
      <c r="J56" s="48">
        <f t="shared" si="8"/>
        <v>0.52032933579795004</v>
      </c>
      <c r="K56" s="33"/>
      <c r="L56" s="47" t="s">
        <v>4</v>
      </c>
      <c r="M56" s="48">
        <f>(N33-0.28)*100</f>
        <v>4.26041881948046</v>
      </c>
      <c r="N56" s="33"/>
      <c r="O56" s="32" t="s">
        <v>4</v>
      </c>
      <c r="P56" s="34">
        <f t="shared" si="9"/>
        <v>19.256556273586067</v>
      </c>
      <c r="Q56" s="33"/>
      <c r="R56" s="32" t="s">
        <v>4</v>
      </c>
      <c r="S56" s="34">
        <f t="shared" si="10"/>
        <v>18.500508303163173</v>
      </c>
      <c r="T56" s="33"/>
      <c r="U56" s="32" t="s">
        <v>4</v>
      </c>
      <c r="V56" s="34">
        <f t="shared" si="11"/>
        <v>9.5494003697107246</v>
      </c>
      <c r="W56" s="33"/>
      <c r="X56" s="32" t="s">
        <v>4</v>
      </c>
      <c r="Y56" s="34">
        <f t="shared" si="12"/>
        <v>21.362573801633722</v>
      </c>
      <c r="AB56" s="59"/>
    </row>
    <row r="57" spans="7:28" ht="18">
      <c r="G57" s="59"/>
      <c r="I57" s="32" t="s">
        <v>5</v>
      </c>
      <c r="J57" s="34">
        <f t="shared" si="8"/>
        <v>4.243908596579355</v>
      </c>
      <c r="K57" s="33"/>
      <c r="L57" s="32" t="s">
        <v>5</v>
      </c>
      <c r="M57" s="34">
        <f t="shared" ref="M57:M58" si="13">(N34-0.28)*100</f>
        <v>11.468349948186408</v>
      </c>
      <c r="N57" s="33"/>
      <c r="O57" s="32" t="s">
        <v>5</v>
      </c>
      <c r="P57" s="34">
        <f t="shared" si="9"/>
        <v>23.461065510055956</v>
      </c>
      <c r="Q57" s="33"/>
      <c r="R57" s="32" t="s">
        <v>5</v>
      </c>
      <c r="S57" s="34">
        <f t="shared" si="10"/>
        <v>16.461065510056333</v>
      </c>
      <c r="T57" s="33"/>
      <c r="U57" s="32" t="s">
        <v>5</v>
      </c>
      <c r="V57" s="34">
        <f t="shared" si="11"/>
        <v>8.7391364577412141</v>
      </c>
      <c r="W57" s="33"/>
      <c r="X57" s="32" t="s">
        <v>5</v>
      </c>
      <c r="Y57" s="34">
        <f t="shared" si="12"/>
        <v>14.168425686110741</v>
      </c>
      <c r="AB57" s="59"/>
    </row>
    <row r="58" spans="7:28" ht="18.600000000000001" thickBot="1">
      <c r="G58" s="59"/>
      <c r="I58" s="35" t="s">
        <v>6</v>
      </c>
      <c r="J58" s="34">
        <f t="shared" si="8"/>
        <v>1.5323194943951106</v>
      </c>
      <c r="K58" s="40"/>
      <c r="L58" s="35" t="s">
        <v>6</v>
      </c>
      <c r="M58" s="34">
        <f t="shared" si="13"/>
        <v>-4.6321277104664018</v>
      </c>
      <c r="N58" s="40"/>
      <c r="O58" s="49" t="s">
        <v>6</v>
      </c>
      <c r="P58" s="48">
        <f t="shared" si="9"/>
        <v>-5.5551308704935192</v>
      </c>
      <c r="Q58" s="40"/>
      <c r="R58" s="49" t="s">
        <v>6</v>
      </c>
      <c r="S58" s="48">
        <f t="shared" si="10"/>
        <v>10.812741419039723</v>
      </c>
      <c r="T58" s="40"/>
      <c r="U58" s="49" t="s">
        <v>6</v>
      </c>
      <c r="V58" s="48">
        <f t="shared" si="11"/>
        <v>4.2851759837929766</v>
      </c>
      <c r="W58" s="58"/>
      <c r="X58" s="49" t="s">
        <v>6</v>
      </c>
      <c r="Y58" s="48">
        <f t="shared" si="12"/>
        <v>11.374530674947202</v>
      </c>
      <c r="AB58" s="59"/>
    </row>
    <row r="59" spans="7:28">
      <c r="G59" s="59"/>
      <c r="AB59" s="59"/>
    </row>
    <row r="60" spans="7:28">
      <c r="G60" s="59"/>
      <c r="AB60" s="59"/>
    </row>
    <row r="61" spans="7:28"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</row>
    <row r="62" spans="7:28"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</row>
    <row r="63" spans="7:28"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</row>
    <row r="72" spans="12:18">
      <c r="M72" t="s">
        <v>82</v>
      </c>
      <c r="N72" t="s">
        <v>83</v>
      </c>
      <c r="O72" t="s">
        <v>84</v>
      </c>
      <c r="P72" t="s">
        <v>85</v>
      </c>
      <c r="Q72" t="s">
        <v>86</v>
      </c>
      <c r="R72" t="s">
        <v>87</v>
      </c>
    </row>
    <row r="73" spans="12:18" ht="18">
      <c r="L73" s="32" t="s">
        <v>2</v>
      </c>
      <c r="M73">
        <v>1.5819486644104201</v>
      </c>
      <c r="N73">
        <v>-4.2707700338425827</v>
      </c>
      <c r="O73">
        <v>22.405023579804496</v>
      </c>
      <c r="P73">
        <v>13.823074915393569</v>
      </c>
      <c r="Q73">
        <v>26.416919864629907</v>
      </c>
      <c r="R73">
        <v>53.010764813866231</v>
      </c>
    </row>
    <row r="74" spans="12:18" ht="18">
      <c r="L74" s="32" t="s">
        <v>3</v>
      </c>
      <c r="M74">
        <v>1.2325963310174415</v>
      </c>
      <c r="N74">
        <v>-5.196967876186215</v>
      </c>
      <c r="O74">
        <v>22.513518385339783</v>
      </c>
      <c r="P74">
        <v>29.072078026526498</v>
      </c>
      <c r="Q74">
        <v>19.014339502204546</v>
      </c>
      <c r="R74">
        <v>32.201073460509591</v>
      </c>
    </row>
    <row r="75" spans="12:18" ht="18">
      <c r="L75" s="47" t="s">
        <v>4</v>
      </c>
      <c r="M75">
        <v>0.52032933579795004</v>
      </c>
      <c r="N75">
        <v>4.26041881948046</v>
      </c>
      <c r="O75">
        <v>19.256556273586067</v>
      </c>
      <c r="P75">
        <v>18.500508303163173</v>
      </c>
      <c r="Q75">
        <v>9.5494003697107246</v>
      </c>
      <c r="R75">
        <v>21.362573801633722</v>
      </c>
    </row>
    <row r="76" spans="12:18" ht="18">
      <c r="L76" s="32" t="s">
        <v>5</v>
      </c>
      <c r="M76">
        <v>4.243908596579355</v>
      </c>
      <c r="N76">
        <v>11.468349948186408</v>
      </c>
      <c r="O76">
        <v>23.461065510055956</v>
      </c>
      <c r="P76">
        <v>16.461065510056333</v>
      </c>
      <c r="Q76">
        <v>8.7391364577412141</v>
      </c>
      <c r="R76">
        <v>14.168425686110741</v>
      </c>
    </row>
    <row r="77" spans="12:18" ht="18.600000000000001" thickBot="1">
      <c r="L77" s="35" t="s">
        <v>6</v>
      </c>
      <c r="M77">
        <v>1.5323194943951106</v>
      </c>
      <c r="N77">
        <v>-4.6321277104664018</v>
      </c>
      <c r="O77">
        <v>-5.5551308704935192</v>
      </c>
      <c r="P77">
        <v>10.812741419039723</v>
      </c>
      <c r="Q77">
        <v>4.2851759837929766</v>
      </c>
      <c r="R77">
        <v>11.374530674947202</v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2000000}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'Slip ratio estimation'!J54:J54</xm:f>
              <xm:sqref>J54</xm:sqref>
            </x14:sparkline>
            <x14:sparkline>
              <xm:f>'Slip ratio estimation'!J55:J55</xm:f>
              <xm:sqref>J55</xm:sqref>
            </x14:sparkline>
            <x14:sparkline>
              <xm:f>'Slip ratio estimation'!J56:J56</xm:f>
              <xm:sqref>J56</xm:sqref>
            </x14:sparkline>
            <x14:sparkline>
              <xm:f>'Slip ratio estimation'!J57:J57</xm:f>
              <xm:sqref>J57</xm:sqref>
            </x14:sparkline>
            <x14:sparkline>
              <xm:f>'Slip ratio estimation'!J58:J58</xm:f>
              <xm:sqref>J58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J20"/>
  <sheetViews>
    <sheetView workbookViewId="0">
      <selection activeCell="F25" sqref="F25"/>
    </sheetView>
  </sheetViews>
  <sheetFormatPr baseColWidth="10" defaultColWidth="8.88671875" defaultRowHeight="14.4"/>
  <sheetData>
    <row r="5" spans="4:10">
      <c r="D5" t="s">
        <v>93</v>
      </c>
    </row>
    <row r="6" spans="4:10">
      <c r="D6" t="s">
        <v>91</v>
      </c>
    </row>
    <row r="8" spans="4:10"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</row>
    <row r="9" spans="4:10" ht="18.600000000000001" thickBot="1">
      <c r="D9" s="35" t="s">
        <v>6</v>
      </c>
      <c r="E9">
        <v>1.5323194943951106</v>
      </c>
      <c r="F9">
        <v>-4.6321277104664018</v>
      </c>
      <c r="G9">
        <v>-5.5551308704935192</v>
      </c>
      <c r="H9">
        <v>10.812741419039723</v>
      </c>
      <c r="I9">
        <v>4.2851759837929766</v>
      </c>
      <c r="J9">
        <v>11.374530674947202</v>
      </c>
    </row>
    <row r="16" spans="4:10">
      <c r="D16" t="s">
        <v>93</v>
      </c>
    </row>
    <row r="17" spans="4:8">
      <c r="D17" t="s">
        <v>92</v>
      </c>
    </row>
    <row r="19" spans="4:8">
      <c r="E19" t="s">
        <v>82</v>
      </c>
      <c r="F19" t="s">
        <v>90</v>
      </c>
      <c r="G19" t="s">
        <v>88</v>
      </c>
      <c r="H19" t="s">
        <v>89</v>
      </c>
    </row>
    <row r="20" spans="4:8">
      <c r="D20" t="s">
        <v>6</v>
      </c>
      <c r="E20">
        <f>0.0874*100</f>
        <v>8.74</v>
      </c>
      <c r="F20">
        <f>(0.2316-0.1907)*100</f>
        <v>4.089999999999999</v>
      </c>
      <c r="G20">
        <f>(0.4003-0.4764)*100</f>
        <v>-7.61</v>
      </c>
      <c r="H20">
        <f>(0.7156-0.645)*100</f>
        <v>7.06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Resultados</vt:lpstr>
      <vt:lpstr>Slip ratio REAL</vt:lpstr>
      <vt:lpstr>Slip ratio estimation</vt:lpstr>
      <vt:lpstr>Comparativa simulacion-real</vt:lpstr>
    </vt:vector>
  </TitlesOfParts>
  <Company>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Dominguez</dc:creator>
  <cp:lastModifiedBy>Salvador</cp:lastModifiedBy>
  <dcterms:created xsi:type="dcterms:W3CDTF">2019-10-21T12:23:15Z</dcterms:created>
  <dcterms:modified xsi:type="dcterms:W3CDTF">2020-09-03T10:02:50Z</dcterms:modified>
</cp:coreProperties>
</file>