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4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84" i="1" l="1"/>
  <c r="C280" i="1"/>
  <c r="G274" i="1" l="1"/>
  <c r="G275" i="1"/>
  <c r="H275" i="1" s="1"/>
  <c r="G277" i="1"/>
  <c r="K291" i="1"/>
  <c r="M290" i="1"/>
  <c r="F291" i="1"/>
  <c r="F290" i="1"/>
  <c r="F289" i="1"/>
  <c r="C292" i="1"/>
  <c r="F288" i="1"/>
  <c r="F284" i="1"/>
  <c r="I284" i="1" s="1"/>
  <c r="K283" i="1" s="1"/>
  <c r="H281" i="1"/>
  <c r="C284" i="1"/>
  <c r="H280" i="1"/>
  <c r="H279" i="1"/>
  <c r="G278" i="1"/>
  <c r="H278" i="1" s="1"/>
  <c r="H276" i="1"/>
  <c r="G284" i="1" l="1"/>
  <c r="K275" i="1"/>
  <c r="E286" i="1"/>
  <c r="C266" i="1"/>
  <c r="C258" i="1"/>
  <c r="C259" i="1"/>
  <c r="G291" i="1" l="1"/>
  <c r="G289" i="1"/>
  <c r="G290" i="1"/>
  <c r="G288" i="1"/>
  <c r="G255" i="1"/>
  <c r="H255" i="1" s="1"/>
  <c r="F252" i="1"/>
  <c r="K269" i="1"/>
  <c r="C269" i="1"/>
  <c r="M268" i="1"/>
  <c r="F268" i="1"/>
  <c r="F267" i="1"/>
  <c r="F266" i="1"/>
  <c r="F265" i="1"/>
  <c r="C261" i="1"/>
  <c r="B261" i="1" s="1"/>
  <c r="H258" i="1"/>
  <c r="H257" i="1"/>
  <c r="H256" i="1"/>
  <c r="G254" i="1"/>
  <c r="H253" i="1"/>
  <c r="F261" i="1"/>
  <c r="I261" i="1" s="1"/>
  <c r="H291" i="1" l="1"/>
  <c r="K261" i="1"/>
  <c r="E263" i="1"/>
  <c r="K253" i="1"/>
  <c r="G252" i="1"/>
  <c r="G261" i="1" s="1"/>
  <c r="F231" i="1"/>
  <c r="F240" i="1" s="1"/>
  <c r="I240" i="1" s="1"/>
  <c r="C238" i="1"/>
  <c r="C240" i="1" s="1"/>
  <c r="B240" i="1" s="1"/>
  <c r="G233" i="1"/>
  <c r="K248" i="1"/>
  <c r="M247" i="1"/>
  <c r="F246" i="1"/>
  <c r="C248" i="1"/>
  <c r="H237" i="1"/>
  <c r="H236" i="1"/>
  <c r="F244" i="1"/>
  <c r="H235" i="1"/>
  <c r="H234" i="1"/>
  <c r="G234" i="1"/>
  <c r="H232" i="1"/>
  <c r="G268" i="1" l="1"/>
  <c r="G266" i="1"/>
  <c r="G265" i="1"/>
  <c r="G267" i="1"/>
  <c r="H252" i="1"/>
  <c r="K240" i="1"/>
  <c r="K232" i="1"/>
  <c r="G231" i="1"/>
  <c r="G240" i="1" s="1"/>
  <c r="F245" i="1"/>
  <c r="F247" i="1"/>
  <c r="C210" i="1"/>
  <c r="H268" i="1" l="1"/>
  <c r="H231" i="1"/>
  <c r="E242" i="1"/>
  <c r="K227" i="1"/>
  <c r="C217" i="1"/>
  <c r="G247" i="1" l="1"/>
  <c r="G246" i="1"/>
  <c r="G245" i="1"/>
  <c r="G244" i="1"/>
  <c r="H247" i="1"/>
  <c r="G215" i="1"/>
  <c r="C211" i="1"/>
  <c r="C216" i="1"/>
  <c r="M226" i="1"/>
  <c r="C215" i="1"/>
  <c r="F210" i="1" l="1"/>
  <c r="P217" i="1"/>
  <c r="C224" i="1"/>
  <c r="C227" i="1" s="1"/>
  <c r="M210" i="1"/>
  <c r="G210" i="1" l="1"/>
  <c r="G219" i="1" s="1"/>
  <c r="G195" i="1"/>
  <c r="F226" i="1"/>
  <c r="F225" i="1"/>
  <c r="F224" i="1"/>
  <c r="F223" i="1"/>
  <c r="H216" i="1"/>
  <c r="H215" i="1"/>
  <c r="H214" i="1"/>
  <c r="G213" i="1"/>
  <c r="H213" i="1" s="1"/>
  <c r="H211" i="1"/>
  <c r="C219" i="1"/>
  <c r="B219" i="1" s="1"/>
  <c r="E221" i="1" s="1"/>
  <c r="F206" i="1"/>
  <c r="F205" i="1"/>
  <c r="C205" i="1"/>
  <c r="F204" i="1"/>
  <c r="C204" i="1"/>
  <c r="F203" i="1"/>
  <c r="H196" i="1"/>
  <c r="H195" i="1"/>
  <c r="F194" i="1"/>
  <c r="H194" i="1" s="1"/>
  <c r="G193" i="1"/>
  <c r="H193" i="1" s="1"/>
  <c r="F192" i="1"/>
  <c r="H191" i="1"/>
  <c r="C191" i="1"/>
  <c r="C199" i="1" s="1"/>
  <c r="G190" i="1"/>
  <c r="G199" i="1" s="1"/>
  <c r="F219" i="1" l="1"/>
  <c r="I219" i="1" s="1"/>
  <c r="F199" i="1"/>
  <c r="I199" i="1" s="1"/>
  <c r="K199" i="1" s="1"/>
  <c r="K211" i="1"/>
  <c r="H210" i="1"/>
  <c r="B199" i="1"/>
  <c r="K191" i="1"/>
  <c r="H190" i="1"/>
  <c r="C172" i="1"/>
  <c r="C186" i="1"/>
  <c r="C185" i="1"/>
  <c r="K219" i="1" l="1"/>
  <c r="G226" i="1"/>
  <c r="G225" i="1"/>
  <c r="G224" i="1"/>
  <c r="G223" i="1"/>
  <c r="G206" i="1"/>
  <c r="G205" i="1"/>
  <c r="G204" i="1"/>
  <c r="G203" i="1"/>
  <c r="H206" i="1" s="1"/>
  <c r="E201" i="1"/>
  <c r="C163" i="1"/>
  <c r="G171" i="1"/>
  <c r="C180" i="1"/>
  <c r="B180" i="1" s="1"/>
  <c r="F187" i="1"/>
  <c r="F186" i="1"/>
  <c r="F185" i="1"/>
  <c r="F184" i="1"/>
  <c r="H177" i="1"/>
  <c r="H176" i="1"/>
  <c r="F175" i="1"/>
  <c r="H175" i="1" s="1"/>
  <c r="G174" i="1"/>
  <c r="H174" i="1" s="1"/>
  <c r="F173" i="1"/>
  <c r="H172" i="1"/>
  <c r="H171" i="1"/>
  <c r="H226" i="1" l="1"/>
  <c r="F180" i="1"/>
  <c r="I180" i="1" s="1"/>
  <c r="K180" i="1" s="1"/>
  <c r="K172" i="1"/>
  <c r="G180" i="1"/>
  <c r="F155" i="1"/>
  <c r="G187" i="1" l="1"/>
  <c r="G185" i="1"/>
  <c r="E182" i="1"/>
  <c r="G186" i="1"/>
  <c r="G184" i="1"/>
  <c r="C152" i="1"/>
  <c r="C160" i="1" s="1"/>
  <c r="B160" i="1" s="1"/>
  <c r="E162" i="1" s="1"/>
  <c r="F167" i="1"/>
  <c r="F166" i="1"/>
  <c r="F165" i="1"/>
  <c r="F164" i="1"/>
  <c r="H157" i="1"/>
  <c r="H156" i="1"/>
  <c r="H155" i="1"/>
  <c r="G154" i="1"/>
  <c r="H154" i="1" s="1"/>
  <c r="G153" i="1"/>
  <c r="H152" i="1"/>
  <c r="H151" i="1"/>
  <c r="G160" i="1" l="1"/>
  <c r="H187" i="1"/>
  <c r="F153" i="1"/>
  <c r="F160" i="1" s="1"/>
  <c r="I160" i="1" s="1"/>
  <c r="K160" i="1" s="1"/>
  <c r="K152" i="1"/>
  <c r="F147" i="1"/>
  <c r="F146" i="1"/>
  <c r="F145" i="1"/>
  <c r="F144" i="1"/>
  <c r="H135" i="1"/>
  <c r="H134" i="1"/>
  <c r="H133" i="1"/>
  <c r="G132" i="1"/>
  <c r="G131" i="1"/>
  <c r="F131" i="1" s="1"/>
  <c r="F139" i="1" s="1"/>
  <c r="I139" i="1" s="1"/>
  <c r="H130" i="1"/>
  <c r="C130" i="1"/>
  <c r="C139" i="1" s="1"/>
  <c r="H129" i="1"/>
  <c r="G139" i="1" l="1"/>
  <c r="G166" i="1"/>
  <c r="G164" i="1"/>
  <c r="G167" i="1"/>
  <c r="G165" i="1"/>
  <c r="K139" i="1"/>
  <c r="B139" i="1"/>
  <c r="K130" i="1"/>
  <c r="H132" i="1"/>
  <c r="G109" i="1"/>
  <c r="H167" i="1" l="1"/>
  <c r="G147" i="1"/>
  <c r="G145" i="1"/>
  <c r="E142" i="1"/>
  <c r="G146" i="1"/>
  <c r="G144" i="1"/>
  <c r="G110" i="1"/>
  <c r="C120" i="1"/>
  <c r="H147" i="1" l="1"/>
  <c r="F125" i="1"/>
  <c r="F124" i="1"/>
  <c r="F123" i="1"/>
  <c r="F122" i="1"/>
  <c r="F109" i="1"/>
  <c r="F117" i="1" s="1"/>
  <c r="H113" i="1"/>
  <c r="H112" i="1"/>
  <c r="H111" i="1"/>
  <c r="H110" i="1"/>
  <c r="H108" i="1"/>
  <c r="C108" i="1"/>
  <c r="C117" i="1" s="1"/>
  <c r="B117" i="1" s="1"/>
  <c r="H107" i="1"/>
  <c r="G117" i="1" l="1"/>
  <c r="I117" i="1"/>
  <c r="K117" i="1" s="1"/>
  <c r="K108" i="1"/>
  <c r="K98" i="1"/>
  <c r="K100" i="1"/>
  <c r="G86" i="1"/>
  <c r="C84" i="1"/>
  <c r="C97" i="1"/>
  <c r="G125" i="1" l="1"/>
  <c r="G123" i="1"/>
  <c r="G124" i="1"/>
  <c r="E120" i="1"/>
  <c r="G122" i="1"/>
  <c r="C85" i="1"/>
  <c r="H125" i="1" l="1"/>
  <c r="C94" i="1"/>
  <c r="B94" i="1" s="1"/>
  <c r="E97" i="1" s="1"/>
  <c r="H89" i="1" l="1"/>
  <c r="H85" i="1"/>
  <c r="F86" i="1" l="1"/>
  <c r="F94" i="1" s="1"/>
  <c r="I94" i="1" s="1"/>
  <c r="K94" i="1" s="1"/>
  <c r="C77" i="1"/>
  <c r="C74" i="1"/>
  <c r="G87" i="1"/>
  <c r="H90" i="1"/>
  <c r="H88" i="1"/>
  <c r="H84" i="1"/>
  <c r="F99" i="1" l="1"/>
  <c r="F101" i="1"/>
  <c r="F100" i="1"/>
  <c r="G94" i="1"/>
  <c r="H87" i="1"/>
  <c r="F102" i="1"/>
  <c r="K85" i="1"/>
  <c r="F71" i="1"/>
  <c r="I71" i="1" s="1"/>
  <c r="G68" i="1"/>
  <c r="G71" i="1" s="1"/>
  <c r="H66" i="1"/>
  <c r="H64" i="1"/>
  <c r="H62" i="1"/>
  <c r="C62" i="1"/>
  <c r="C71" i="1" s="1"/>
  <c r="B71" i="1" s="1"/>
  <c r="H60" i="1"/>
  <c r="G100" i="1" l="1"/>
  <c r="G102" i="1"/>
  <c r="G101" i="1"/>
  <c r="G99" i="1"/>
  <c r="E74" i="1"/>
  <c r="C31" i="1"/>
  <c r="H102" i="1" l="1"/>
  <c r="C36" i="1"/>
  <c r="F47" i="1"/>
  <c r="I47" i="1" s="1"/>
  <c r="G44" i="1"/>
  <c r="G47" i="1" s="1"/>
  <c r="H42" i="1"/>
  <c r="H40" i="1"/>
  <c r="H38" i="1"/>
  <c r="C38" i="1"/>
  <c r="H36" i="1"/>
  <c r="C28" i="1"/>
  <c r="C47" i="1" l="1"/>
  <c r="C6" i="1"/>
  <c r="B47" i="1" l="1"/>
  <c r="E50" i="1" s="1"/>
  <c r="G13" i="1"/>
  <c r="H11" i="1"/>
  <c r="H9" i="1" l="1"/>
  <c r="F22" i="1"/>
  <c r="I22" i="1" s="1"/>
  <c r="H7" i="1"/>
  <c r="C7" i="1"/>
  <c r="G22" i="1"/>
  <c r="H5" i="1"/>
  <c r="C22" i="1" l="1"/>
  <c r="B22" i="1" s="1"/>
  <c r="E25" i="1" s="1"/>
</calcChain>
</file>

<file path=xl/sharedStrings.xml><?xml version="1.0" encoding="utf-8"?>
<sst xmlns="http://schemas.openxmlformats.org/spreadsheetml/2006/main" count="583" uniqueCount="103">
  <si>
    <t>Balance Abril 2016</t>
  </si>
  <si>
    <t>Cuentas</t>
  </si>
  <si>
    <t>Liquidez</t>
  </si>
  <si>
    <t>Tarjeta de crédito BanCoppel</t>
  </si>
  <si>
    <t xml:space="preserve">Cuenta Efectiva BanCoppel </t>
  </si>
  <si>
    <t>Cuenta Santander</t>
  </si>
  <si>
    <t>Creditos</t>
  </si>
  <si>
    <t>Tarjeta de crédito Walmart</t>
  </si>
  <si>
    <t>Caja chica</t>
  </si>
  <si>
    <t>Nomina a 15 semanas</t>
  </si>
  <si>
    <t>Tarjeta de crédito Banco Azteca</t>
  </si>
  <si>
    <t>Cuenta de ahorro Banco Azteca</t>
  </si>
  <si>
    <r>
      <t xml:space="preserve">Tarjeta de crédito C </t>
    </r>
    <r>
      <rPr>
        <sz val="11"/>
        <color theme="1"/>
        <rFont val="Calibri"/>
        <family val="2"/>
      </rPr>
      <t>&amp; A</t>
    </r>
  </si>
  <si>
    <t>Crédito Telmex</t>
  </si>
  <si>
    <t>Saldo</t>
  </si>
  <si>
    <t>Gasto a crédito a 15 semanas</t>
  </si>
  <si>
    <t>Crédito Liquido</t>
  </si>
  <si>
    <t>Gastos de la semana</t>
  </si>
  <si>
    <t>Verificación</t>
  </si>
  <si>
    <t>alimento de Conejo</t>
  </si>
  <si>
    <t>Restan</t>
  </si>
  <si>
    <t>Pago tarjeta Banco Azteca</t>
  </si>
  <si>
    <t>Comida</t>
  </si>
  <si>
    <t>Pago a abundis</t>
  </si>
  <si>
    <t>Gasolina</t>
  </si>
  <si>
    <t>Semana del 24 al 30 de Abril</t>
  </si>
  <si>
    <t>Tabletas</t>
  </si>
  <si>
    <t>Nomina a 14 semanas</t>
  </si>
  <si>
    <t>Gasto a crédito a 14 semanas</t>
  </si>
  <si>
    <t>Semana del 2 al 8 de Mayo</t>
  </si>
  <si>
    <t>Nomina a 13 semanas</t>
  </si>
  <si>
    <t>Gasto a crédito a 13 semanas</t>
  </si>
  <si>
    <t>Pago tarjeta C&amp;A</t>
  </si>
  <si>
    <t>Lab.Olab</t>
  </si>
  <si>
    <t>Inversión en refacciones</t>
  </si>
  <si>
    <t>Balance Mayo 2016</t>
  </si>
  <si>
    <t>Semana del 9 al 15 de Mayo</t>
  </si>
  <si>
    <t>Alimento de Conejo y pollos</t>
  </si>
  <si>
    <t>Telefono</t>
  </si>
  <si>
    <t>Saldo Deudor</t>
  </si>
  <si>
    <t>Reserva en meses</t>
  </si>
  <si>
    <t>Prestamo Personal BanCoppel</t>
  </si>
  <si>
    <t>Prestamo Personal Banco Azteca</t>
  </si>
  <si>
    <t>Ahorro</t>
  </si>
  <si>
    <t>Reserva</t>
  </si>
  <si>
    <t>Inversión</t>
  </si>
  <si>
    <t>Deuda</t>
  </si>
  <si>
    <t>Dristribución Financiera</t>
  </si>
  <si>
    <t>Por Pago</t>
  </si>
  <si>
    <t>Por Nómina</t>
  </si>
  <si>
    <t xml:space="preserve">Cuenta de Reserva Efectiva BanCoppel </t>
  </si>
  <si>
    <t>Cuenta de Pagos Santander</t>
  </si>
  <si>
    <t>Nomina a 9 semanas</t>
  </si>
  <si>
    <t>Gasto a crédito a 9 semanas</t>
  </si>
  <si>
    <t>Pago Pendiente para no Generar Intereses</t>
  </si>
  <si>
    <t>Cuenta de Nómina Bansefi 305485583</t>
  </si>
  <si>
    <t>Cuenta de Inversión Bansefi  00304724735 Inadem</t>
  </si>
  <si>
    <t>Cuenta de Ahorro Bansefi 00305553521</t>
  </si>
  <si>
    <t>Cine</t>
  </si>
  <si>
    <t>Pago tarjeta Walmart</t>
  </si>
  <si>
    <t>Pago Aurrera</t>
  </si>
  <si>
    <t>Gastos de la semana en efectivo</t>
  </si>
  <si>
    <t>Semana del 23 al 29 de Mayo</t>
  </si>
  <si>
    <t>Nomina a 7 semanas</t>
  </si>
  <si>
    <t>Gasto a crédito a 7 semanas</t>
  </si>
  <si>
    <t>Gastos de la semana a crédito</t>
  </si>
  <si>
    <t>Balance Junio 2016</t>
  </si>
  <si>
    <t>Semana del 30 al 5 de Junio.</t>
  </si>
  <si>
    <t>Gasto a crédito a 5 semanas</t>
  </si>
  <si>
    <t>Semana del 6 al 12 de Junio.</t>
  </si>
  <si>
    <t>Nomina a 4 semanas</t>
  </si>
  <si>
    <t>Gasto a crédito a 4 semanas</t>
  </si>
  <si>
    <t>Plantas</t>
  </si>
  <si>
    <t>Escuela</t>
  </si>
  <si>
    <t>Envio</t>
  </si>
  <si>
    <t>Gas y Gasolina</t>
  </si>
  <si>
    <t>Semana del 13 al 19 de Junio.</t>
  </si>
  <si>
    <t>Nomina a 3 semanas</t>
  </si>
  <si>
    <t>Gasto a crédito a 3 semanas</t>
  </si>
  <si>
    <t>Pago tarjeta Coppel</t>
  </si>
  <si>
    <t>137180101873053280</t>
  </si>
  <si>
    <t>Pago Banco Azteca</t>
  </si>
  <si>
    <t>Semana del 20 al 26 de Junio.</t>
  </si>
  <si>
    <t>TV</t>
  </si>
  <si>
    <t>Nomina a 20 semanas</t>
  </si>
  <si>
    <t>Gasto a crédito a 20 semanas</t>
  </si>
  <si>
    <t>Inversiòn</t>
  </si>
  <si>
    <t>Inversion</t>
  </si>
  <si>
    <t>Quedan/Pagos</t>
  </si>
  <si>
    <t>Pago Coppel</t>
  </si>
  <si>
    <t>Total</t>
  </si>
  <si>
    <t>Alimento</t>
  </si>
  <si>
    <t>Semana del 27 al 3 de Julio.</t>
  </si>
  <si>
    <t>Seguro</t>
  </si>
  <si>
    <t>Nomina a 10 semanas</t>
  </si>
  <si>
    <t>Gasto a crédito a 10 semanas</t>
  </si>
  <si>
    <t>Semana del 4 al 10 de Julio.</t>
  </si>
  <si>
    <t>Telmex</t>
  </si>
  <si>
    <t>PJG</t>
  </si>
  <si>
    <t>refacciones</t>
  </si>
  <si>
    <t>Balance Julio 2017</t>
  </si>
  <si>
    <t>American Express</t>
  </si>
  <si>
    <t>Nomina a 8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</si>
</sst>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  <numFmt numFmtId="165" formatCode="#,##0.0_ ;\-#,##0.0\ 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8" borderId="0" applyNumberFormat="0" applyBorder="0" applyAlignment="0" applyProtection="0"/>
  </cellStyleXfs>
  <cellXfs count="69">
    <xf numFmtId="0" fontId="0" fillId="0" borderId="0" xfId="0"/>
    <xf numFmtId="44" fontId="0" fillId="0" borderId="0" xfId="0" applyNumberFormat="1" applyAlignment="1">
      <alignment horizontal="center"/>
    </xf>
    <xf numFmtId="44" fontId="1" fillId="2" borderId="1" xfId="0" applyNumberFormat="1" applyFon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/>
    <xf numFmtId="44" fontId="0" fillId="4" borderId="6" xfId="0" applyNumberFormat="1" applyFill="1" applyBorder="1" applyAlignment="1">
      <alignment horizontal="center"/>
    </xf>
    <xf numFmtId="44" fontId="0" fillId="4" borderId="6" xfId="0" applyNumberFormat="1" applyFill="1" applyBorder="1"/>
    <xf numFmtId="7" fontId="0" fillId="3" borderId="2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3" fillId="6" borderId="7" xfId="0" applyNumberFormat="1" applyFont="1" applyFill="1" applyBorder="1" applyAlignment="1">
      <alignment wrapText="1"/>
    </xf>
    <xf numFmtId="7" fontId="0" fillId="6" borderId="2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7" fontId="5" fillId="6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7" borderId="4" xfId="0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6" fillId="7" borderId="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8" borderId="12" xfId="1" applyBorder="1" applyAlignment="1">
      <alignment horizontal="right"/>
    </xf>
    <xf numFmtId="0" fontId="7" fillId="8" borderId="14" xfId="1" applyBorder="1" applyAlignment="1">
      <alignment horizontal="right"/>
    </xf>
    <xf numFmtId="0" fontId="7" fillId="4" borderId="12" xfId="1" applyFill="1" applyBorder="1" applyAlignment="1">
      <alignment horizontal="right"/>
    </xf>
    <xf numFmtId="7" fontId="5" fillId="6" borderId="7" xfId="0" applyNumberFormat="1" applyFont="1" applyFill="1" applyBorder="1" applyAlignment="1">
      <alignment horizontal="center"/>
    </xf>
    <xf numFmtId="0" fontId="7" fillId="4" borderId="16" xfId="1" applyFill="1" applyBorder="1" applyAlignment="1">
      <alignment horizontal="right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right"/>
    </xf>
    <xf numFmtId="44" fontId="7" fillId="4" borderId="17" xfId="1" applyNumberFormat="1" applyFill="1" applyBorder="1" applyAlignment="1">
      <alignment horizontal="center"/>
    </xf>
    <xf numFmtId="44" fontId="7" fillId="8" borderId="13" xfId="1" applyNumberFormat="1" applyBorder="1" applyAlignment="1">
      <alignment horizontal="center"/>
    </xf>
    <xf numFmtId="44" fontId="7" fillId="4" borderId="13" xfId="1" applyNumberFormat="1" applyFill="1" applyBorder="1" applyAlignment="1">
      <alignment horizontal="center"/>
    </xf>
    <xf numFmtId="44" fontId="7" fillId="8" borderId="15" xfId="1" applyNumberFormat="1" applyBorder="1" applyAlignment="1">
      <alignment horizontal="center"/>
    </xf>
    <xf numFmtId="44" fontId="8" fillId="3" borderId="2" xfId="0" applyNumberFormat="1" applyFont="1" applyFill="1" applyBorder="1" applyAlignment="1">
      <alignment horizontal="center"/>
    </xf>
    <xf numFmtId="0" fontId="0" fillId="7" borderId="0" xfId="0" applyFill="1"/>
    <xf numFmtId="0" fontId="0" fillId="3" borderId="0" xfId="0" applyFill="1"/>
    <xf numFmtId="44" fontId="0" fillId="3" borderId="6" xfId="0" applyNumberFormat="1" applyFill="1" applyBorder="1"/>
    <xf numFmtId="0" fontId="0" fillId="7" borderId="22" xfId="0" applyFill="1" applyBorder="1"/>
    <xf numFmtId="0" fontId="0" fillId="7" borderId="23" xfId="0" applyFill="1" applyBorder="1"/>
    <xf numFmtId="0" fontId="0" fillId="3" borderId="21" xfId="0" applyFill="1" applyBorder="1"/>
    <xf numFmtId="0" fontId="9" fillId="3" borderId="24" xfId="0" applyFont="1" applyFill="1" applyBorder="1" applyAlignment="1">
      <alignment horizontal="center"/>
    </xf>
    <xf numFmtId="0" fontId="0" fillId="3" borderId="24" xfId="0" applyFill="1" applyBorder="1"/>
    <xf numFmtId="0" fontId="3" fillId="4" borderId="6" xfId="0" applyFont="1" applyFill="1" applyBorder="1"/>
    <xf numFmtId="0" fontId="9" fillId="0" borderId="6" xfId="0" applyFont="1" applyBorder="1" applyAlignment="1">
      <alignment horizontal="right"/>
    </xf>
    <xf numFmtId="0" fontId="0" fillId="4" borderId="25" xfId="0" applyFill="1" applyBorder="1"/>
    <xf numFmtId="0" fontId="3" fillId="4" borderId="25" xfId="0" applyFont="1" applyFill="1" applyBorder="1"/>
    <xf numFmtId="0" fontId="0" fillId="3" borderId="23" xfId="0" applyFill="1" applyBorder="1" applyAlignment="1">
      <alignment horizontal="center" vertical="center"/>
    </xf>
    <xf numFmtId="7" fontId="0" fillId="3" borderId="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right"/>
    </xf>
    <xf numFmtId="0" fontId="0" fillId="3" borderId="26" xfId="0" applyFill="1" applyBorder="1"/>
    <xf numFmtId="0" fontId="0" fillId="3" borderId="26" xfId="0" applyFill="1" applyBorder="1" applyAlignment="1">
      <alignment horizontal="center"/>
    </xf>
    <xf numFmtId="0" fontId="6" fillId="7" borderId="27" xfId="0" applyFont="1" applyFill="1" applyBorder="1"/>
    <xf numFmtId="0" fontId="3" fillId="3" borderId="26" xfId="0" applyFont="1" applyFill="1" applyBorder="1"/>
    <xf numFmtId="0" fontId="0" fillId="3" borderId="26" xfId="0" applyFill="1" applyBorder="1" applyAlignment="1">
      <alignment horizontal="center" vertical="center"/>
    </xf>
    <xf numFmtId="7" fontId="0" fillId="3" borderId="26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right"/>
    </xf>
    <xf numFmtId="49" fontId="10" fillId="2" borderId="2" xfId="0" applyNumberFormat="1" applyFont="1" applyFill="1" applyBorder="1" applyAlignment="1">
      <alignment horizontal="center"/>
    </xf>
    <xf numFmtId="44" fontId="0" fillId="0" borderId="0" xfId="0" applyNumberFormat="1"/>
    <xf numFmtId="164" fontId="0" fillId="4" borderId="6" xfId="0" applyNumberFormat="1" applyFill="1" applyBorder="1" applyAlignment="1">
      <alignment horizontal="center"/>
    </xf>
  </cellXfs>
  <cellStyles count="2">
    <cellStyle name="40% - Énfasis5" xfId="1" builtinId="47"/>
    <cellStyle name="Normal" xfId="0" builtinId="0"/>
  </cellStyles>
  <dxfs count="0"/>
  <tableStyles count="0" defaultTableStyle="TableStyleMedium2" defaultPivotStyle="PivotStyleMedium9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2"/>
  <sheetViews>
    <sheetView tabSelected="1" topLeftCell="A270" zoomScale="70" zoomScaleNormal="70" workbookViewId="0">
      <selection activeCell="A272" sqref="A272:M292"/>
    </sheetView>
  </sheetViews>
  <sheetFormatPr baseColWidth="10" defaultColWidth="9.140625" defaultRowHeight="15" x14ac:dyDescent="0.25"/>
  <cols>
    <col min="1" max="1" width="2.42578125" customWidth="1"/>
    <col min="2" max="2" width="40.7109375" customWidth="1"/>
    <col min="3" max="3" width="19.7109375" customWidth="1"/>
    <col min="4" max="4" width="0.85546875" customWidth="1"/>
    <col min="5" max="5" width="30" customWidth="1"/>
    <col min="6" max="6" width="17" customWidth="1"/>
    <col min="7" max="8" width="17.5703125" customWidth="1"/>
    <col min="9" max="9" width="12.85546875" customWidth="1"/>
    <col min="10" max="10" width="0.85546875" customWidth="1"/>
    <col min="11" max="11" width="30.28515625" customWidth="1"/>
    <col min="12" max="12" width="19.7109375" customWidth="1"/>
    <col min="13" max="13" width="18.28515625" customWidth="1"/>
    <col min="16" max="16" width="29.140625" customWidth="1"/>
    <col min="17" max="17" width="18.85546875" customWidth="1"/>
    <col min="18" max="18" width="19.140625" customWidth="1"/>
    <col min="19" max="19" width="10.85546875" customWidth="1"/>
  </cols>
  <sheetData>
    <row r="2" spans="2:8" ht="15.75" thickBot="1" x14ac:dyDescent="0.3">
      <c r="C2" t="s">
        <v>0</v>
      </c>
    </row>
    <row r="3" spans="2:8" ht="15.75" thickBot="1" x14ac:dyDescent="0.3">
      <c r="B3" s="3" t="s">
        <v>1</v>
      </c>
      <c r="C3" s="4" t="s">
        <v>2</v>
      </c>
      <c r="D3" s="4"/>
      <c r="E3" s="4" t="s">
        <v>6</v>
      </c>
      <c r="F3" s="4" t="s">
        <v>16</v>
      </c>
      <c r="G3" s="5" t="s">
        <v>14</v>
      </c>
    </row>
    <row r="4" spans="2:8" ht="4.5" customHeight="1" x14ac:dyDescent="0.25">
      <c r="G4" s="1"/>
    </row>
    <row r="5" spans="2:8" x14ac:dyDescent="0.25">
      <c r="B5" s="6" t="s">
        <v>8</v>
      </c>
      <c r="C5" s="7">
        <v>6620</v>
      </c>
      <c r="D5" s="6"/>
      <c r="E5" s="6" t="s">
        <v>3</v>
      </c>
      <c r="F5" s="7">
        <v>4235.63</v>
      </c>
      <c r="G5" s="7">
        <v>4864.37</v>
      </c>
      <c r="H5" s="8">
        <f>SUM(F5:G5)</f>
        <v>9100</v>
      </c>
    </row>
    <row r="6" spans="2:8" x14ac:dyDescent="0.25">
      <c r="B6" s="6" t="s">
        <v>4</v>
      </c>
      <c r="C6" s="7">
        <f>25460.5-11000+21.68</f>
        <v>14482.18</v>
      </c>
      <c r="D6" s="6"/>
      <c r="E6" s="6"/>
      <c r="F6" s="6"/>
      <c r="G6" s="6"/>
      <c r="H6" s="6"/>
    </row>
    <row r="7" spans="2:8" x14ac:dyDescent="0.25">
      <c r="B7" s="6" t="s">
        <v>11</v>
      </c>
      <c r="C7" s="7">
        <f>3200.14-1000</f>
        <v>2200.14</v>
      </c>
      <c r="D7" s="6"/>
      <c r="E7" s="6" t="s">
        <v>7</v>
      </c>
      <c r="F7" s="7">
        <v>6000</v>
      </c>
      <c r="G7" s="7">
        <v>1000</v>
      </c>
      <c r="H7" s="8">
        <f>SUM(F7:G7)</f>
        <v>7000</v>
      </c>
    </row>
    <row r="8" spans="2:8" x14ac:dyDescent="0.25">
      <c r="B8" s="6"/>
      <c r="C8" s="6"/>
      <c r="D8" s="6"/>
      <c r="E8" s="6"/>
      <c r="F8" s="6"/>
      <c r="G8" s="6"/>
      <c r="H8" s="6"/>
    </row>
    <row r="9" spans="2:8" x14ac:dyDescent="0.25">
      <c r="B9" s="6" t="s">
        <v>5</v>
      </c>
      <c r="C9" s="7">
        <v>0</v>
      </c>
      <c r="D9" s="6"/>
      <c r="E9" s="6" t="s">
        <v>10</v>
      </c>
      <c r="F9" s="7">
        <v>3100</v>
      </c>
      <c r="G9" s="7">
        <v>0</v>
      </c>
      <c r="H9" s="8">
        <f>SUM(F9:G9)</f>
        <v>3100</v>
      </c>
    </row>
    <row r="10" spans="2:8" x14ac:dyDescent="0.25">
      <c r="B10" s="6"/>
      <c r="C10" s="6"/>
      <c r="D10" s="6"/>
      <c r="E10" s="6"/>
      <c r="F10" s="6"/>
      <c r="G10" s="6"/>
      <c r="H10" s="6"/>
    </row>
    <row r="11" spans="2:8" x14ac:dyDescent="0.25">
      <c r="B11" s="6"/>
      <c r="C11" s="6"/>
      <c r="D11" s="6"/>
      <c r="E11" s="6" t="s">
        <v>12</v>
      </c>
      <c r="F11" s="7">
        <v>770.3</v>
      </c>
      <c r="G11" s="7">
        <v>629.70000000000005</v>
      </c>
      <c r="H11" s="8">
        <f>SUM(F11:G11)</f>
        <v>1400</v>
      </c>
    </row>
    <row r="12" spans="2:8" x14ac:dyDescent="0.25">
      <c r="B12" s="6"/>
      <c r="C12" s="6"/>
      <c r="D12" s="6"/>
      <c r="E12" s="6"/>
      <c r="F12" s="6"/>
      <c r="G12" s="6"/>
      <c r="H12" s="6"/>
    </row>
    <row r="13" spans="2:8" x14ac:dyDescent="0.25">
      <c r="B13" s="6"/>
      <c r="C13" s="6"/>
      <c r="D13" s="6"/>
      <c r="E13" s="6" t="s">
        <v>13</v>
      </c>
      <c r="F13" s="6"/>
      <c r="G13" s="7">
        <f>36*1388</f>
        <v>49968</v>
      </c>
      <c r="H13" s="6"/>
    </row>
    <row r="20" spans="2:9" ht="15.75" thickBot="1" x14ac:dyDescent="0.3"/>
    <row r="21" spans="2:9" ht="25.5" thickBot="1" x14ac:dyDescent="0.3">
      <c r="B21" s="10" t="s">
        <v>9</v>
      </c>
      <c r="I21" s="11" t="s">
        <v>15</v>
      </c>
    </row>
    <row r="22" spans="2:9" ht="21.75" thickBot="1" x14ac:dyDescent="0.4">
      <c r="B22" s="9">
        <f>C22/15</f>
        <v>1553.4880000000001</v>
      </c>
      <c r="C22" s="2">
        <f>SUM(C5:C21)</f>
        <v>23302.32</v>
      </c>
      <c r="F22" s="2">
        <f>SUM(F4:F21)</f>
        <v>14105.93</v>
      </c>
      <c r="G22" s="2">
        <f>SUM(G4:G21)</f>
        <v>56462.07</v>
      </c>
      <c r="I22" s="12">
        <f>F22/15</f>
        <v>940.39533333333338</v>
      </c>
    </row>
    <row r="23" spans="2:9" ht="15.75" thickBot="1" x14ac:dyDescent="0.3"/>
    <row r="24" spans="2:9" ht="16.5" thickBot="1" x14ac:dyDescent="0.3">
      <c r="B24" t="s">
        <v>17</v>
      </c>
      <c r="E24" s="16" t="s">
        <v>20</v>
      </c>
    </row>
    <row r="25" spans="2:9" ht="19.5" thickBot="1" x14ac:dyDescent="0.35">
      <c r="B25" s="13" t="s">
        <v>18</v>
      </c>
      <c r="C25" s="14">
        <v>0</v>
      </c>
      <c r="E25" s="15">
        <f>B22-C25-C26-C27-C28-C29-C30-C31</f>
        <v>-4964.5119999999997</v>
      </c>
    </row>
    <row r="26" spans="2:9" x14ac:dyDescent="0.25">
      <c r="B26" s="13" t="s">
        <v>19</v>
      </c>
      <c r="C26" s="14">
        <v>250</v>
      </c>
    </row>
    <row r="27" spans="2:9" x14ac:dyDescent="0.25">
      <c r="B27" t="s">
        <v>21</v>
      </c>
      <c r="C27" s="14">
        <v>605</v>
      </c>
    </row>
    <row r="28" spans="2:9" x14ac:dyDescent="0.25">
      <c r="B28" t="s">
        <v>22</v>
      </c>
      <c r="C28" s="14">
        <f>130+260</f>
        <v>390</v>
      </c>
    </row>
    <row r="29" spans="2:9" x14ac:dyDescent="0.25">
      <c r="B29" t="s">
        <v>23</v>
      </c>
      <c r="C29" s="14">
        <v>3918</v>
      </c>
    </row>
    <row r="30" spans="2:9" x14ac:dyDescent="0.25">
      <c r="B30" t="s">
        <v>24</v>
      </c>
      <c r="C30" s="14">
        <v>300</v>
      </c>
    </row>
    <row r="31" spans="2:9" x14ac:dyDescent="0.25">
      <c r="B31" t="s">
        <v>26</v>
      </c>
      <c r="C31" s="14">
        <f>705+350</f>
        <v>1055</v>
      </c>
    </row>
    <row r="33" spans="2:9" ht="15.75" thickBot="1" x14ac:dyDescent="0.3">
      <c r="C33" t="s">
        <v>0</v>
      </c>
      <c r="E33" t="s">
        <v>25</v>
      </c>
    </row>
    <row r="34" spans="2:9" ht="15.75" thickBot="1" x14ac:dyDescent="0.3">
      <c r="B34" s="3" t="s">
        <v>1</v>
      </c>
      <c r="C34" s="4" t="s">
        <v>2</v>
      </c>
      <c r="D34" s="4"/>
      <c r="E34" s="4" t="s">
        <v>6</v>
      </c>
      <c r="F34" s="4" t="s">
        <v>16</v>
      </c>
      <c r="G34" s="5" t="s">
        <v>14</v>
      </c>
    </row>
    <row r="35" spans="2:9" ht="6" customHeight="1" x14ac:dyDescent="0.25">
      <c r="G35" s="1"/>
    </row>
    <row r="36" spans="2:9" x14ac:dyDescent="0.25">
      <c r="B36" s="6" t="s">
        <v>8</v>
      </c>
      <c r="C36" s="7">
        <f>152+2350</f>
        <v>2502</v>
      </c>
      <c r="D36" s="6"/>
      <c r="E36" s="6" t="s">
        <v>3</v>
      </c>
      <c r="F36" s="7">
        <v>4765.37</v>
      </c>
      <c r="G36" s="7">
        <v>4334.63</v>
      </c>
      <c r="H36" s="8">
        <f>SUM(F36:G36)</f>
        <v>9100</v>
      </c>
    </row>
    <row r="37" spans="2:9" x14ac:dyDescent="0.25">
      <c r="B37" s="6" t="s">
        <v>4</v>
      </c>
      <c r="C37" s="7">
        <v>14484.41</v>
      </c>
      <c r="D37" s="6"/>
      <c r="E37" s="6"/>
      <c r="F37" s="6"/>
      <c r="G37" s="6"/>
      <c r="H37" s="6"/>
    </row>
    <row r="38" spans="2:9" x14ac:dyDescent="0.25">
      <c r="B38" s="6" t="s">
        <v>11</v>
      </c>
      <c r="C38" s="7">
        <f>3200.14-1000</f>
        <v>2200.14</v>
      </c>
      <c r="D38" s="6"/>
      <c r="E38" s="6" t="s">
        <v>7</v>
      </c>
      <c r="F38" s="7">
        <v>4800</v>
      </c>
      <c r="G38" s="7">
        <v>2200</v>
      </c>
      <c r="H38" s="8">
        <f>SUM(F38:G38)</f>
        <v>7000</v>
      </c>
    </row>
    <row r="39" spans="2:9" x14ac:dyDescent="0.25">
      <c r="B39" s="6"/>
      <c r="C39" s="6"/>
      <c r="D39" s="6"/>
      <c r="E39" s="6"/>
      <c r="F39" s="6"/>
      <c r="G39" s="6"/>
      <c r="H39" s="6"/>
    </row>
    <row r="40" spans="2:9" x14ac:dyDescent="0.25">
      <c r="B40" s="6" t="s">
        <v>5</v>
      </c>
      <c r="C40" s="7">
        <v>0</v>
      </c>
      <c r="D40" s="6"/>
      <c r="E40" s="6" t="s">
        <v>10</v>
      </c>
      <c r="F40" s="7">
        <v>3100</v>
      </c>
      <c r="G40" s="7">
        <v>0</v>
      </c>
      <c r="H40" s="8">
        <f>SUM(F40:G40)</f>
        <v>3100</v>
      </c>
    </row>
    <row r="41" spans="2:9" x14ac:dyDescent="0.25">
      <c r="B41" s="6"/>
      <c r="C41" s="6"/>
      <c r="D41" s="6"/>
      <c r="E41" s="6"/>
      <c r="F41" s="6"/>
      <c r="G41" s="6"/>
      <c r="H41" s="6"/>
    </row>
    <row r="42" spans="2:9" x14ac:dyDescent="0.25">
      <c r="B42" s="6"/>
      <c r="C42" s="6"/>
      <c r="D42" s="6"/>
      <c r="E42" s="6" t="s">
        <v>12</v>
      </c>
      <c r="F42" s="7">
        <v>770.3</v>
      </c>
      <c r="G42" s="7">
        <v>629.70000000000005</v>
      </c>
      <c r="H42" s="8">
        <f>SUM(F42:G42)</f>
        <v>1400</v>
      </c>
    </row>
    <row r="43" spans="2:9" x14ac:dyDescent="0.25">
      <c r="B43" s="6"/>
      <c r="C43" s="6"/>
      <c r="D43" s="6"/>
      <c r="E43" s="6"/>
      <c r="F43" s="6"/>
      <c r="G43" s="6"/>
      <c r="H43" s="6"/>
    </row>
    <row r="44" spans="2:9" x14ac:dyDescent="0.25">
      <c r="B44" s="6"/>
      <c r="C44" s="6"/>
      <c r="D44" s="6"/>
      <c r="E44" s="6" t="s">
        <v>13</v>
      </c>
      <c r="F44" s="6"/>
      <c r="G44" s="7">
        <f>36*1388</f>
        <v>49968</v>
      </c>
      <c r="H44" s="6"/>
    </row>
    <row r="45" spans="2:9" ht="6.75" customHeight="1" thickBot="1" x14ac:dyDescent="0.3"/>
    <row r="46" spans="2:9" ht="25.5" thickBot="1" x14ac:dyDescent="0.3">
      <c r="B46" s="10" t="s">
        <v>27</v>
      </c>
      <c r="I46" s="11" t="s">
        <v>28</v>
      </c>
    </row>
    <row r="47" spans="2:9" ht="21.75" thickBot="1" x14ac:dyDescent="0.4">
      <c r="B47" s="9">
        <f>C47/14</f>
        <v>1370.4678571428572</v>
      </c>
      <c r="C47" s="2">
        <f>SUM(C36:C46)</f>
        <v>19186.55</v>
      </c>
      <c r="F47" s="2">
        <f>SUM(F35:F46)</f>
        <v>13435.669999999998</v>
      </c>
      <c r="G47" s="2">
        <f>SUM(G35:G46)</f>
        <v>57132.33</v>
      </c>
      <c r="I47" s="12">
        <f>F47/14</f>
        <v>959.69071428571419</v>
      </c>
    </row>
    <row r="48" spans="2:9" ht="5.25" customHeight="1" thickBot="1" x14ac:dyDescent="0.3">
      <c r="I48">
        <v>0</v>
      </c>
    </row>
    <row r="49" spans="2:8" ht="16.5" thickBot="1" x14ac:dyDescent="0.3">
      <c r="B49" s="17" t="s">
        <v>17</v>
      </c>
      <c r="E49" s="16" t="s">
        <v>20</v>
      </c>
    </row>
    <row r="50" spans="2:8" ht="19.5" thickBot="1" x14ac:dyDescent="0.35">
      <c r="B50" s="18" t="s">
        <v>18</v>
      </c>
      <c r="C50" s="19">
        <v>650</v>
      </c>
      <c r="E50" s="15">
        <f>B47-C50-C51-C52-C53-C54-C55</f>
        <v>-1915.5321428571428</v>
      </c>
    </row>
    <row r="51" spans="2:8" x14ac:dyDescent="0.25">
      <c r="B51" s="18" t="s">
        <v>19</v>
      </c>
      <c r="C51" s="19">
        <v>250</v>
      </c>
    </row>
    <row r="52" spans="2:8" x14ac:dyDescent="0.25">
      <c r="B52" s="18" t="s">
        <v>32</v>
      </c>
      <c r="C52" s="19">
        <v>630</v>
      </c>
    </row>
    <row r="53" spans="2:8" x14ac:dyDescent="0.25">
      <c r="B53" s="18" t="s">
        <v>22</v>
      </c>
      <c r="C53" s="19">
        <v>400</v>
      </c>
    </row>
    <row r="54" spans="2:8" x14ac:dyDescent="0.25">
      <c r="B54" s="18" t="s">
        <v>33</v>
      </c>
      <c r="C54" s="19">
        <v>956</v>
      </c>
    </row>
    <row r="55" spans="2:8" x14ac:dyDescent="0.25">
      <c r="B55" s="18" t="s">
        <v>24</v>
      </c>
      <c r="C55" s="19">
        <v>400</v>
      </c>
    </row>
    <row r="56" spans="2:8" ht="9" customHeight="1" x14ac:dyDescent="0.25">
      <c r="B56" s="20"/>
      <c r="C56" s="21"/>
    </row>
    <row r="57" spans="2:8" ht="15.75" thickBot="1" x14ac:dyDescent="0.3">
      <c r="C57" t="s">
        <v>0</v>
      </c>
      <c r="E57" t="s">
        <v>29</v>
      </c>
    </row>
    <row r="58" spans="2:8" ht="15.75" thickBot="1" x14ac:dyDescent="0.3">
      <c r="B58" s="3" t="s">
        <v>1</v>
      </c>
      <c r="C58" s="4" t="s">
        <v>2</v>
      </c>
      <c r="D58" s="4"/>
      <c r="E58" s="4" t="s">
        <v>6</v>
      </c>
      <c r="F58" s="4" t="s">
        <v>16</v>
      </c>
      <c r="G58" s="5" t="s">
        <v>14</v>
      </c>
    </row>
    <row r="59" spans="2:8" x14ac:dyDescent="0.25">
      <c r="G59" s="1"/>
    </row>
    <row r="60" spans="2:8" x14ac:dyDescent="0.25">
      <c r="B60" s="6" t="s">
        <v>8</v>
      </c>
      <c r="C60" s="7">
        <v>1800</v>
      </c>
      <c r="D60" s="6"/>
      <c r="E60" s="6" t="s">
        <v>3</v>
      </c>
      <c r="F60" s="7">
        <v>2874.37</v>
      </c>
      <c r="G60" s="7">
        <v>6225.63</v>
      </c>
      <c r="H60" s="8">
        <f>SUM(F60:G60)</f>
        <v>9100</v>
      </c>
    </row>
    <row r="61" spans="2:8" x14ac:dyDescent="0.25">
      <c r="B61" s="6" t="s">
        <v>4</v>
      </c>
      <c r="C61" s="7">
        <v>11893.99</v>
      </c>
      <c r="D61" s="6"/>
      <c r="E61" s="6"/>
      <c r="F61" s="6"/>
      <c r="G61" s="6"/>
      <c r="H61" s="6"/>
    </row>
    <row r="62" spans="2:8" x14ac:dyDescent="0.25">
      <c r="B62" s="6" t="s">
        <v>11</v>
      </c>
      <c r="C62" s="7">
        <f>3200.14-1000</f>
        <v>2200.14</v>
      </c>
      <c r="D62" s="6"/>
      <c r="E62" s="6" t="s">
        <v>7</v>
      </c>
      <c r="F62" s="7">
        <v>4800</v>
      </c>
      <c r="G62" s="7">
        <v>2200</v>
      </c>
      <c r="H62" s="8">
        <f>SUM(F62:G62)</f>
        <v>7000</v>
      </c>
    </row>
    <row r="63" spans="2:8" x14ac:dyDescent="0.25">
      <c r="B63" s="6"/>
      <c r="C63" s="6"/>
      <c r="D63" s="6"/>
      <c r="E63" s="6"/>
      <c r="F63" s="6"/>
      <c r="G63" s="6"/>
      <c r="H63" s="6"/>
    </row>
    <row r="64" spans="2:8" x14ac:dyDescent="0.25">
      <c r="B64" s="6" t="s">
        <v>5</v>
      </c>
      <c r="C64" s="7">
        <v>0</v>
      </c>
      <c r="D64" s="6"/>
      <c r="E64" s="6" t="s">
        <v>10</v>
      </c>
      <c r="F64" s="7">
        <v>3100</v>
      </c>
      <c r="G64" s="7">
        <v>0</v>
      </c>
      <c r="H64" s="8">
        <f>SUM(F64:G64)</f>
        <v>3100</v>
      </c>
    </row>
    <row r="65" spans="2:9" x14ac:dyDescent="0.25">
      <c r="B65" s="6"/>
      <c r="C65" s="6"/>
      <c r="D65" s="6"/>
      <c r="E65" s="6"/>
      <c r="F65" s="6"/>
      <c r="G65" s="6"/>
      <c r="H65" s="6"/>
    </row>
    <row r="66" spans="2:9" x14ac:dyDescent="0.25">
      <c r="B66" s="6"/>
      <c r="C66" s="6"/>
      <c r="D66" s="6"/>
      <c r="E66" s="6" t="s">
        <v>12</v>
      </c>
      <c r="F66" s="7">
        <v>1520</v>
      </c>
      <c r="G66" s="7">
        <v>0</v>
      </c>
      <c r="H66" s="8">
        <f>SUM(F66:G66)</f>
        <v>1520</v>
      </c>
    </row>
    <row r="67" spans="2:9" x14ac:dyDescent="0.25">
      <c r="B67" s="6"/>
      <c r="C67" s="6"/>
      <c r="D67" s="6"/>
      <c r="E67" s="6"/>
      <c r="F67" s="6"/>
      <c r="G67" s="6"/>
      <c r="H67" s="6"/>
    </row>
    <row r="68" spans="2:9" x14ac:dyDescent="0.25">
      <c r="B68" s="6"/>
      <c r="C68" s="6"/>
      <c r="D68" s="6"/>
      <c r="E68" s="6" t="s">
        <v>13</v>
      </c>
      <c r="F68" s="6"/>
      <c r="G68" s="7">
        <f>36*1388</f>
        <v>49968</v>
      </c>
      <c r="H68" s="6"/>
    </row>
    <row r="69" spans="2:9" ht="15.75" thickBot="1" x14ac:dyDescent="0.3"/>
    <row r="70" spans="2:9" ht="25.5" thickBot="1" x14ac:dyDescent="0.3">
      <c r="B70" s="10" t="s">
        <v>30</v>
      </c>
      <c r="I70" s="11" t="s">
        <v>31</v>
      </c>
    </row>
    <row r="71" spans="2:9" ht="21.75" thickBot="1" x14ac:dyDescent="0.4">
      <c r="B71" s="9">
        <f>C71/13</f>
        <v>1222.6253846153845</v>
      </c>
      <c r="C71" s="2">
        <f>SUM(C60:C70)</f>
        <v>15894.13</v>
      </c>
      <c r="F71" s="2">
        <f>SUM(F59:F70)</f>
        <v>12294.369999999999</v>
      </c>
      <c r="G71" s="2">
        <f>SUM(G59:G70)</f>
        <v>58393.630000000005</v>
      </c>
      <c r="I71" s="12">
        <f>F71/13</f>
        <v>945.72076923076918</v>
      </c>
    </row>
    <row r="72" spans="2:9" ht="15.75" thickBot="1" x14ac:dyDescent="0.3">
      <c r="I72">
        <v>0</v>
      </c>
    </row>
    <row r="73" spans="2:9" ht="16.5" thickBot="1" x14ac:dyDescent="0.3">
      <c r="B73" s="17" t="s">
        <v>17</v>
      </c>
      <c r="E73" s="16" t="s">
        <v>20</v>
      </c>
    </row>
    <row r="74" spans="2:9" ht="19.5" thickBot="1" x14ac:dyDescent="0.35">
      <c r="B74" s="18" t="s">
        <v>22</v>
      </c>
      <c r="C74" s="19">
        <f>100+22+80+100</f>
        <v>302</v>
      </c>
      <c r="E74" s="15">
        <f>B71-C74-C75-C76-C77-C78-C79</f>
        <v>-293.37461538461548</v>
      </c>
    </row>
    <row r="75" spans="2:9" x14ac:dyDescent="0.25">
      <c r="B75" s="18" t="s">
        <v>24</v>
      </c>
      <c r="C75" s="19">
        <v>400</v>
      </c>
    </row>
    <row r="76" spans="2:9" x14ac:dyDescent="0.25">
      <c r="B76" s="18" t="s">
        <v>34</v>
      </c>
      <c r="C76" s="19">
        <v>384</v>
      </c>
    </row>
    <row r="77" spans="2:9" x14ac:dyDescent="0.25">
      <c r="B77" s="18" t="s">
        <v>37</v>
      </c>
      <c r="C77" s="19">
        <f>250+180</f>
        <v>430</v>
      </c>
    </row>
    <row r="78" spans="2:9" x14ac:dyDescent="0.25">
      <c r="B78" s="18"/>
      <c r="C78" s="19"/>
    </row>
    <row r="79" spans="2:9" x14ac:dyDescent="0.25">
      <c r="B79" s="18" t="s">
        <v>24</v>
      </c>
      <c r="C79" s="19"/>
    </row>
    <row r="80" spans="2:9" ht="15.75" thickBot="1" x14ac:dyDescent="0.3"/>
    <row r="81" spans="2:11" ht="27" thickBot="1" x14ac:dyDescent="0.45">
      <c r="B81" s="23"/>
      <c r="C81" s="24" t="s">
        <v>35</v>
      </c>
      <c r="D81" s="24"/>
      <c r="E81" s="22"/>
      <c r="F81" s="24" t="s">
        <v>36</v>
      </c>
      <c r="G81" s="25"/>
      <c r="H81" s="47"/>
      <c r="I81" s="47"/>
      <c r="J81" s="48"/>
      <c r="K81" s="44"/>
    </row>
    <row r="82" spans="2:11" ht="15.75" thickBot="1" x14ac:dyDescent="0.3">
      <c r="B82" s="26" t="s">
        <v>1</v>
      </c>
      <c r="C82" s="27" t="s">
        <v>2</v>
      </c>
      <c r="D82" s="27"/>
      <c r="E82" s="27" t="s">
        <v>6</v>
      </c>
      <c r="F82" s="27" t="s">
        <v>16</v>
      </c>
      <c r="G82" s="28" t="s">
        <v>39</v>
      </c>
      <c r="H82" s="49"/>
      <c r="I82" s="50" t="s">
        <v>54</v>
      </c>
      <c r="J82" s="51"/>
      <c r="K82" s="45"/>
    </row>
    <row r="83" spans="2:11" ht="4.5" customHeight="1" thickBot="1" x14ac:dyDescent="0.3">
      <c r="G83" s="1"/>
      <c r="I83" s="45"/>
    </row>
    <row r="84" spans="2:11" ht="21" x14ac:dyDescent="0.35">
      <c r="B84" s="6" t="s">
        <v>8</v>
      </c>
      <c r="C84" s="7">
        <f>2600-1400-120-140</f>
        <v>940</v>
      </c>
      <c r="D84" s="6"/>
      <c r="E84" s="6" t="s">
        <v>3</v>
      </c>
      <c r="F84" s="7">
        <v>6809</v>
      </c>
      <c r="G84" s="7">
        <v>2291</v>
      </c>
      <c r="H84" s="8">
        <f>SUM(F84:G84)</f>
        <v>9100</v>
      </c>
      <c r="I84" s="46">
        <v>0</v>
      </c>
      <c r="K84" s="30" t="s">
        <v>40</v>
      </c>
    </row>
    <row r="85" spans="2:11" ht="19.5" thickBot="1" x14ac:dyDescent="0.35">
      <c r="B85" s="6" t="s">
        <v>11</v>
      </c>
      <c r="C85" s="7">
        <f>3200.14-1000+2000</f>
        <v>4200.1399999999994</v>
      </c>
      <c r="D85" s="6"/>
      <c r="E85" s="6" t="s">
        <v>41</v>
      </c>
      <c r="F85" s="7">
        <v>0</v>
      </c>
      <c r="G85" s="7">
        <v>0</v>
      </c>
      <c r="H85" s="8">
        <f>SUM(F85:G85)</f>
        <v>0</v>
      </c>
      <c r="I85" s="46">
        <v>0</v>
      </c>
      <c r="K85" s="29">
        <f>C94/15000</f>
        <v>0.87916666666666665</v>
      </c>
    </row>
    <row r="86" spans="2:11" x14ac:dyDescent="0.25">
      <c r="B86" s="6" t="s">
        <v>57</v>
      </c>
      <c r="C86" s="7">
        <v>536</v>
      </c>
      <c r="D86" s="6"/>
      <c r="E86" s="6" t="s">
        <v>7</v>
      </c>
      <c r="F86" s="7">
        <f>H86-G86</f>
        <v>3994.68</v>
      </c>
      <c r="G86" s="7">
        <f>2765.82+780-1421.5+273+208+400</f>
        <v>3005.32</v>
      </c>
      <c r="H86" s="8">
        <v>7000</v>
      </c>
      <c r="I86" s="46">
        <v>0</v>
      </c>
    </row>
    <row r="87" spans="2:11" x14ac:dyDescent="0.25">
      <c r="B87" s="52" t="s">
        <v>56</v>
      </c>
      <c r="C87" s="7">
        <v>550</v>
      </c>
      <c r="D87" s="6"/>
      <c r="E87" s="6" t="s">
        <v>13</v>
      </c>
      <c r="F87" s="7">
        <v>0</v>
      </c>
      <c r="G87" s="7">
        <f>36*1388</f>
        <v>49968</v>
      </c>
      <c r="H87" s="8">
        <f>G87+F87</f>
        <v>49968</v>
      </c>
      <c r="I87" s="46">
        <v>0</v>
      </c>
    </row>
    <row r="88" spans="2:11" x14ac:dyDescent="0.25">
      <c r="B88" s="6" t="s">
        <v>55</v>
      </c>
      <c r="C88" s="7">
        <v>2303</v>
      </c>
      <c r="D88" s="6"/>
      <c r="E88" s="6" t="s">
        <v>10</v>
      </c>
      <c r="F88" s="7">
        <v>5000</v>
      </c>
      <c r="G88" s="7">
        <v>0</v>
      </c>
      <c r="H88" s="8">
        <f>SUM(F88:G88)</f>
        <v>5000</v>
      </c>
      <c r="I88" s="46">
        <v>0</v>
      </c>
    </row>
    <row r="89" spans="2:11" x14ac:dyDescent="0.25">
      <c r="B89" s="6" t="s">
        <v>51</v>
      </c>
      <c r="C89" s="7">
        <v>0</v>
      </c>
      <c r="D89" s="6"/>
      <c r="E89" s="6" t="s">
        <v>42</v>
      </c>
      <c r="F89" s="7">
        <v>0</v>
      </c>
      <c r="G89" s="7">
        <v>0</v>
      </c>
      <c r="H89" s="8">
        <f>SUM(F89:G89)</f>
        <v>0</v>
      </c>
      <c r="I89" s="46">
        <v>0</v>
      </c>
    </row>
    <row r="90" spans="2:11" x14ac:dyDescent="0.25">
      <c r="B90" s="6" t="s">
        <v>50</v>
      </c>
      <c r="C90" s="7">
        <v>4658.3599999999997</v>
      </c>
      <c r="D90" s="6"/>
      <c r="E90" s="6" t="s">
        <v>12</v>
      </c>
      <c r="F90" s="7">
        <v>1520</v>
      </c>
      <c r="G90" s="7">
        <v>0</v>
      </c>
      <c r="H90" s="8">
        <f>SUM(F90:G90)</f>
        <v>1520</v>
      </c>
      <c r="I90" s="46">
        <v>0</v>
      </c>
    </row>
    <row r="91" spans="2:11" ht="5.25" customHeight="1" x14ac:dyDescent="0.25">
      <c r="B91" s="6"/>
      <c r="C91" s="6"/>
      <c r="D91" s="6"/>
      <c r="E91" s="6"/>
      <c r="F91" s="6"/>
      <c r="G91" s="6"/>
      <c r="H91" s="6"/>
      <c r="I91" s="46"/>
    </row>
    <row r="92" spans="2:11" ht="3.75" customHeight="1" thickBot="1" x14ac:dyDescent="0.3"/>
    <row r="93" spans="2:11" ht="25.5" thickBot="1" x14ac:dyDescent="0.3">
      <c r="B93" s="10" t="s">
        <v>52</v>
      </c>
      <c r="I93" s="11" t="s">
        <v>53</v>
      </c>
      <c r="K93" s="16" t="s">
        <v>20</v>
      </c>
    </row>
    <row r="94" spans="2:11" ht="21.75" thickBot="1" x14ac:dyDescent="0.4">
      <c r="B94" s="9">
        <f>C94/9</f>
        <v>1465.2777777777778</v>
      </c>
      <c r="C94" s="2">
        <f>SUM(C84:C91)</f>
        <v>13187.5</v>
      </c>
      <c r="F94" s="2">
        <f>SUM(F83:F93)</f>
        <v>17323.68</v>
      </c>
      <c r="G94" s="2">
        <f>SUM(G83:G93)</f>
        <v>55264.32</v>
      </c>
      <c r="I94" s="12">
        <f>F94/9</f>
        <v>1924.8533333333335</v>
      </c>
      <c r="K94" s="34">
        <f>I94-SUM(K97:K102)</f>
        <v>-853.80666666666639</v>
      </c>
    </row>
    <row r="95" spans="2:11" ht="3" customHeight="1" thickBot="1" x14ac:dyDescent="0.3">
      <c r="I95">
        <v>0</v>
      </c>
    </row>
    <row r="96" spans="2:11" ht="16.5" thickBot="1" x14ac:dyDescent="0.3">
      <c r="B96" s="17" t="s">
        <v>61</v>
      </c>
      <c r="E96" s="16" t="s">
        <v>20</v>
      </c>
      <c r="I96" s="17" t="s">
        <v>61</v>
      </c>
    </row>
    <row r="97" spans="1:11" ht="19.5" thickBot="1" x14ac:dyDescent="0.35">
      <c r="B97" s="18" t="s">
        <v>22</v>
      </c>
      <c r="C97" s="19">
        <f>100+120+140</f>
        <v>360</v>
      </c>
      <c r="E97" s="34">
        <f>B94-C97-C101</f>
        <v>-316.22222222222217</v>
      </c>
      <c r="I97" s="18" t="s">
        <v>22</v>
      </c>
      <c r="J97" s="19"/>
      <c r="K97" s="19">
        <v>0</v>
      </c>
    </row>
    <row r="98" spans="1:11" ht="15.75" thickBot="1" x14ac:dyDescent="0.3">
      <c r="B98" s="18" t="s">
        <v>24</v>
      </c>
      <c r="C98" s="19">
        <v>0</v>
      </c>
      <c r="E98" s="38" t="s">
        <v>47</v>
      </c>
      <c r="F98" s="36" t="s">
        <v>48</v>
      </c>
      <c r="G98" s="37" t="s">
        <v>49</v>
      </c>
      <c r="I98" s="18" t="s">
        <v>24</v>
      </c>
      <c r="J98" s="19"/>
      <c r="K98" s="19">
        <f>400+400</f>
        <v>800</v>
      </c>
    </row>
    <row r="99" spans="1:11" x14ac:dyDescent="0.25">
      <c r="B99" s="18" t="s">
        <v>38</v>
      </c>
      <c r="C99" s="19">
        <v>0</v>
      </c>
      <c r="E99" s="35" t="s">
        <v>43</v>
      </c>
      <c r="F99" s="39">
        <f>C94/4</f>
        <v>3296.875</v>
      </c>
      <c r="G99" s="39">
        <f>B94*0.1</f>
        <v>146.5277777777778</v>
      </c>
      <c r="I99" s="18" t="s">
        <v>38</v>
      </c>
      <c r="J99" s="19"/>
      <c r="K99" s="19">
        <v>780</v>
      </c>
    </row>
    <row r="100" spans="1:11" x14ac:dyDescent="0.25">
      <c r="B100" s="18" t="s">
        <v>58</v>
      </c>
      <c r="C100" s="19">
        <v>0</v>
      </c>
      <c r="E100" s="31" t="s">
        <v>44</v>
      </c>
      <c r="F100" s="40">
        <f>C94*0.2</f>
        <v>2637.5</v>
      </c>
      <c r="G100" s="40">
        <f>B94*0.05</f>
        <v>73.2638888888889</v>
      </c>
      <c r="I100" s="18" t="s">
        <v>58</v>
      </c>
      <c r="J100" s="19"/>
      <c r="K100" s="19">
        <f>273+208</f>
        <v>481</v>
      </c>
    </row>
    <row r="101" spans="1:11" ht="15.75" thickBot="1" x14ac:dyDescent="0.3">
      <c r="B101" s="18" t="s">
        <v>59</v>
      </c>
      <c r="C101" s="19">
        <v>1421.5</v>
      </c>
      <c r="E101" s="33" t="s">
        <v>45</v>
      </c>
      <c r="F101" s="41">
        <f>C94*0.15</f>
        <v>1978.125</v>
      </c>
      <c r="G101" s="41">
        <f>B94*0.05</f>
        <v>73.2638888888889</v>
      </c>
      <c r="I101" s="53" t="s">
        <v>59</v>
      </c>
      <c r="J101" s="19"/>
      <c r="K101" s="19">
        <v>0</v>
      </c>
    </row>
    <row r="102" spans="1:11" ht="15.75" thickBot="1" x14ac:dyDescent="0.3">
      <c r="B102" s="18" t="s">
        <v>60</v>
      </c>
      <c r="C102" s="19">
        <v>0</v>
      </c>
      <c r="E102" s="32" t="s">
        <v>46</v>
      </c>
      <c r="F102" s="42">
        <f>C94/4</f>
        <v>3296.875</v>
      </c>
      <c r="G102" s="42">
        <f>B94/4</f>
        <v>366.31944444444446</v>
      </c>
      <c r="H102" s="43">
        <f>SUM(G99:G102)</f>
        <v>659.375</v>
      </c>
      <c r="I102" s="18" t="s">
        <v>60</v>
      </c>
      <c r="J102" s="19"/>
      <c r="K102" s="19">
        <v>717.66</v>
      </c>
    </row>
    <row r="103" spans="1:11" ht="15.75" thickBot="1" x14ac:dyDescent="0.3"/>
    <row r="104" spans="1:11" ht="27" thickBot="1" x14ac:dyDescent="0.45">
      <c r="A104" s="61"/>
      <c r="B104" s="24" t="s">
        <v>35</v>
      </c>
      <c r="C104" s="24"/>
      <c r="D104" s="22"/>
      <c r="E104" s="24" t="s">
        <v>62</v>
      </c>
      <c r="F104" s="25"/>
      <c r="G104" s="47"/>
      <c r="H104" s="47"/>
      <c r="I104" s="48"/>
      <c r="J104" s="44"/>
    </row>
    <row r="105" spans="1:11" ht="15.75" thickBot="1" x14ac:dyDescent="0.3">
      <c r="A105" s="60"/>
      <c r="B105" s="27" t="s">
        <v>1</v>
      </c>
      <c r="C105" s="27" t="s">
        <v>2</v>
      </c>
      <c r="D105" s="27"/>
      <c r="E105" s="27" t="s">
        <v>6</v>
      </c>
      <c r="F105" s="27" t="s">
        <v>16</v>
      </c>
      <c r="G105" s="28" t="s">
        <v>39</v>
      </c>
      <c r="H105" s="49"/>
      <c r="I105" s="50" t="s">
        <v>54</v>
      </c>
      <c r="J105" s="51"/>
      <c r="K105" s="45"/>
    </row>
    <row r="106" spans="1:11" ht="4.5" customHeight="1" thickBot="1" x14ac:dyDescent="0.3">
      <c r="A106" s="59"/>
      <c r="G106" s="1"/>
      <c r="I106" s="45"/>
    </row>
    <row r="107" spans="1:11" ht="21" x14ac:dyDescent="0.35">
      <c r="A107" s="59"/>
      <c r="B107" s="54" t="s">
        <v>8</v>
      </c>
      <c r="C107" s="7">
        <v>3190</v>
      </c>
      <c r="D107" s="6"/>
      <c r="E107" s="6" t="s">
        <v>3</v>
      </c>
      <c r="F107" s="7">
        <v>4640</v>
      </c>
      <c r="G107" s="7">
        <v>4460</v>
      </c>
      <c r="H107" s="8">
        <f>SUM(F107:G107)</f>
        <v>9100</v>
      </c>
      <c r="I107" s="46">
        <v>2291</v>
      </c>
      <c r="K107" s="30" t="s">
        <v>40</v>
      </c>
    </row>
    <row r="108" spans="1:11" ht="19.5" thickBot="1" x14ac:dyDescent="0.35">
      <c r="A108" s="59"/>
      <c r="B108" s="54" t="s">
        <v>11</v>
      </c>
      <c r="C108" s="7">
        <f>3200.14-1000+2000</f>
        <v>4200.1399999999994</v>
      </c>
      <c r="D108" s="6"/>
      <c r="E108" s="6" t="s">
        <v>41</v>
      </c>
      <c r="F108" s="7">
        <v>0</v>
      </c>
      <c r="G108" s="7">
        <v>0</v>
      </c>
      <c r="H108" s="8">
        <f>SUM(F108:G108)</f>
        <v>0</v>
      </c>
      <c r="I108" s="46">
        <v>0</v>
      </c>
      <c r="K108" s="29">
        <f>C117/15000</f>
        <v>0.88264266666666658</v>
      </c>
    </row>
    <row r="109" spans="1:11" x14ac:dyDescent="0.25">
      <c r="A109" s="59"/>
      <c r="B109" s="54" t="s">
        <v>57</v>
      </c>
      <c r="C109" s="7">
        <v>536</v>
      </c>
      <c r="D109" s="6"/>
      <c r="E109" s="6" t="s">
        <v>7</v>
      </c>
      <c r="F109" s="7">
        <f>H109-G109</f>
        <v>1017.8100000000004</v>
      </c>
      <c r="G109" s="7">
        <f>2765.82+780-1421.5+273+208+400+800+500+600+1076.87</f>
        <v>5982.19</v>
      </c>
      <c r="H109" s="8">
        <v>7000</v>
      </c>
      <c r="I109" s="46">
        <v>0</v>
      </c>
    </row>
    <row r="110" spans="1:11" x14ac:dyDescent="0.25">
      <c r="A110" s="62"/>
      <c r="B110" s="55" t="s">
        <v>56</v>
      </c>
      <c r="C110" s="7">
        <v>550</v>
      </c>
      <c r="D110" s="6"/>
      <c r="E110" s="6" t="s">
        <v>13</v>
      </c>
      <c r="F110" s="7">
        <v>0</v>
      </c>
      <c r="G110" s="7">
        <f>35*1388</f>
        <v>48580</v>
      </c>
      <c r="H110" s="8">
        <f>G110+F110</f>
        <v>48580</v>
      </c>
      <c r="I110" s="46">
        <v>0</v>
      </c>
    </row>
    <row r="111" spans="1:11" x14ac:dyDescent="0.25">
      <c r="A111" s="59"/>
      <c r="B111" s="54" t="s">
        <v>55</v>
      </c>
      <c r="C111" s="7">
        <v>103</v>
      </c>
      <c r="D111" s="6"/>
      <c r="E111" s="6" t="s">
        <v>10</v>
      </c>
      <c r="F111" s="7">
        <v>5000</v>
      </c>
      <c r="G111" s="7">
        <v>0</v>
      </c>
      <c r="H111" s="8">
        <f>SUM(F111:G111)</f>
        <v>5000</v>
      </c>
      <c r="I111" s="46">
        <v>0</v>
      </c>
    </row>
    <row r="112" spans="1:11" x14ac:dyDescent="0.25">
      <c r="A112" s="59"/>
      <c r="B112" s="54" t="s">
        <v>51</v>
      </c>
      <c r="C112" s="7">
        <v>0</v>
      </c>
      <c r="D112" s="6"/>
      <c r="E112" s="6" t="s">
        <v>42</v>
      </c>
      <c r="F112" s="7">
        <v>0</v>
      </c>
      <c r="G112" s="7">
        <v>0</v>
      </c>
      <c r="H112" s="8">
        <f>SUM(F112:G112)</f>
        <v>0</v>
      </c>
      <c r="I112" s="46">
        <v>0</v>
      </c>
    </row>
    <row r="113" spans="1:11" x14ac:dyDescent="0.25">
      <c r="A113" s="59"/>
      <c r="B113" s="54" t="s">
        <v>50</v>
      </c>
      <c r="C113" s="7">
        <v>4660.5</v>
      </c>
      <c r="D113" s="6"/>
      <c r="E113" s="6" t="s">
        <v>12</v>
      </c>
      <c r="F113" s="7">
        <v>1520</v>
      </c>
      <c r="G113" s="7">
        <v>0</v>
      </c>
      <c r="H113" s="8">
        <f>SUM(F113:G113)</f>
        <v>1520</v>
      </c>
      <c r="I113" s="46">
        <v>0</v>
      </c>
    </row>
    <row r="114" spans="1:11" x14ac:dyDescent="0.25">
      <c r="A114" s="59"/>
      <c r="B114" s="54"/>
      <c r="C114" s="6"/>
      <c r="D114" s="6"/>
      <c r="E114" s="6"/>
      <c r="F114" s="6"/>
      <c r="G114" s="6"/>
      <c r="H114" s="6"/>
      <c r="I114" s="46"/>
    </row>
    <row r="115" spans="1:11" ht="5.25" customHeight="1" thickBot="1" x14ac:dyDescent="0.3">
      <c r="A115" s="59"/>
    </row>
    <row r="116" spans="1:11" ht="25.5" thickBot="1" x14ac:dyDescent="0.3">
      <c r="A116" s="63"/>
      <c r="B116" s="56" t="s">
        <v>63</v>
      </c>
      <c r="I116" s="11" t="s">
        <v>64</v>
      </c>
      <c r="K116" s="16" t="s">
        <v>20</v>
      </c>
    </row>
    <row r="117" spans="1:11" ht="21.75" thickBot="1" x14ac:dyDescent="0.4">
      <c r="A117" s="64"/>
      <c r="B117" s="57">
        <f>C117/7</f>
        <v>1891.3771428571429</v>
      </c>
      <c r="C117" s="2">
        <f>SUM(C107:C114)</f>
        <v>13239.64</v>
      </c>
      <c r="F117" s="2">
        <f>SUM(F106:F116)</f>
        <v>12177.810000000001</v>
      </c>
      <c r="G117" s="2">
        <f>SUM(G106:G116)</f>
        <v>59022.19</v>
      </c>
      <c r="I117" s="12">
        <f>F117/7</f>
        <v>1739.687142857143</v>
      </c>
      <c r="K117" s="34">
        <f>I117-SUM(K120:K125)</f>
        <v>-429.31285714285696</v>
      </c>
    </row>
    <row r="118" spans="1:11" ht="6" customHeight="1" thickBot="1" x14ac:dyDescent="0.3">
      <c r="A118" s="59"/>
      <c r="I118">
        <v>0</v>
      </c>
    </row>
    <row r="119" spans="1:11" ht="16.5" thickBot="1" x14ac:dyDescent="0.3">
      <c r="A119" s="60"/>
      <c r="B119" s="17" t="s">
        <v>61</v>
      </c>
      <c r="E119" s="16" t="s">
        <v>20</v>
      </c>
      <c r="I119" s="17" t="s">
        <v>65</v>
      </c>
    </row>
    <row r="120" spans="1:11" ht="19.5" thickBot="1" x14ac:dyDescent="0.35">
      <c r="A120" s="65"/>
      <c r="B120" s="58" t="s">
        <v>22</v>
      </c>
      <c r="C120" s="19">
        <f>600</f>
        <v>600</v>
      </c>
      <c r="E120" s="34">
        <f>B117-C120-C124</f>
        <v>1291.3771428571429</v>
      </c>
      <c r="I120" s="18" t="s">
        <v>22</v>
      </c>
      <c r="J120" s="19"/>
      <c r="K120" s="19">
        <v>0</v>
      </c>
    </row>
    <row r="121" spans="1:11" ht="15.75" thickBot="1" x14ac:dyDescent="0.3">
      <c r="A121" s="65"/>
      <c r="B121" s="58" t="s">
        <v>24</v>
      </c>
      <c r="C121" s="19">
        <v>0</v>
      </c>
      <c r="E121" s="38" t="s">
        <v>47</v>
      </c>
      <c r="F121" s="36" t="s">
        <v>48</v>
      </c>
      <c r="G121" s="37" t="s">
        <v>49</v>
      </c>
      <c r="I121" s="18" t="s">
        <v>24</v>
      </c>
      <c r="J121" s="19"/>
      <c r="K121" s="19">
        <v>0</v>
      </c>
    </row>
    <row r="122" spans="1:11" x14ac:dyDescent="0.25">
      <c r="A122" s="65"/>
      <c r="B122" s="58" t="s">
        <v>38</v>
      </c>
      <c r="C122" s="19">
        <v>0</v>
      </c>
      <c r="E122" s="35" t="s">
        <v>43</v>
      </c>
      <c r="F122" s="39">
        <f>C112/4</f>
        <v>0</v>
      </c>
      <c r="G122" s="39">
        <f>B117*0.1</f>
        <v>189.13771428571431</v>
      </c>
      <c r="I122" s="18" t="s">
        <v>38</v>
      </c>
      <c r="J122" s="19"/>
      <c r="K122" s="19">
        <v>2169</v>
      </c>
    </row>
    <row r="123" spans="1:11" x14ac:dyDescent="0.25">
      <c r="A123" s="65"/>
      <c r="B123" s="58" t="s">
        <v>58</v>
      </c>
      <c r="C123" s="19">
        <v>0</v>
      </c>
      <c r="E123" s="31" t="s">
        <v>44</v>
      </c>
      <c r="F123" s="40">
        <f>C112*0.2</f>
        <v>0</v>
      </c>
      <c r="G123" s="40">
        <f>B117*0.05</f>
        <v>94.568857142857155</v>
      </c>
      <c r="I123" s="18" t="s">
        <v>58</v>
      </c>
      <c r="J123" s="19"/>
      <c r="K123" s="19">
        <v>0</v>
      </c>
    </row>
    <row r="124" spans="1:11" ht="15.75" thickBot="1" x14ac:dyDescent="0.3">
      <c r="A124" s="65"/>
      <c r="B124" s="58" t="s">
        <v>59</v>
      </c>
      <c r="C124" s="19">
        <v>0</v>
      </c>
      <c r="E124" s="33" t="s">
        <v>45</v>
      </c>
      <c r="F124" s="41">
        <f>C112*0.15</f>
        <v>0</v>
      </c>
      <c r="G124" s="41">
        <f>B117*0.05</f>
        <v>94.568857142857155</v>
      </c>
      <c r="I124" s="53" t="s">
        <v>59</v>
      </c>
      <c r="J124" s="19"/>
      <c r="K124" s="19">
        <v>0</v>
      </c>
    </row>
    <row r="125" spans="1:11" ht="15.75" thickBot="1" x14ac:dyDescent="0.3">
      <c r="A125" s="65"/>
      <c r="B125" s="58" t="s">
        <v>60</v>
      </c>
      <c r="C125" s="19">
        <v>0</v>
      </c>
      <c r="E125" s="32" t="s">
        <v>46</v>
      </c>
      <c r="F125" s="42">
        <f>C112/4</f>
        <v>0</v>
      </c>
      <c r="G125" s="42">
        <f>B117/4</f>
        <v>472.84428571428572</v>
      </c>
      <c r="H125" s="43">
        <f>SUM(G122:G125)</f>
        <v>851.11971428571428</v>
      </c>
      <c r="I125" s="18" t="s">
        <v>60</v>
      </c>
      <c r="J125" s="19"/>
      <c r="K125" s="19">
        <v>0</v>
      </c>
    </row>
    <row r="126" spans="1:11" ht="27" thickBot="1" x14ac:dyDescent="0.45">
      <c r="A126" s="61"/>
      <c r="B126" s="24" t="s">
        <v>66</v>
      </c>
      <c r="C126" s="24"/>
      <c r="D126" s="22"/>
      <c r="E126" s="24" t="s">
        <v>67</v>
      </c>
      <c r="F126" s="25"/>
      <c r="G126" s="47"/>
      <c r="H126" s="47"/>
      <c r="I126" s="48"/>
      <c r="J126" s="44"/>
    </row>
    <row r="127" spans="1:11" ht="15.75" thickBot="1" x14ac:dyDescent="0.3">
      <c r="A127" s="60"/>
      <c r="B127" s="27" t="s">
        <v>1</v>
      </c>
      <c r="C127" s="27" t="s">
        <v>2</v>
      </c>
      <c r="D127" s="27"/>
      <c r="E127" s="27" t="s">
        <v>6</v>
      </c>
      <c r="F127" s="27" t="s">
        <v>16</v>
      </c>
      <c r="G127" s="28" t="s">
        <v>39</v>
      </c>
      <c r="H127" s="49"/>
      <c r="I127" s="50" t="s">
        <v>54</v>
      </c>
      <c r="J127" s="51"/>
      <c r="K127" s="45"/>
    </row>
    <row r="128" spans="1:11" ht="3" customHeight="1" thickBot="1" x14ac:dyDescent="0.3">
      <c r="A128" s="59"/>
      <c r="G128" s="1"/>
      <c r="I128" s="45"/>
    </row>
    <row r="129" spans="1:11" ht="21" x14ac:dyDescent="0.35">
      <c r="A129" s="59"/>
      <c r="B129" s="54" t="s">
        <v>8</v>
      </c>
      <c r="C129" s="7">
        <v>1200</v>
      </c>
      <c r="D129" s="6"/>
      <c r="E129" s="6" t="s">
        <v>3</v>
      </c>
      <c r="F129" s="7">
        <v>3769.52</v>
      </c>
      <c r="G129" s="7">
        <v>5330.48</v>
      </c>
      <c r="H129" s="8">
        <f>SUM(F129:G129)</f>
        <v>9100</v>
      </c>
      <c r="I129" s="46">
        <v>2291</v>
      </c>
      <c r="K129" s="30" t="s">
        <v>40</v>
      </c>
    </row>
    <row r="130" spans="1:11" ht="19.5" thickBot="1" x14ac:dyDescent="0.35">
      <c r="A130" s="59"/>
      <c r="B130" s="54" t="s">
        <v>11</v>
      </c>
      <c r="C130" s="7">
        <f>3200.14-1000+2000</f>
        <v>4200.1399999999994</v>
      </c>
      <c r="D130" s="6"/>
      <c r="E130" s="6" t="s">
        <v>41</v>
      </c>
      <c r="F130" s="7">
        <v>0</v>
      </c>
      <c r="G130" s="7">
        <v>0</v>
      </c>
      <c r="H130" s="8">
        <f>SUM(F130:G130)</f>
        <v>0</v>
      </c>
      <c r="I130" s="46">
        <v>0</v>
      </c>
      <c r="K130" s="29">
        <f>C139/15000</f>
        <v>0.74997599999999998</v>
      </c>
    </row>
    <row r="131" spans="1:11" x14ac:dyDescent="0.25">
      <c r="A131" s="59"/>
      <c r="B131" s="54" t="s">
        <v>57</v>
      </c>
      <c r="C131" s="7">
        <v>536</v>
      </c>
      <c r="D131" s="6"/>
      <c r="E131" s="6" t="s">
        <v>7</v>
      </c>
      <c r="F131" s="7">
        <f>H131-G131</f>
        <v>1017.8100000000004</v>
      </c>
      <c r="G131" s="7">
        <f>2765.82+780-1421.5+273+208+400+800+500+600+1076.87</f>
        <v>5982.19</v>
      </c>
      <c r="H131" s="8">
        <v>7000</v>
      </c>
      <c r="I131" s="46">
        <v>0</v>
      </c>
    </row>
    <row r="132" spans="1:11" x14ac:dyDescent="0.25">
      <c r="A132" s="62"/>
      <c r="B132" s="55" t="s">
        <v>56</v>
      </c>
      <c r="C132" s="7">
        <v>550</v>
      </c>
      <c r="D132" s="6"/>
      <c r="E132" s="6" t="s">
        <v>13</v>
      </c>
      <c r="F132" s="7">
        <v>0</v>
      </c>
      <c r="G132" s="7">
        <f>35*1388</f>
        <v>48580</v>
      </c>
      <c r="H132" s="8">
        <f>G132+F132</f>
        <v>48580</v>
      </c>
      <c r="I132" s="46">
        <v>0</v>
      </c>
    </row>
    <row r="133" spans="1:11" x14ac:dyDescent="0.25">
      <c r="A133" s="59"/>
      <c r="B133" s="54" t="s">
        <v>55</v>
      </c>
      <c r="C133" s="7">
        <v>103</v>
      </c>
      <c r="D133" s="6"/>
      <c r="E133" s="6" t="s">
        <v>10</v>
      </c>
      <c r="F133" s="7">
        <v>5000</v>
      </c>
      <c r="G133" s="7">
        <v>0</v>
      </c>
      <c r="H133" s="8">
        <f>SUM(F133:G133)</f>
        <v>5000</v>
      </c>
      <c r="I133" s="46">
        <v>0</v>
      </c>
    </row>
    <row r="134" spans="1:11" x14ac:dyDescent="0.25">
      <c r="A134" s="59"/>
      <c r="B134" s="54" t="s">
        <v>51</v>
      </c>
      <c r="C134" s="7">
        <v>0</v>
      </c>
      <c r="D134" s="6"/>
      <c r="E134" s="6" t="s">
        <v>42</v>
      </c>
      <c r="F134" s="7">
        <v>0</v>
      </c>
      <c r="G134" s="7">
        <v>0</v>
      </c>
      <c r="H134" s="8">
        <f>SUM(F134:G134)</f>
        <v>0</v>
      </c>
      <c r="I134" s="46">
        <v>0</v>
      </c>
    </row>
    <row r="135" spans="1:11" x14ac:dyDescent="0.25">
      <c r="A135" s="59"/>
      <c r="B135" s="54" t="s">
        <v>50</v>
      </c>
      <c r="C135" s="7">
        <v>4660.5</v>
      </c>
      <c r="D135" s="6"/>
      <c r="E135" s="6" t="s">
        <v>12</v>
      </c>
      <c r="F135" s="7">
        <v>1520</v>
      </c>
      <c r="G135" s="7">
        <v>0</v>
      </c>
      <c r="H135" s="8">
        <f>SUM(F135:G135)</f>
        <v>1520</v>
      </c>
      <c r="I135" s="46">
        <v>0</v>
      </c>
    </row>
    <row r="136" spans="1:11" x14ac:dyDescent="0.25">
      <c r="A136" s="59"/>
      <c r="B136" s="54"/>
      <c r="C136" s="6"/>
      <c r="D136" s="6"/>
      <c r="E136" s="6"/>
      <c r="F136" s="6"/>
      <c r="G136" s="6"/>
      <c r="H136" s="6"/>
      <c r="I136" s="46"/>
    </row>
    <row r="137" spans="1:11" ht="4.5" customHeight="1" thickBot="1" x14ac:dyDescent="0.3">
      <c r="A137" s="59"/>
    </row>
    <row r="138" spans="1:11" ht="25.5" thickBot="1" x14ac:dyDescent="0.3">
      <c r="A138" s="63"/>
      <c r="B138" s="56" t="s">
        <v>63</v>
      </c>
      <c r="I138" s="11" t="s">
        <v>68</v>
      </c>
      <c r="K138" s="16" t="s">
        <v>20</v>
      </c>
    </row>
    <row r="139" spans="1:11" ht="21.75" thickBot="1" x14ac:dyDescent="0.4">
      <c r="A139" s="64"/>
      <c r="B139" s="57">
        <f>C139/7</f>
        <v>1607.0914285714284</v>
      </c>
      <c r="C139" s="2">
        <f>SUM(C129:C136)</f>
        <v>11249.64</v>
      </c>
      <c r="F139" s="2">
        <f>SUM(F128:F138)</f>
        <v>11307.33</v>
      </c>
      <c r="G139" s="2">
        <f>SUM(G128:G138)</f>
        <v>59892.67</v>
      </c>
      <c r="I139" s="12">
        <f>F139/5</f>
        <v>2261.4659999999999</v>
      </c>
      <c r="K139" s="34">
        <f>I139-SUM(K142:K147)</f>
        <v>2261.4659999999999</v>
      </c>
    </row>
    <row r="140" spans="1:11" ht="6.75" customHeight="1" thickBot="1" x14ac:dyDescent="0.3">
      <c r="A140" s="59"/>
    </row>
    <row r="141" spans="1:11" ht="16.5" thickBot="1" x14ac:dyDescent="0.3">
      <c r="A141" s="60"/>
      <c r="B141" s="17" t="s">
        <v>61</v>
      </c>
      <c r="E141" s="16" t="s">
        <v>20</v>
      </c>
      <c r="I141" s="17" t="s">
        <v>65</v>
      </c>
    </row>
    <row r="142" spans="1:11" ht="19.5" thickBot="1" x14ac:dyDescent="0.35">
      <c r="A142" s="65"/>
      <c r="B142" s="58" t="s">
        <v>22</v>
      </c>
      <c r="C142" s="19">
        <v>100</v>
      </c>
      <c r="E142" s="34">
        <f>B139-C142-C146</f>
        <v>1507.0914285714284</v>
      </c>
      <c r="I142" s="18" t="s">
        <v>22</v>
      </c>
      <c r="J142" s="19"/>
      <c r="K142" s="19">
        <v>0</v>
      </c>
    </row>
    <row r="143" spans="1:11" ht="15.75" thickBot="1" x14ac:dyDescent="0.3">
      <c r="A143" s="65"/>
      <c r="B143" s="58" t="s">
        <v>24</v>
      </c>
      <c r="C143" s="19">
        <v>0</v>
      </c>
      <c r="E143" s="38" t="s">
        <v>47</v>
      </c>
      <c r="F143" s="36" t="s">
        <v>48</v>
      </c>
      <c r="G143" s="37" t="s">
        <v>49</v>
      </c>
      <c r="I143" s="18" t="s">
        <v>24</v>
      </c>
      <c r="J143" s="19"/>
      <c r="K143" s="19">
        <v>0</v>
      </c>
    </row>
    <row r="144" spans="1:11" x14ac:dyDescent="0.25">
      <c r="A144" s="65"/>
      <c r="B144" s="58" t="s">
        <v>38</v>
      </c>
      <c r="C144" s="19">
        <v>0</v>
      </c>
      <c r="E144" s="35" t="s">
        <v>43</v>
      </c>
      <c r="F144" s="39">
        <f>C134/4</f>
        <v>0</v>
      </c>
      <c r="G144" s="39">
        <f>B139*0.1</f>
        <v>160.70914285714287</v>
      </c>
      <c r="I144" s="18" t="s">
        <v>38</v>
      </c>
      <c r="J144" s="19"/>
      <c r="K144" s="19">
        <v>0</v>
      </c>
    </row>
    <row r="145" spans="1:11" x14ac:dyDescent="0.25">
      <c r="A145" s="65"/>
      <c r="B145" s="58" t="s">
        <v>58</v>
      </c>
      <c r="C145" s="19">
        <v>0</v>
      </c>
      <c r="E145" s="31" t="s">
        <v>44</v>
      </c>
      <c r="F145" s="40">
        <f>C134*0.2</f>
        <v>0</v>
      </c>
      <c r="G145" s="40">
        <f>B139*0.05</f>
        <v>80.354571428571433</v>
      </c>
      <c r="I145" s="18" t="s">
        <v>58</v>
      </c>
      <c r="J145" s="19"/>
      <c r="K145" s="19">
        <v>0</v>
      </c>
    </row>
    <row r="146" spans="1:11" ht="15.75" thickBot="1" x14ac:dyDescent="0.3">
      <c r="A146" s="65"/>
      <c r="B146" s="58" t="s">
        <v>59</v>
      </c>
      <c r="C146" s="19">
        <v>0</v>
      </c>
      <c r="E146" s="33" t="s">
        <v>45</v>
      </c>
      <c r="F146" s="41">
        <f>C134*0.15</f>
        <v>0</v>
      </c>
      <c r="G146" s="41">
        <f>B139*0.05</f>
        <v>80.354571428571433</v>
      </c>
      <c r="I146" s="53" t="s">
        <v>59</v>
      </c>
      <c r="J146" s="19"/>
      <c r="K146" s="19">
        <v>0</v>
      </c>
    </row>
    <row r="147" spans="1:11" ht="15.75" thickBot="1" x14ac:dyDescent="0.3">
      <c r="A147" s="65"/>
      <c r="B147" s="58" t="s">
        <v>60</v>
      </c>
      <c r="C147" s="19">
        <v>0</v>
      </c>
      <c r="E147" s="32" t="s">
        <v>46</v>
      </c>
      <c r="F147" s="42">
        <f>C134/4</f>
        <v>0</v>
      </c>
      <c r="G147" s="42">
        <f>B139/4</f>
        <v>401.77285714285711</v>
      </c>
      <c r="H147" s="43">
        <f>SUM(G144:G147)</f>
        <v>723.19114285714284</v>
      </c>
      <c r="I147" s="18" t="s">
        <v>60</v>
      </c>
      <c r="J147" s="19"/>
      <c r="K147" s="19">
        <v>0</v>
      </c>
    </row>
    <row r="148" spans="1:11" ht="15.75" thickBot="1" x14ac:dyDescent="0.3"/>
    <row r="149" spans="1:11" ht="27" thickBot="1" x14ac:dyDescent="0.45">
      <c r="A149" s="61"/>
      <c r="B149" s="24" t="s">
        <v>66</v>
      </c>
      <c r="C149" s="24"/>
      <c r="D149" s="22"/>
      <c r="E149" s="24" t="s">
        <v>69</v>
      </c>
      <c r="F149" s="25"/>
      <c r="G149" s="47"/>
      <c r="H149" s="47"/>
      <c r="I149" s="48"/>
      <c r="J149" s="44"/>
    </row>
    <row r="150" spans="1:11" ht="15.75" thickBot="1" x14ac:dyDescent="0.3">
      <c r="A150" s="60"/>
      <c r="B150" s="27" t="s">
        <v>1</v>
      </c>
      <c r="C150" s="27" t="s">
        <v>2</v>
      </c>
      <c r="D150" s="27"/>
      <c r="E150" s="27" t="s">
        <v>6</v>
      </c>
      <c r="F150" s="27" t="s">
        <v>16</v>
      </c>
      <c r="G150" s="28" t="s">
        <v>39</v>
      </c>
      <c r="H150" s="49"/>
      <c r="I150" s="50" t="s">
        <v>54</v>
      </c>
      <c r="J150" s="51"/>
      <c r="K150" s="45"/>
    </row>
    <row r="151" spans="1:11" ht="21" x14ac:dyDescent="0.35">
      <c r="A151" s="59"/>
      <c r="B151" s="54" t="s">
        <v>8</v>
      </c>
      <c r="C151" s="7">
        <v>1800</v>
      </c>
      <c r="D151" s="6"/>
      <c r="E151" s="6" t="s">
        <v>3</v>
      </c>
      <c r="F151" s="7">
        <v>2319.88</v>
      </c>
      <c r="G151" s="7">
        <v>6780.12</v>
      </c>
      <c r="H151" s="8">
        <f>SUM(F151:G151)</f>
        <v>9100</v>
      </c>
      <c r="I151" s="46">
        <v>2291</v>
      </c>
      <c r="K151" s="30" t="s">
        <v>40</v>
      </c>
    </row>
    <row r="152" spans="1:11" ht="19.5" thickBot="1" x14ac:dyDescent="0.35">
      <c r="A152" s="59"/>
      <c r="B152" s="54" t="s">
        <v>11</v>
      </c>
      <c r="C152" s="7">
        <f>4000+5.87+71.33</f>
        <v>4077.2</v>
      </c>
      <c r="D152" s="6"/>
      <c r="E152" s="6" t="s">
        <v>41</v>
      </c>
      <c r="F152" s="7">
        <v>0</v>
      </c>
      <c r="G152" s="7">
        <v>0</v>
      </c>
      <c r="H152" s="8">
        <f>SUM(F152:G152)</f>
        <v>0</v>
      </c>
      <c r="I152" s="46">
        <v>0</v>
      </c>
      <c r="K152" s="29">
        <f>C160/15000</f>
        <v>0.76639333333333326</v>
      </c>
    </row>
    <row r="153" spans="1:11" x14ac:dyDescent="0.25">
      <c r="A153" s="59"/>
      <c r="B153" s="54" t="s">
        <v>57</v>
      </c>
      <c r="C153" s="7">
        <v>536</v>
      </c>
      <c r="D153" s="6"/>
      <c r="E153" s="6" t="s">
        <v>7</v>
      </c>
      <c r="F153" s="7">
        <f>H153-G153</f>
        <v>1017.8100000000004</v>
      </c>
      <c r="G153" s="7">
        <f>2765.82+780-1421.5+273+208+400+800+500+600+1076.87</f>
        <v>5982.19</v>
      </c>
      <c r="H153" s="8">
        <v>7000</v>
      </c>
      <c r="I153" s="46">
        <v>0</v>
      </c>
    </row>
    <row r="154" spans="1:11" x14ac:dyDescent="0.25">
      <c r="A154" s="62"/>
      <c r="B154" s="55" t="s">
        <v>56</v>
      </c>
      <c r="C154" s="7">
        <v>550</v>
      </c>
      <c r="D154" s="6"/>
      <c r="E154" s="6" t="s">
        <v>13</v>
      </c>
      <c r="F154" s="7">
        <v>0</v>
      </c>
      <c r="G154" s="7">
        <f>35*1388</f>
        <v>48580</v>
      </c>
      <c r="H154" s="8">
        <f>G154+F154</f>
        <v>48580</v>
      </c>
      <c r="I154" s="46">
        <v>0</v>
      </c>
    </row>
    <row r="155" spans="1:11" x14ac:dyDescent="0.25">
      <c r="A155" s="59"/>
      <c r="B155" s="54" t="s">
        <v>55</v>
      </c>
      <c r="C155" s="7">
        <v>103</v>
      </c>
      <c r="D155" s="6"/>
      <c r="E155" s="6" t="s">
        <v>10</v>
      </c>
      <c r="F155" s="7">
        <f>5000-G155</f>
        <v>4780</v>
      </c>
      <c r="G155" s="7">
        <v>220</v>
      </c>
      <c r="H155" s="8">
        <f>SUM(F155:G155)</f>
        <v>5000</v>
      </c>
      <c r="I155" s="46">
        <v>0</v>
      </c>
    </row>
    <row r="156" spans="1:11" x14ac:dyDescent="0.25">
      <c r="A156" s="59"/>
      <c r="B156" s="54" t="s">
        <v>51</v>
      </c>
      <c r="C156" s="7">
        <v>0</v>
      </c>
      <c r="D156" s="6"/>
      <c r="E156" s="6" t="s">
        <v>42</v>
      </c>
      <c r="F156" s="7">
        <v>0</v>
      </c>
      <c r="G156" s="7">
        <v>5416</v>
      </c>
      <c r="H156" s="8">
        <f>SUM(F156:G156)</f>
        <v>5416</v>
      </c>
      <c r="I156" s="46">
        <v>0</v>
      </c>
    </row>
    <row r="157" spans="1:11" x14ac:dyDescent="0.25">
      <c r="A157" s="59"/>
      <c r="B157" s="54" t="s">
        <v>50</v>
      </c>
      <c r="C157" s="7">
        <v>4429.7</v>
      </c>
      <c r="D157" s="6"/>
      <c r="E157" s="6" t="s">
        <v>12</v>
      </c>
      <c r="F157" s="7">
        <v>1520</v>
      </c>
      <c r="G157" s="7">
        <v>0</v>
      </c>
      <c r="H157" s="8">
        <f>SUM(F157:G157)</f>
        <v>1520</v>
      </c>
      <c r="I157" s="46">
        <v>0</v>
      </c>
    </row>
    <row r="158" spans="1:11" ht="15.75" thickBot="1" x14ac:dyDescent="0.3">
      <c r="A158" s="59"/>
      <c r="B158" s="54"/>
      <c r="C158" s="6"/>
      <c r="D158" s="6"/>
      <c r="E158" s="6"/>
      <c r="F158" s="6"/>
      <c r="G158" s="6"/>
      <c r="H158" s="6"/>
      <c r="I158" s="46"/>
    </row>
    <row r="159" spans="1:11" ht="25.5" thickBot="1" x14ac:dyDescent="0.3">
      <c r="A159" s="63"/>
      <c r="B159" s="56" t="s">
        <v>70</v>
      </c>
      <c r="I159" s="11" t="s">
        <v>71</v>
      </c>
      <c r="K159" s="16" t="s">
        <v>20</v>
      </c>
    </row>
    <row r="160" spans="1:11" ht="21.75" thickBot="1" x14ac:dyDescent="0.4">
      <c r="A160" s="64"/>
      <c r="B160" s="57">
        <f>C160/4</f>
        <v>2873.9749999999999</v>
      </c>
      <c r="C160" s="2">
        <f>SUM(C151:C158)</f>
        <v>11495.9</v>
      </c>
      <c r="F160" s="2">
        <f>SUM(F151:F159)</f>
        <v>9637.69</v>
      </c>
      <c r="G160" s="2">
        <f>SUM(G151:G159)</f>
        <v>66978.31</v>
      </c>
      <c r="I160" s="12">
        <f>F160/4</f>
        <v>2409.4225000000001</v>
      </c>
      <c r="K160" s="34">
        <f>I160-SUM(K162:K167)</f>
        <v>1565.4225000000001</v>
      </c>
    </row>
    <row r="161" spans="1:11" ht="16.5" thickBot="1" x14ac:dyDescent="0.3">
      <c r="A161" s="60"/>
      <c r="B161" s="17" t="s">
        <v>61</v>
      </c>
      <c r="E161" s="16" t="s">
        <v>20</v>
      </c>
      <c r="I161" s="17" t="s">
        <v>65</v>
      </c>
    </row>
    <row r="162" spans="1:11" ht="19.5" thickBot="1" x14ac:dyDescent="0.35">
      <c r="A162" s="65"/>
      <c r="B162" s="58" t="s">
        <v>72</v>
      </c>
      <c r="C162" s="19">
        <v>250</v>
      </c>
      <c r="E162" s="34">
        <f>B160-SUM(C162:C167)</f>
        <v>987.47499999999991</v>
      </c>
      <c r="I162" s="18" t="s">
        <v>22</v>
      </c>
      <c r="J162" s="19"/>
      <c r="K162" s="19">
        <v>0</v>
      </c>
    </row>
    <row r="163" spans="1:11" ht="15.75" thickBot="1" x14ac:dyDescent="0.3">
      <c r="A163" s="65"/>
      <c r="B163" s="58" t="s">
        <v>75</v>
      </c>
      <c r="C163" s="19">
        <f>400+150+200</f>
        <v>750</v>
      </c>
      <c r="E163" s="38" t="s">
        <v>47</v>
      </c>
      <c r="F163" s="36" t="s">
        <v>48</v>
      </c>
      <c r="G163" s="37" t="s">
        <v>49</v>
      </c>
      <c r="I163" s="18" t="s">
        <v>24</v>
      </c>
      <c r="J163" s="19"/>
      <c r="K163" s="19">
        <v>400</v>
      </c>
    </row>
    <row r="164" spans="1:11" x14ac:dyDescent="0.25">
      <c r="A164" s="65"/>
      <c r="B164" s="58" t="s">
        <v>73</v>
      </c>
      <c r="C164" s="19">
        <v>212.5</v>
      </c>
      <c r="E164" s="35" t="s">
        <v>43</v>
      </c>
      <c r="F164" s="39">
        <f>C156/4</f>
        <v>0</v>
      </c>
      <c r="G164" s="39">
        <f>B160*0.1</f>
        <v>287.39749999999998</v>
      </c>
      <c r="I164" s="18" t="s">
        <v>38</v>
      </c>
      <c r="J164" s="19"/>
      <c r="K164" s="19">
        <v>0</v>
      </c>
    </row>
    <row r="165" spans="1:11" x14ac:dyDescent="0.25">
      <c r="A165" s="65"/>
      <c r="B165" s="58" t="s">
        <v>22</v>
      </c>
      <c r="C165" s="19">
        <v>274</v>
      </c>
      <c r="E165" s="31" t="s">
        <v>44</v>
      </c>
      <c r="F165" s="40">
        <f>C156*0.2</f>
        <v>0</v>
      </c>
      <c r="G165" s="40">
        <f>B160*0.05</f>
        <v>143.69874999999999</v>
      </c>
      <c r="I165" s="18" t="s">
        <v>58</v>
      </c>
      <c r="J165" s="19"/>
      <c r="K165" s="19">
        <v>0</v>
      </c>
    </row>
    <row r="166" spans="1:11" ht="15.75" thickBot="1" x14ac:dyDescent="0.3">
      <c r="A166" s="65"/>
      <c r="B166" s="58" t="s">
        <v>74</v>
      </c>
      <c r="C166" s="19">
        <v>400</v>
      </c>
      <c r="E166" s="33" t="s">
        <v>45</v>
      </c>
      <c r="F166" s="41">
        <f>C156*0.15</f>
        <v>0</v>
      </c>
      <c r="G166" s="41">
        <f>B160*0.05</f>
        <v>143.69874999999999</v>
      </c>
      <c r="I166" s="53" t="s">
        <v>59</v>
      </c>
      <c r="J166" s="19"/>
      <c r="K166" s="19">
        <v>0</v>
      </c>
    </row>
    <row r="167" spans="1:11" ht="15.75" thickBot="1" x14ac:dyDescent="0.3">
      <c r="A167" s="65"/>
      <c r="B167" s="58" t="s">
        <v>60</v>
      </c>
      <c r="C167" s="19">
        <v>0</v>
      </c>
      <c r="E167" s="32" t="s">
        <v>46</v>
      </c>
      <c r="F167" s="42">
        <f>C156/4</f>
        <v>0</v>
      </c>
      <c r="G167" s="42">
        <f>B160/4</f>
        <v>718.49374999999998</v>
      </c>
      <c r="H167" s="43">
        <f>SUM(G164:G167)</f>
        <v>1293.2887499999999</v>
      </c>
      <c r="I167" s="18" t="s">
        <v>60</v>
      </c>
      <c r="J167" s="19"/>
      <c r="K167" s="19">
        <v>444</v>
      </c>
    </row>
    <row r="168" spans="1:11" ht="15.75" thickBot="1" x14ac:dyDescent="0.3"/>
    <row r="169" spans="1:11" ht="27" thickBot="1" x14ac:dyDescent="0.45">
      <c r="A169" s="61"/>
      <c r="B169" s="24" t="s">
        <v>66</v>
      </c>
      <c r="C169" s="24"/>
      <c r="D169" s="22"/>
      <c r="E169" s="24" t="s">
        <v>76</v>
      </c>
      <c r="F169" s="25"/>
      <c r="G169" s="47"/>
      <c r="H169" s="47"/>
      <c r="I169" s="48"/>
      <c r="J169" s="44"/>
    </row>
    <row r="170" spans="1:11" ht="15.75" thickBot="1" x14ac:dyDescent="0.3">
      <c r="A170" s="60"/>
      <c r="B170" s="27" t="s">
        <v>1</v>
      </c>
      <c r="C170" s="27" t="s">
        <v>2</v>
      </c>
      <c r="D170" s="27"/>
      <c r="E170" s="27" t="s">
        <v>6</v>
      </c>
      <c r="F170" s="27" t="s">
        <v>16</v>
      </c>
      <c r="G170" s="28" t="s">
        <v>39</v>
      </c>
      <c r="H170" s="49"/>
      <c r="I170" s="50" t="s">
        <v>54</v>
      </c>
      <c r="J170" s="51"/>
      <c r="K170" s="45"/>
    </row>
    <row r="171" spans="1:11" ht="21" x14ac:dyDescent="0.35">
      <c r="A171" s="59"/>
      <c r="B171" s="54" t="s">
        <v>8</v>
      </c>
      <c r="C171" s="7">
        <v>2450</v>
      </c>
      <c r="D171" s="6"/>
      <c r="E171" s="6" t="s">
        <v>3</v>
      </c>
      <c r="F171" s="7">
        <v>4610.88</v>
      </c>
      <c r="G171" s="7">
        <f>9100-F171</f>
        <v>4489.12</v>
      </c>
      <c r="H171" s="8">
        <f>SUM(F171:G171)</f>
        <v>9100</v>
      </c>
      <c r="I171" s="46">
        <v>0</v>
      </c>
      <c r="K171" s="30" t="s">
        <v>40</v>
      </c>
    </row>
    <row r="172" spans="1:11" ht="19.5" thickBot="1" x14ac:dyDescent="0.35">
      <c r="A172" s="59"/>
      <c r="B172" s="54" t="s">
        <v>11</v>
      </c>
      <c r="C172" s="7">
        <f>4005.69+749</f>
        <v>4754.6900000000005</v>
      </c>
      <c r="D172" s="6"/>
      <c r="E172" s="6" t="s">
        <v>41</v>
      </c>
      <c r="F172" s="7">
        <v>0</v>
      </c>
      <c r="G172" s="7">
        <v>0</v>
      </c>
      <c r="H172" s="8">
        <f>SUM(F172:G172)</f>
        <v>0</v>
      </c>
      <c r="I172" s="46">
        <v>0</v>
      </c>
      <c r="K172" s="29">
        <f>C180/15000</f>
        <v>0.56829266666666678</v>
      </c>
    </row>
    <row r="173" spans="1:11" x14ac:dyDescent="0.25">
      <c r="A173" s="59"/>
      <c r="B173" s="54" t="s">
        <v>57</v>
      </c>
      <c r="C173" s="7">
        <v>536</v>
      </c>
      <c r="D173" s="6"/>
      <c r="E173" s="6" t="s">
        <v>7</v>
      </c>
      <c r="F173" s="7">
        <f>H173-G173</f>
        <v>470.11999999999989</v>
      </c>
      <c r="G173" s="7">
        <v>6529.88</v>
      </c>
      <c r="H173" s="8">
        <v>7000</v>
      </c>
      <c r="I173" s="46">
        <v>5655.44</v>
      </c>
    </row>
    <row r="174" spans="1:11" x14ac:dyDescent="0.25">
      <c r="A174" s="62"/>
      <c r="B174" s="55" t="s">
        <v>56</v>
      </c>
      <c r="C174" s="7">
        <v>550</v>
      </c>
      <c r="D174" s="6"/>
      <c r="E174" s="6" t="s">
        <v>13</v>
      </c>
      <c r="F174" s="7">
        <v>0</v>
      </c>
      <c r="G174" s="7">
        <f>35*1388</f>
        <v>48580</v>
      </c>
      <c r="H174" s="8">
        <f>G174+F174</f>
        <v>48580</v>
      </c>
      <c r="I174" s="46">
        <v>0</v>
      </c>
    </row>
    <row r="175" spans="1:11" x14ac:dyDescent="0.25">
      <c r="A175" s="59"/>
      <c r="B175" s="54" t="s">
        <v>55</v>
      </c>
      <c r="C175" s="7">
        <v>103</v>
      </c>
      <c r="D175" s="6"/>
      <c r="E175" s="6" t="s">
        <v>10</v>
      </c>
      <c r="F175" s="7">
        <f>5000-G175</f>
        <v>5000</v>
      </c>
      <c r="G175" s="7">
        <v>0</v>
      </c>
      <c r="H175" s="8">
        <f>SUM(F175:G175)</f>
        <v>5000</v>
      </c>
      <c r="I175" s="46">
        <v>0</v>
      </c>
    </row>
    <row r="176" spans="1:11" ht="15.75" thickBot="1" x14ac:dyDescent="0.3">
      <c r="A176" s="59"/>
      <c r="B176" s="54" t="s">
        <v>51</v>
      </c>
      <c r="C176" s="7">
        <v>0</v>
      </c>
      <c r="D176" s="6"/>
      <c r="E176" s="6" t="s">
        <v>42</v>
      </c>
      <c r="F176" s="7">
        <v>0</v>
      </c>
      <c r="G176" s="7">
        <v>5120</v>
      </c>
      <c r="H176" s="8">
        <f>SUM(F176:G176)</f>
        <v>5120</v>
      </c>
      <c r="I176" s="46">
        <v>0</v>
      </c>
    </row>
    <row r="177" spans="1:11" ht="21.75" thickBot="1" x14ac:dyDescent="0.4">
      <c r="A177" s="59"/>
      <c r="B177" s="54" t="s">
        <v>50</v>
      </c>
      <c r="C177" s="7">
        <v>130.69999999999999</v>
      </c>
      <c r="D177" s="6"/>
      <c r="E177" s="6" t="s">
        <v>12</v>
      </c>
      <c r="F177" s="7">
        <v>1520</v>
      </c>
      <c r="G177" s="7">
        <v>0</v>
      </c>
      <c r="H177" s="8">
        <f>SUM(F177:G177)</f>
        <v>1520</v>
      </c>
      <c r="I177" s="46">
        <v>0</v>
      </c>
      <c r="K177" s="66" t="s">
        <v>80</v>
      </c>
    </row>
    <row r="178" spans="1:11" ht="15.75" thickBot="1" x14ac:dyDescent="0.3">
      <c r="A178" s="59"/>
      <c r="B178" s="54"/>
      <c r="C178" s="6"/>
      <c r="D178" s="6"/>
      <c r="E178" s="6"/>
      <c r="F178" s="6"/>
      <c r="G178" s="6"/>
      <c r="H178" s="6"/>
      <c r="I178" s="46"/>
    </row>
    <row r="179" spans="1:11" ht="25.5" thickBot="1" x14ac:dyDescent="0.3">
      <c r="A179" s="63"/>
      <c r="B179" s="56" t="s">
        <v>77</v>
      </c>
      <c r="I179" s="11" t="s">
        <v>78</v>
      </c>
      <c r="K179" s="16" t="s">
        <v>20</v>
      </c>
    </row>
    <row r="180" spans="1:11" ht="21.75" thickBot="1" x14ac:dyDescent="0.4">
      <c r="A180" s="64"/>
      <c r="B180" s="57">
        <f>C180/3</f>
        <v>2841.4633333333336</v>
      </c>
      <c r="C180" s="2">
        <f>SUM(C171:C178)</f>
        <v>8524.3900000000012</v>
      </c>
      <c r="F180" s="2">
        <f>SUM(F171:F179)</f>
        <v>11601</v>
      </c>
      <c r="G180" s="2">
        <f>SUM(G171:G179)</f>
        <v>64719</v>
      </c>
      <c r="I180" s="12">
        <f>F180/3</f>
        <v>3867</v>
      </c>
      <c r="K180" s="34">
        <f>I180-SUM(K182:K187)</f>
        <v>3467</v>
      </c>
    </row>
    <row r="181" spans="1:11" ht="16.5" thickBot="1" x14ac:dyDescent="0.3">
      <c r="A181" s="60"/>
      <c r="B181" s="17" t="s">
        <v>61</v>
      </c>
      <c r="E181" s="16" t="s">
        <v>20</v>
      </c>
      <c r="I181" s="17" t="s">
        <v>65</v>
      </c>
    </row>
    <row r="182" spans="1:11" ht="19.5" thickBot="1" x14ac:dyDescent="0.35">
      <c r="A182" s="65"/>
      <c r="B182" s="58" t="s">
        <v>72</v>
      </c>
      <c r="C182" s="19">
        <v>0</v>
      </c>
      <c r="E182" s="34">
        <f>B180-SUM(C182:C187)</f>
        <v>25.463333333333594</v>
      </c>
      <c r="I182" s="18" t="s">
        <v>22</v>
      </c>
      <c r="J182" s="19"/>
      <c r="K182" s="19">
        <v>0</v>
      </c>
    </row>
    <row r="183" spans="1:11" ht="15.75" thickBot="1" x14ac:dyDescent="0.3">
      <c r="A183" s="65"/>
      <c r="B183" s="58" t="s">
        <v>75</v>
      </c>
      <c r="C183" s="19">
        <v>0</v>
      </c>
      <c r="E183" s="38" t="s">
        <v>47</v>
      </c>
      <c r="F183" s="36" t="s">
        <v>48</v>
      </c>
      <c r="G183" s="37" t="s">
        <v>49</v>
      </c>
      <c r="I183" s="18" t="s">
        <v>24</v>
      </c>
      <c r="J183" s="19"/>
      <c r="K183" s="19">
        <v>400</v>
      </c>
    </row>
    <row r="184" spans="1:11" x14ac:dyDescent="0.25">
      <c r="A184" s="65"/>
      <c r="B184" s="58" t="s">
        <v>73</v>
      </c>
      <c r="C184" s="19">
        <v>0</v>
      </c>
      <c r="E184" s="35" t="s">
        <v>43</v>
      </c>
      <c r="F184" s="39">
        <f>C176/4</f>
        <v>0</v>
      </c>
      <c r="G184" s="39">
        <f>B180*0.1</f>
        <v>284.14633333333336</v>
      </c>
      <c r="I184" s="18" t="s">
        <v>38</v>
      </c>
      <c r="J184" s="19"/>
      <c r="K184" s="19">
        <v>0</v>
      </c>
    </row>
    <row r="185" spans="1:11" x14ac:dyDescent="0.25">
      <c r="A185" s="65"/>
      <c r="B185" s="58" t="s">
        <v>22</v>
      </c>
      <c r="C185" s="19">
        <f>168+35</f>
        <v>203</v>
      </c>
      <c r="E185" s="31" t="s">
        <v>44</v>
      </c>
      <c r="F185" s="40">
        <f>C176*0.2</f>
        <v>0</v>
      </c>
      <c r="G185" s="40">
        <f>B180*0.05</f>
        <v>142.07316666666668</v>
      </c>
      <c r="I185" s="18" t="s">
        <v>58</v>
      </c>
      <c r="J185" s="19"/>
      <c r="K185" s="19">
        <v>0</v>
      </c>
    </row>
    <row r="186" spans="1:11" ht="15.75" thickBot="1" x14ac:dyDescent="0.3">
      <c r="A186" s="65"/>
      <c r="B186" s="58" t="s">
        <v>81</v>
      </c>
      <c r="C186" s="19">
        <f>152+170</f>
        <v>322</v>
      </c>
      <c r="E186" s="33" t="s">
        <v>45</v>
      </c>
      <c r="F186" s="41">
        <f>C176*0.15</f>
        <v>0</v>
      </c>
      <c r="G186" s="41">
        <f>B180*0.05</f>
        <v>142.07316666666668</v>
      </c>
      <c r="I186" s="53" t="s">
        <v>59</v>
      </c>
      <c r="J186" s="19"/>
      <c r="K186" s="19">
        <v>0</v>
      </c>
    </row>
    <row r="187" spans="1:11" ht="15.75" thickBot="1" x14ac:dyDescent="0.3">
      <c r="A187" s="65"/>
      <c r="B187" s="58" t="s">
        <v>79</v>
      </c>
      <c r="C187" s="19">
        <v>2291</v>
      </c>
      <c r="E187" s="32" t="s">
        <v>46</v>
      </c>
      <c r="F187" s="42">
        <f>C176/4</f>
        <v>0</v>
      </c>
      <c r="G187" s="42">
        <f>B180/4</f>
        <v>710.3658333333334</v>
      </c>
      <c r="H187" s="43">
        <f>SUM(G184:G187)</f>
        <v>1278.6585</v>
      </c>
      <c r="I187" s="18" t="s">
        <v>60</v>
      </c>
      <c r="J187" s="19"/>
      <c r="K187" s="19">
        <v>0</v>
      </c>
    </row>
    <row r="188" spans="1:11" ht="27" thickBot="1" x14ac:dyDescent="0.45">
      <c r="A188" s="61"/>
      <c r="B188" s="24" t="s">
        <v>66</v>
      </c>
      <c r="C188" s="24"/>
      <c r="D188" s="22"/>
      <c r="E188" s="24" t="s">
        <v>76</v>
      </c>
      <c r="F188" s="25"/>
      <c r="G188" s="47"/>
      <c r="H188" s="47"/>
      <c r="I188" s="48"/>
      <c r="J188" s="44"/>
    </row>
    <row r="189" spans="1:11" ht="15.75" thickBot="1" x14ac:dyDescent="0.3">
      <c r="A189" s="60"/>
      <c r="B189" s="27" t="s">
        <v>1</v>
      </c>
      <c r="C189" s="27" t="s">
        <v>2</v>
      </c>
      <c r="D189" s="27"/>
      <c r="E189" s="27" t="s">
        <v>6</v>
      </c>
      <c r="F189" s="27" t="s">
        <v>16</v>
      </c>
      <c r="G189" s="28" t="s">
        <v>39</v>
      </c>
      <c r="H189" s="49"/>
      <c r="I189" s="50" t="s">
        <v>54</v>
      </c>
      <c r="J189" s="51"/>
      <c r="K189" s="45"/>
    </row>
    <row r="190" spans="1:11" ht="21" x14ac:dyDescent="0.35">
      <c r="A190" s="59"/>
      <c r="B190" s="54" t="s">
        <v>8</v>
      </c>
      <c r="C190" s="7">
        <v>2450</v>
      </c>
      <c r="D190" s="6"/>
      <c r="E190" s="6" t="s">
        <v>3</v>
      </c>
      <c r="F190" s="7">
        <v>4610.88</v>
      </c>
      <c r="G190" s="7">
        <f>9100-F190</f>
        <v>4489.12</v>
      </c>
      <c r="H190" s="8">
        <f>SUM(F190:G190)</f>
        <v>9100</v>
      </c>
      <c r="I190" s="46">
        <v>0</v>
      </c>
      <c r="K190" s="30" t="s">
        <v>40</v>
      </c>
    </row>
    <row r="191" spans="1:11" ht="19.5" thickBot="1" x14ac:dyDescent="0.35">
      <c r="A191" s="59"/>
      <c r="B191" s="54" t="s">
        <v>11</v>
      </c>
      <c r="C191" s="7">
        <f>4005.69+749</f>
        <v>4754.6900000000005</v>
      </c>
      <c r="D191" s="6"/>
      <c r="E191" s="6" t="s">
        <v>41</v>
      </c>
      <c r="F191" s="7">
        <v>0</v>
      </c>
      <c r="G191" s="7">
        <v>0</v>
      </c>
      <c r="H191" s="8">
        <f>SUM(F191:G191)</f>
        <v>0</v>
      </c>
      <c r="I191" s="46">
        <v>0</v>
      </c>
      <c r="K191" s="29">
        <f>C199/15000</f>
        <v>0.56829266666666678</v>
      </c>
    </row>
    <row r="192" spans="1:11" x14ac:dyDescent="0.25">
      <c r="A192" s="59"/>
      <c r="B192" s="54" t="s">
        <v>57</v>
      </c>
      <c r="C192" s="7">
        <v>536</v>
      </c>
      <c r="D192" s="6"/>
      <c r="E192" s="6" t="s">
        <v>7</v>
      </c>
      <c r="F192" s="7">
        <f>H192-G192</f>
        <v>470.11999999999989</v>
      </c>
      <c r="G192" s="7">
        <v>6529.88</v>
      </c>
      <c r="H192" s="8">
        <v>7000</v>
      </c>
      <c r="I192" s="46">
        <v>5655.44</v>
      </c>
    </row>
    <row r="193" spans="1:11" x14ac:dyDescent="0.25">
      <c r="A193" s="62"/>
      <c r="B193" s="55" t="s">
        <v>56</v>
      </c>
      <c r="C193" s="7">
        <v>550</v>
      </c>
      <c r="D193" s="6"/>
      <c r="E193" s="6" t="s">
        <v>13</v>
      </c>
      <c r="F193" s="7">
        <v>0</v>
      </c>
      <c r="G193" s="7">
        <f>35*1388</f>
        <v>48580</v>
      </c>
      <c r="H193" s="8">
        <f>G193+F193</f>
        <v>48580</v>
      </c>
      <c r="I193" s="46">
        <v>0</v>
      </c>
    </row>
    <row r="194" spans="1:11" x14ac:dyDescent="0.25">
      <c r="A194" s="59"/>
      <c r="B194" s="54" t="s">
        <v>55</v>
      </c>
      <c r="C194" s="7">
        <v>103</v>
      </c>
      <c r="D194" s="6"/>
      <c r="E194" s="6" t="s">
        <v>10</v>
      </c>
      <c r="F194" s="7">
        <f>5000-G194</f>
        <v>5000</v>
      </c>
      <c r="G194" s="7">
        <v>0</v>
      </c>
      <c r="H194" s="8">
        <f>SUM(F194:G194)</f>
        <v>5000</v>
      </c>
      <c r="I194" s="46">
        <v>0</v>
      </c>
    </row>
    <row r="195" spans="1:11" ht="15.75" thickBot="1" x14ac:dyDescent="0.3">
      <c r="A195" s="59"/>
      <c r="B195" s="54" t="s">
        <v>51</v>
      </c>
      <c r="C195" s="7">
        <v>0</v>
      </c>
      <c r="D195" s="6"/>
      <c r="E195" s="6" t="s">
        <v>42</v>
      </c>
      <c r="F195" s="7">
        <v>0</v>
      </c>
      <c r="G195" s="7">
        <f>5120+2350</f>
        <v>7470</v>
      </c>
      <c r="H195" s="8">
        <f>SUM(F195:G195)</f>
        <v>7470</v>
      </c>
      <c r="I195" s="46">
        <v>0</v>
      </c>
    </row>
    <row r="196" spans="1:11" ht="21.75" thickBot="1" x14ac:dyDescent="0.4">
      <c r="A196" s="59"/>
      <c r="B196" s="54" t="s">
        <v>50</v>
      </c>
      <c r="C196" s="7">
        <v>130.69999999999999</v>
      </c>
      <c r="D196" s="6"/>
      <c r="E196" s="6" t="s">
        <v>12</v>
      </c>
      <c r="F196" s="7">
        <v>1520</v>
      </c>
      <c r="G196" s="7">
        <v>0</v>
      </c>
      <c r="H196" s="8">
        <f>SUM(F196:G196)</f>
        <v>1520</v>
      </c>
      <c r="I196" s="46">
        <v>0</v>
      </c>
      <c r="K196" s="66" t="s">
        <v>80</v>
      </c>
    </row>
    <row r="197" spans="1:11" ht="15.75" thickBot="1" x14ac:dyDescent="0.3">
      <c r="A197" s="59"/>
      <c r="B197" s="54"/>
      <c r="C197" s="6"/>
      <c r="D197" s="6"/>
      <c r="E197" s="6"/>
      <c r="F197" s="6"/>
      <c r="G197" s="6"/>
      <c r="H197" s="6"/>
      <c r="I197" s="46"/>
    </row>
    <row r="198" spans="1:11" ht="25.5" thickBot="1" x14ac:dyDescent="0.3">
      <c r="A198" s="63"/>
      <c r="B198" s="56" t="s">
        <v>77</v>
      </c>
      <c r="I198" s="11" t="s">
        <v>78</v>
      </c>
      <c r="K198" s="16" t="s">
        <v>20</v>
      </c>
    </row>
    <row r="199" spans="1:11" ht="21.75" thickBot="1" x14ac:dyDescent="0.4">
      <c r="A199" s="64"/>
      <c r="B199" s="57">
        <f>C199/3</f>
        <v>2841.4633333333336</v>
      </c>
      <c r="C199" s="2">
        <f>SUM(C190:C197)</f>
        <v>8524.3900000000012</v>
      </c>
      <c r="F199" s="2">
        <f>SUM(F190:F198)</f>
        <v>11601</v>
      </c>
      <c r="G199" s="2">
        <f>SUM(G190:G198)</f>
        <v>67069</v>
      </c>
      <c r="I199" s="12">
        <f>F199/3</f>
        <v>3867</v>
      </c>
      <c r="K199" s="34">
        <f>I199-SUM(K201:K206)</f>
        <v>1117</v>
      </c>
    </row>
    <row r="200" spans="1:11" ht="16.5" thickBot="1" x14ac:dyDescent="0.3">
      <c r="A200" s="60"/>
      <c r="B200" s="17" t="s">
        <v>61</v>
      </c>
      <c r="E200" s="16" t="s">
        <v>20</v>
      </c>
      <c r="I200" s="17" t="s">
        <v>65</v>
      </c>
    </row>
    <row r="201" spans="1:11" ht="19.5" thickBot="1" x14ac:dyDescent="0.35">
      <c r="A201" s="65"/>
      <c r="B201" s="58" t="s">
        <v>72</v>
      </c>
      <c r="C201" s="19">
        <v>0</v>
      </c>
      <c r="E201" s="34">
        <f>B199-SUM(C201:C206)</f>
        <v>-1623.5366666666664</v>
      </c>
      <c r="I201" s="18" t="s">
        <v>22</v>
      </c>
      <c r="J201" s="19"/>
      <c r="K201" s="19">
        <v>0</v>
      </c>
    </row>
    <row r="202" spans="1:11" ht="15.75" thickBot="1" x14ac:dyDescent="0.3">
      <c r="A202" s="65"/>
      <c r="B202" s="58" t="s">
        <v>75</v>
      </c>
      <c r="C202" s="19">
        <v>0</v>
      </c>
      <c r="E202" s="38" t="s">
        <v>47</v>
      </c>
      <c r="F202" s="36" t="s">
        <v>48</v>
      </c>
      <c r="G202" s="37" t="s">
        <v>49</v>
      </c>
      <c r="I202" s="18" t="s">
        <v>24</v>
      </c>
      <c r="J202" s="19"/>
      <c r="K202" s="19">
        <v>400</v>
      </c>
    </row>
    <row r="203" spans="1:11" x14ac:dyDescent="0.25">
      <c r="A203" s="65"/>
      <c r="B203" s="58" t="s">
        <v>83</v>
      </c>
      <c r="C203" s="19">
        <v>1649</v>
      </c>
      <c r="E203" s="35" t="s">
        <v>43</v>
      </c>
      <c r="F203" s="39">
        <f>C195/4</f>
        <v>0</v>
      </c>
      <c r="G203" s="39">
        <f>B199*0.1</f>
        <v>284.14633333333336</v>
      </c>
      <c r="I203" s="18" t="s">
        <v>83</v>
      </c>
      <c r="J203" s="19"/>
      <c r="K203" s="19">
        <v>2350</v>
      </c>
    </row>
    <row r="204" spans="1:11" x14ac:dyDescent="0.25">
      <c r="A204" s="65"/>
      <c r="B204" s="58" t="s">
        <v>22</v>
      </c>
      <c r="C204" s="19">
        <f>168+35</f>
        <v>203</v>
      </c>
      <c r="E204" s="31" t="s">
        <v>44</v>
      </c>
      <c r="F204" s="40">
        <f>C195*0.2</f>
        <v>0</v>
      </c>
      <c r="G204" s="40">
        <f>B199*0.05</f>
        <v>142.07316666666668</v>
      </c>
      <c r="I204" s="18" t="s">
        <v>58</v>
      </c>
      <c r="J204" s="19"/>
      <c r="K204" s="19">
        <v>0</v>
      </c>
    </row>
    <row r="205" spans="1:11" ht="15.75" thickBot="1" x14ac:dyDescent="0.3">
      <c r="A205" s="65"/>
      <c r="B205" s="58" t="s">
        <v>81</v>
      </c>
      <c r="C205" s="19">
        <f>152+170</f>
        <v>322</v>
      </c>
      <c r="E205" s="33" t="s">
        <v>45</v>
      </c>
      <c r="F205" s="41">
        <f>C195*0.15</f>
        <v>0</v>
      </c>
      <c r="G205" s="41">
        <f>B199*0.05</f>
        <v>142.07316666666668</v>
      </c>
      <c r="I205" s="53" t="s">
        <v>59</v>
      </c>
      <c r="J205" s="19"/>
      <c r="K205" s="19">
        <v>0</v>
      </c>
    </row>
    <row r="206" spans="1:11" ht="15.75" thickBot="1" x14ac:dyDescent="0.3">
      <c r="A206" s="65"/>
      <c r="B206" s="58" t="s">
        <v>79</v>
      </c>
      <c r="C206" s="19">
        <v>2291</v>
      </c>
      <c r="E206" s="32" t="s">
        <v>46</v>
      </c>
      <c r="F206" s="42">
        <f>C195/4</f>
        <v>0</v>
      </c>
      <c r="G206" s="42">
        <f>B199/4</f>
        <v>710.3658333333334</v>
      </c>
      <c r="H206" s="43">
        <f>SUM(G203:G206)</f>
        <v>1278.6585</v>
      </c>
      <c r="I206" s="18" t="s">
        <v>60</v>
      </c>
      <c r="J206" s="19"/>
      <c r="K206" s="19">
        <v>0</v>
      </c>
    </row>
    <row r="207" spans="1:11" ht="15.75" thickBot="1" x14ac:dyDescent="0.3"/>
    <row r="208" spans="1:11" ht="27" thickBot="1" x14ac:dyDescent="0.45">
      <c r="A208" s="61"/>
      <c r="B208" s="24" t="s">
        <v>66</v>
      </c>
      <c r="C208" s="24"/>
      <c r="D208" s="22"/>
      <c r="E208" s="24" t="s">
        <v>82</v>
      </c>
      <c r="F208" s="25"/>
      <c r="G208" s="47"/>
      <c r="H208" s="47"/>
      <c r="I208" s="48"/>
      <c r="J208" s="44"/>
    </row>
    <row r="209" spans="1:16" ht="15.75" thickBot="1" x14ac:dyDescent="0.3">
      <c r="A209" s="60"/>
      <c r="B209" s="27" t="s">
        <v>1</v>
      </c>
      <c r="C209" s="27" t="s">
        <v>2</v>
      </c>
      <c r="D209" s="27"/>
      <c r="E209" s="27" t="s">
        <v>6</v>
      </c>
      <c r="F209" s="27" t="s">
        <v>16</v>
      </c>
      <c r="G209" s="28" t="s">
        <v>39</v>
      </c>
      <c r="H209" s="49"/>
      <c r="I209" s="50" t="s">
        <v>54</v>
      </c>
      <c r="J209" s="51"/>
      <c r="K209" s="45"/>
    </row>
    <row r="210" spans="1:16" ht="21" x14ac:dyDescent="0.35">
      <c r="A210" s="59"/>
      <c r="B210" s="54" t="s">
        <v>8</v>
      </c>
      <c r="C210" s="7">
        <f>1700+7000</f>
        <v>8700</v>
      </c>
      <c r="D210" s="6"/>
      <c r="E210" s="6" t="s">
        <v>3</v>
      </c>
      <c r="F210" s="7">
        <f>4610.88-400-400-552.5</f>
        <v>3258.38</v>
      </c>
      <c r="G210" s="7">
        <f>9100-F210</f>
        <v>5841.62</v>
      </c>
      <c r="H210" s="8">
        <f>SUM(F210:G210)</f>
        <v>9100</v>
      </c>
      <c r="I210" s="46">
        <v>4889.12</v>
      </c>
      <c r="K210" s="30" t="s">
        <v>40</v>
      </c>
      <c r="M210" s="67">
        <f>I210+I212</f>
        <v>10544.56</v>
      </c>
    </row>
    <row r="211" spans="1:16" ht="19.5" thickBot="1" x14ac:dyDescent="0.35">
      <c r="A211" s="59"/>
      <c r="B211" s="54" t="s">
        <v>11</v>
      </c>
      <c r="C211" s="7">
        <f>4755.14-4500+12000-2350</f>
        <v>9905.14</v>
      </c>
      <c r="D211" s="6"/>
      <c r="E211" s="6" t="s">
        <v>41</v>
      </c>
      <c r="F211" s="7">
        <v>0</v>
      </c>
      <c r="G211" s="7">
        <v>0</v>
      </c>
      <c r="H211" s="8">
        <f>SUM(F211:G211)</f>
        <v>0</v>
      </c>
      <c r="I211" s="46">
        <v>0</v>
      </c>
      <c r="K211" s="29">
        <f>C219/15000</f>
        <v>3.0485473333333331</v>
      </c>
    </row>
    <row r="212" spans="1:16" x14ac:dyDescent="0.25">
      <c r="A212" s="59"/>
      <c r="B212" s="54" t="s">
        <v>57</v>
      </c>
      <c r="C212" s="7">
        <v>536</v>
      </c>
      <c r="D212" s="6"/>
      <c r="E212" s="6" t="s">
        <v>7</v>
      </c>
      <c r="F212" s="7">
        <v>370</v>
      </c>
      <c r="G212" s="7">
        <v>6529.88</v>
      </c>
      <c r="H212" s="8">
        <v>7000</v>
      </c>
      <c r="I212" s="46">
        <v>5655.44</v>
      </c>
    </row>
    <row r="213" spans="1:16" x14ac:dyDescent="0.25">
      <c r="A213" s="62"/>
      <c r="B213" s="55" t="s">
        <v>56</v>
      </c>
      <c r="C213" s="7">
        <v>550</v>
      </c>
      <c r="D213" s="6"/>
      <c r="E213" s="6" t="s">
        <v>13</v>
      </c>
      <c r="F213" s="7">
        <v>0</v>
      </c>
      <c r="G213" s="7">
        <f>35*1388</f>
        <v>48580</v>
      </c>
      <c r="H213" s="8">
        <f>G213+F213</f>
        <v>48580</v>
      </c>
      <c r="I213" s="46">
        <v>0</v>
      </c>
    </row>
    <row r="214" spans="1:16" x14ac:dyDescent="0.25">
      <c r="A214" s="59"/>
      <c r="B214" s="54" t="s">
        <v>55</v>
      </c>
      <c r="C214" s="7">
        <v>103</v>
      </c>
      <c r="D214" s="6"/>
      <c r="E214" s="6" t="s">
        <v>10</v>
      </c>
      <c r="F214" s="7">
        <v>5000</v>
      </c>
      <c r="G214" s="7">
        <v>0</v>
      </c>
      <c r="H214" s="8">
        <f>SUM(F214:G214)</f>
        <v>5000</v>
      </c>
      <c r="I214" s="46">
        <v>0</v>
      </c>
    </row>
    <row r="215" spans="1:16" ht="15.75" thickBot="1" x14ac:dyDescent="0.3">
      <c r="A215" s="59"/>
      <c r="B215" s="54" t="s">
        <v>51</v>
      </c>
      <c r="C215" s="7">
        <f>30000-3369.44-12000</f>
        <v>14630.560000000001</v>
      </c>
      <c r="D215" s="6"/>
      <c r="E215" s="6" t="s">
        <v>42</v>
      </c>
      <c r="F215" s="7">
        <v>0</v>
      </c>
      <c r="G215" s="7">
        <f>5120</f>
        <v>5120</v>
      </c>
      <c r="H215" s="8">
        <f>SUM(F215:G215)</f>
        <v>5120</v>
      </c>
      <c r="I215" s="46">
        <v>0</v>
      </c>
    </row>
    <row r="216" spans="1:16" ht="21.75" thickBot="1" x14ac:dyDescent="0.4">
      <c r="A216" s="59"/>
      <c r="B216" s="54" t="s">
        <v>50</v>
      </c>
      <c r="C216" s="7">
        <f>15729.01-15000</f>
        <v>729.01000000000022</v>
      </c>
      <c r="D216" s="6"/>
      <c r="E216" s="6" t="s">
        <v>12</v>
      </c>
      <c r="F216" s="7">
        <v>1520</v>
      </c>
      <c r="G216" s="7">
        <v>0</v>
      </c>
      <c r="H216" s="8">
        <f>SUM(F216:G216)</f>
        <v>1520</v>
      </c>
      <c r="I216" s="46">
        <v>0</v>
      </c>
      <c r="K216" s="66" t="s">
        <v>80</v>
      </c>
    </row>
    <row r="217" spans="1:16" ht="15.75" thickBot="1" x14ac:dyDescent="0.3">
      <c r="A217" s="59"/>
      <c r="B217" s="54" t="s">
        <v>86</v>
      </c>
      <c r="C217" s="68">
        <f>4478+100+K223-156+6000-400</f>
        <v>10574.5</v>
      </c>
      <c r="D217" s="6"/>
      <c r="E217" s="6"/>
      <c r="F217" s="6"/>
      <c r="G217" s="6"/>
      <c r="H217" s="6"/>
      <c r="I217" s="46"/>
      <c r="P217">
        <f>5000-420-20-12-30-40</f>
        <v>4478</v>
      </c>
    </row>
    <row r="218" spans="1:16" ht="25.5" thickBot="1" x14ac:dyDescent="0.3">
      <c r="A218" s="63"/>
      <c r="B218" s="56" t="s">
        <v>84</v>
      </c>
      <c r="I218" s="11" t="s">
        <v>85</v>
      </c>
      <c r="K218" s="16" t="s">
        <v>20</v>
      </c>
    </row>
    <row r="219" spans="1:16" ht="21.75" thickBot="1" x14ac:dyDescent="0.4">
      <c r="A219" s="64"/>
      <c r="B219" s="57">
        <f>C219/20</f>
        <v>2286.4105</v>
      </c>
      <c r="C219" s="2">
        <f>SUM(C210:C217)</f>
        <v>45728.21</v>
      </c>
      <c r="F219" s="2">
        <f>SUM(F210:F218)</f>
        <v>10148.380000000001</v>
      </c>
      <c r="G219" s="2">
        <f>SUM(G210:G218)</f>
        <v>66071.5</v>
      </c>
      <c r="I219" s="12">
        <f>F219/20</f>
        <v>507.41900000000004</v>
      </c>
      <c r="K219" s="34">
        <f>I219-SUM(K221:K226)</f>
        <v>-445.08099999999996</v>
      </c>
    </row>
    <row r="220" spans="1:16" ht="16.5" thickBot="1" x14ac:dyDescent="0.3">
      <c r="A220" s="60"/>
      <c r="B220" s="17" t="s">
        <v>61</v>
      </c>
      <c r="E220" s="16" t="s">
        <v>20</v>
      </c>
      <c r="I220" s="17" t="s">
        <v>65</v>
      </c>
    </row>
    <row r="221" spans="1:16" ht="19.5" thickBot="1" x14ac:dyDescent="0.35">
      <c r="A221" s="65"/>
      <c r="B221" s="58" t="s">
        <v>26</v>
      </c>
      <c r="C221" s="19">
        <v>363</v>
      </c>
      <c r="E221" s="34">
        <f>B219-SUM(C221:C226)</f>
        <v>676.41049999999996</v>
      </c>
      <c r="I221" s="18" t="s">
        <v>22</v>
      </c>
      <c r="J221" s="19"/>
      <c r="K221" s="19"/>
    </row>
    <row r="222" spans="1:16" ht="15.75" thickBot="1" x14ac:dyDescent="0.3">
      <c r="A222" s="65"/>
      <c r="B222" s="58" t="s">
        <v>75</v>
      </c>
      <c r="C222" s="19">
        <v>150</v>
      </c>
      <c r="E222" s="38" t="s">
        <v>47</v>
      </c>
      <c r="F222" s="36" t="s">
        <v>48</v>
      </c>
      <c r="G222" s="37" t="s">
        <v>49</v>
      </c>
      <c r="I222" s="18" t="s">
        <v>24</v>
      </c>
      <c r="J222" s="19"/>
      <c r="K222" s="19">
        <v>400</v>
      </c>
      <c r="L222" s="36" t="s">
        <v>48</v>
      </c>
      <c r="M222" s="36" t="s">
        <v>88</v>
      </c>
    </row>
    <row r="223" spans="1:16" x14ac:dyDescent="0.25">
      <c r="A223" s="65"/>
      <c r="B223" s="58" t="s">
        <v>89</v>
      </c>
      <c r="C223" s="19">
        <v>300</v>
      </c>
      <c r="E223" s="35" t="s">
        <v>43</v>
      </c>
      <c r="F223" s="39">
        <f>C215/4</f>
        <v>3657.6400000000003</v>
      </c>
      <c r="G223" s="39">
        <f>B219*0.1</f>
        <v>228.64105000000001</v>
      </c>
      <c r="I223" s="18" t="s">
        <v>87</v>
      </c>
      <c r="J223" s="19"/>
      <c r="K223" s="19">
        <v>552.5</v>
      </c>
      <c r="L223" s="39">
        <v>11345</v>
      </c>
      <c r="M223" s="39">
        <v>0</v>
      </c>
    </row>
    <row r="224" spans="1:16" x14ac:dyDescent="0.25">
      <c r="A224" s="65"/>
      <c r="B224" s="58" t="s">
        <v>22</v>
      </c>
      <c r="C224" s="19">
        <f>130+133+90+26+34+40+12+12+20</f>
        <v>497</v>
      </c>
      <c r="E224" s="31" t="s">
        <v>44</v>
      </c>
      <c r="F224" s="40">
        <f>C215*0.2</f>
        <v>2926.1120000000005</v>
      </c>
      <c r="G224" s="40">
        <f>B219*0.05</f>
        <v>114.320525</v>
      </c>
      <c r="I224" s="18" t="s">
        <v>58</v>
      </c>
      <c r="J224" s="19"/>
      <c r="K224" s="19"/>
      <c r="L224" s="40">
        <v>9076</v>
      </c>
      <c r="M224" s="40">
        <v>0</v>
      </c>
    </row>
    <row r="225" spans="1:13" ht="15.75" thickBot="1" x14ac:dyDescent="0.3">
      <c r="A225" s="65"/>
      <c r="B225" s="58" t="s">
        <v>91</v>
      </c>
      <c r="C225" s="19">
        <v>300</v>
      </c>
      <c r="E225" s="33" t="s">
        <v>45</v>
      </c>
      <c r="F225" s="41">
        <f>C215*0.15</f>
        <v>2194.5840000000003</v>
      </c>
      <c r="G225" s="41">
        <f>B219*0.05</f>
        <v>114.320525</v>
      </c>
      <c r="I225" s="53" t="s">
        <v>59</v>
      </c>
      <c r="J225" s="19"/>
      <c r="K225" s="19"/>
      <c r="L225" s="41">
        <v>6807</v>
      </c>
      <c r="M225" s="41">
        <v>0</v>
      </c>
    </row>
    <row r="226" spans="1:13" ht="15.75" thickBot="1" x14ac:dyDescent="0.3">
      <c r="A226" s="65"/>
      <c r="B226" s="58" t="s">
        <v>79</v>
      </c>
      <c r="C226" s="19"/>
      <c r="E226" s="32" t="s">
        <v>46</v>
      </c>
      <c r="F226" s="42">
        <f>C215/4</f>
        <v>3657.6400000000003</v>
      </c>
      <c r="G226" s="42">
        <f>B219/4</f>
        <v>571.60262499999999</v>
      </c>
      <c r="H226" s="43">
        <f>SUM(G223:G226)</f>
        <v>1028.8847249999999</v>
      </c>
      <c r="I226" s="18" t="s">
        <v>60</v>
      </c>
      <c r="J226" s="19"/>
      <c r="K226" s="19"/>
      <c r="L226" s="42">
        <v>11345</v>
      </c>
      <c r="M226" s="42">
        <f>L226-3369.44</f>
        <v>7975.5599999999995</v>
      </c>
    </row>
    <row r="227" spans="1:13" x14ac:dyDescent="0.25">
      <c r="B227" s="58" t="s">
        <v>90</v>
      </c>
      <c r="C227" s="19">
        <f>SUM(C221:C226)</f>
        <v>1610</v>
      </c>
      <c r="I227" s="18"/>
      <c r="J227" s="19"/>
      <c r="K227" s="19">
        <f>SUM(K221:K226)</f>
        <v>952.5</v>
      </c>
    </row>
    <row r="228" spans="1:13" ht="15.75" thickBot="1" x14ac:dyDescent="0.3"/>
    <row r="229" spans="1:13" ht="27" thickBot="1" x14ac:dyDescent="0.45">
      <c r="A229" s="61"/>
      <c r="B229" s="24" t="s">
        <v>66</v>
      </c>
      <c r="C229" s="24"/>
      <c r="D229" s="22"/>
      <c r="E229" s="24" t="s">
        <v>92</v>
      </c>
      <c r="F229" s="25"/>
      <c r="G229" s="47"/>
      <c r="H229" s="47"/>
      <c r="I229" s="48"/>
      <c r="J229" s="44"/>
    </row>
    <row r="230" spans="1:13" ht="15.75" thickBot="1" x14ac:dyDescent="0.3">
      <c r="A230" s="60"/>
      <c r="B230" s="27" t="s">
        <v>1</v>
      </c>
      <c r="C230" s="27" t="s">
        <v>2</v>
      </c>
      <c r="D230" s="27"/>
      <c r="E230" s="27" t="s">
        <v>6</v>
      </c>
      <c r="F230" s="27" t="s">
        <v>16</v>
      </c>
      <c r="G230" s="28" t="s">
        <v>39</v>
      </c>
      <c r="H230" s="49"/>
      <c r="I230" s="50" t="s">
        <v>54</v>
      </c>
      <c r="J230" s="51"/>
      <c r="K230" s="45"/>
    </row>
    <row r="231" spans="1:13" ht="21" x14ac:dyDescent="0.35">
      <c r="A231" s="59"/>
      <c r="B231" s="54" t="s">
        <v>8</v>
      </c>
      <c r="C231" s="7">
        <v>1220</v>
      </c>
      <c r="D231" s="6"/>
      <c r="E231" s="6" t="s">
        <v>3</v>
      </c>
      <c r="F231" s="7">
        <f>4610.88-400-400-552.5-400-150</f>
        <v>2708.38</v>
      </c>
      <c r="G231" s="7">
        <f>9100-F231</f>
        <v>6391.62</v>
      </c>
      <c r="H231" s="8">
        <f>SUM(F231:G231)</f>
        <v>9100</v>
      </c>
      <c r="I231" s="46">
        <v>4889.12</v>
      </c>
      <c r="K231" s="30" t="s">
        <v>40</v>
      </c>
      <c r="M231" s="67"/>
    </row>
    <row r="232" spans="1:13" ht="19.5" thickBot="1" x14ac:dyDescent="0.35">
      <c r="A232" s="59"/>
      <c r="B232" s="54" t="s">
        <v>11</v>
      </c>
      <c r="C232" s="7">
        <v>4270.1400000000003</v>
      </c>
      <c r="D232" s="6"/>
      <c r="E232" s="6" t="s">
        <v>41</v>
      </c>
      <c r="F232" s="7">
        <v>0</v>
      </c>
      <c r="G232" s="7">
        <v>0</v>
      </c>
      <c r="H232" s="8">
        <f>SUM(F232:G232)</f>
        <v>0</v>
      </c>
      <c r="I232" s="46">
        <v>0</v>
      </c>
      <c r="K232" s="29">
        <f>C240/15000</f>
        <v>1.5513713333333332</v>
      </c>
    </row>
    <row r="233" spans="1:13" x14ac:dyDescent="0.25">
      <c r="A233" s="59"/>
      <c r="B233" s="54" t="s">
        <v>57</v>
      </c>
      <c r="C233" s="7">
        <v>536</v>
      </c>
      <c r="D233" s="6"/>
      <c r="E233" s="6" t="s">
        <v>7</v>
      </c>
      <c r="F233" s="7">
        <v>6049.05</v>
      </c>
      <c r="G233" s="7">
        <f>7000-F233</f>
        <v>950.94999999999982</v>
      </c>
      <c r="H233" s="8">
        <v>7000</v>
      </c>
      <c r="I233" s="46">
        <v>5655.44</v>
      </c>
    </row>
    <row r="234" spans="1:13" x14ac:dyDescent="0.25">
      <c r="A234" s="62"/>
      <c r="B234" s="55" t="s">
        <v>56</v>
      </c>
      <c r="C234" s="7">
        <v>550</v>
      </c>
      <c r="D234" s="6"/>
      <c r="E234" s="6" t="s">
        <v>13</v>
      </c>
      <c r="F234" s="7">
        <v>0</v>
      </c>
      <c r="G234" s="7">
        <f>35*1388</f>
        <v>48580</v>
      </c>
      <c r="H234" s="8">
        <f>G234+F234</f>
        <v>48580</v>
      </c>
      <c r="I234" s="46">
        <v>0</v>
      </c>
    </row>
    <row r="235" spans="1:13" x14ac:dyDescent="0.25">
      <c r="A235" s="59"/>
      <c r="B235" s="54" t="s">
        <v>55</v>
      </c>
      <c r="C235" s="7">
        <v>103</v>
      </c>
      <c r="D235" s="6"/>
      <c r="E235" s="6" t="s">
        <v>10</v>
      </c>
      <c r="F235" s="7">
        <v>5000</v>
      </c>
      <c r="G235" s="7">
        <v>0</v>
      </c>
      <c r="H235" s="8">
        <f>SUM(F235:G235)</f>
        <v>5000</v>
      </c>
      <c r="I235" s="46">
        <v>0</v>
      </c>
    </row>
    <row r="236" spans="1:13" ht="15.75" thickBot="1" x14ac:dyDescent="0.3">
      <c r="A236" s="59"/>
      <c r="B236" s="54" t="s">
        <v>51</v>
      </c>
      <c r="C236" s="7">
        <v>0</v>
      </c>
      <c r="D236" s="6"/>
      <c r="E236" s="6" t="s">
        <v>42</v>
      </c>
      <c r="F236" s="7">
        <v>0</v>
      </c>
      <c r="G236" s="7">
        <v>0</v>
      </c>
      <c r="H236" s="8">
        <f>SUM(F236:G236)</f>
        <v>0</v>
      </c>
      <c r="I236" s="46">
        <v>0</v>
      </c>
    </row>
    <row r="237" spans="1:13" ht="21.75" thickBot="1" x14ac:dyDescent="0.4">
      <c r="A237" s="59"/>
      <c r="B237" s="54" t="s">
        <v>50</v>
      </c>
      <c r="C237" s="7">
        <v>5319.43</v>
      </c>
      <c r="D237" s="6"/>
      <c r="E237" s="6" t="s">
        <v>12</v>
      </c>
      <c r="F237" s="7">
        <v>1520</v>
      </c>
      <c r="G237" s="7">
        <v>0</v>
      </c>
      <c r="H237" s="8">
        <f>SUM(F237:G237)</f>
        <v>1520</v>
      </c>
      <c r="I237" s="46">
        <v>0</v>
      </c>
      <c r="K237" s="66" t="s">
        <v>80</v>
      </c>
    </row>
    <row r="238" spans="1:13" ht="15.75" thickBot="1" x14ac:dyDescent="0.3">
      <c r="A238" s="59"/>
      <c r="B238" s="54" t="s">
        <v>86</v>
      </c>
      <c r="C238" s="68">
        <f>4478+100+K244-156+6000-400+1250</f>
        <v>11272</v>
      </c>
      <c r="D238" s="6"/>
      <c r="E238" s="6"/>
      <c r="F238" s="6"/>
      <c r="G238" s="6"/>
      <c r="H238" s="6"/>
      <c r="I238" s="46"/>
    </row>
    <row r="239" spans="1:13" ht="25.5" thickBot="1" x14ac:dyDescent="0.3">
      <c r="A239" s="63"/>
      <c r="B239" s="56" t="s">
        <v>94</v>
      </c>
      <c r="I239" s="11" t="s">
        <v>95</v>
      </c>
      <c r="K239" s="16" t="s">
        <v>20</v>
      </c>
    </row>
    <row r="240" spans="1:13" ht="21.75" thickBot="1" x14ac:dyDescent="0.4">
      <c r="A240" s="64"/>
      <c r="B240" s="57">
        <f>C240/10</f>
        <v>2327.0569999999998</v>
      </c>
      <c r="C240" s="2">
        <f>SUM(C231:C238)</f>
        <v>23270.57</v>
      </c>
      <c r="F240" s="2">
        <f>SUM(F231:F239)</f>
        <v>15277.43</v>
      </c>
      <c r="G240" s="2">
        <f>SUM(G231:G239)</f>
        <v>55922.57</v>
      </c>
      <c r="I240" s="12">
        <f>F240/10</f>
        <v>1527.7429999999999</v>
      </c>
      <c r="K240" s="34">
        <f>I240-SUM(K242:K247)</f>
        <v>1377.7429999999999</v>
      </c>
    </row>
    <row r="241" spans="1:13" ht="16.5" thickBot="1" x14ac:dyDescent="0.3">
      <c r="A241" s="60"/>
      <c r="B241" s="17" t="s">
        <v>61</v>
      </c>
      <c r="E241" s="16" t="s">
        <v>20</v>
      </c>
      <c r="I241" s="17" t="s">
        <v>65</v>
      </c>
    </row>
    <row r="242" spans="1:13" ht="19.5" thickBot="1" x14ac:dyDescent="0.35">
      <c r="A242" s="65"/>
      <c r="B242" s="58" t="s">
        <v>93</v>
      </c>
      <c r="C242" s="19">
        <v>2018</v>
      </c>
      <c r="E242" s="34">
        <f>B240-SUM(C242:C247)</f>
        <v>29.056999999999789</v>
      </c>
      <c r="I242" s="18" t="s">
        <v>22</v>
      </c>
      <c r="J242" s="19"/>
      <c r="K242" s="19"/>
    </row>
    <row r="243" spans="1:13" ht="15.75" thickBot="1" x14ac:dyDescent="0.3">
      <c r="A243" s="65"/>
      <c r="B243" s="58" t="s">
        <v>75</v>
      </c>
      <c r="C243" s="19">
        <v>0</v>
      </c>
      <c r="E243" s="38" t="s">
        <v>47</v>
      </c>
      <c r="F243" s="36" t="s">
        <v>48</v>
      </c>
      <c r="G243" s="37" t="s">
        <v>49</v>
      </c>
      <c r="I243" s="18" t="s">
        <v>24</v>
      </c>
      <c r="J243" s="19"/>
      <c r="K243" s="19">
        <v>150</v>
      </c>
      <c r="L243" s="36" t="s">
        <v>48</v>
      </c>
      <c r="M243" s="36" t="s">
        <v>88</v>
      </c>
    </row>
    <row r="244" spans="1:13" x14ac:dyDescent="0.25">
      <c r="A244" s="65"/>
      <c r="B244" s="58" t="s">
        <v>73</v>
      </c>
      <c r="C244" s="19">
        <v>100</v>
      </c>
      <c r="E244" s="35" t="s">
        <v>43</v>
      </c>
      <c r="F244" s="39">
        <f>C236/4</f>
        <v>0</v>
      </c>
      <c r="G244" s="39">
        <f>E242*0.2</f>
        <v>5.8113999999999582</v>
      </c>
      <c r="I244" s="18" t="s">
        <v>87</v>
      </c>
      <c r="J244" s="19"/>
      <c r="K244" s="19">
        <v>0</v>
      </c>
      <c r="L244" s="39">
        <v>11345</v>
      </c>
      <c r="M244" s="39">
        <v>0</v>
      </c>
    </row>
    <row r="245" spans="1:13" x14ac:dyDescent="0.25">
      <c r="A245" s="65"/>
      <c r="B245" s="58" t="s">
        <v>22</v>
      </c>
      <c r="C245" s="19">
        <v>180</v>
      </c>
      <c r="E245" s="31" t="s">
        <v>44</v>
      </c>
      <c r="F245" s="40">
        <f>C236*0.2</f>
        <v>0</v>
      </c>
      <c r="G245" s="40">
        <f>E242*0.2</f>
        <v>5.8113999999999582</v>
      </c>
      <c r="I245" s="18" t="s">
        <v>58</v>
      </c>
      <c r="J245" s="19"/>
      <c r="K245" s="19"/>
      <c r="L245" s="40">
        <v>9076</v>
      </c>
      <c r="M245" s="40">
        <v>0</v>
      </c>
    </row>
    <row r="246" spans="1:13" ht="15.75" thickBot="1" x14ac:dyDescent="0.3">
      <c r="A246" s="65"/>
      <c r="B246" s="58" t="s">
        <v>91</v>
      </c>
      <c r="C246" s="19">
        <v>0</v>
      </c>
      <c r="E246" s="33" t="s">
        <v>45</v>
      </c>
      <c r="F246" s="41">
        <f>C236*0.15</f>
        <v>0</v>
      </c>
      <c r="G246" s="41">
        <f>E242*0.25</f>
        <v>7.2642499999999472</v>
      </c>
      <c r="I246" s="53" t="s">
        <v>59</v>
      </c>
      <c r="J246" s="19"/>
      <c r="K246" s="19"/>
      <c r="L246" s="41">
        <v>6807</v>
      </c>
      <c r="M246" s="41">
        <v>0</v>
      </c>
    </row>
    <row r="247" spans="1:13" ht="15.75" thickBot="1" x14ac:dyDescent="0.3">
      <c r="A247" s="65"/>
      <c r="B247" s="58" t="s">
        <v>79</v>
      </c>
      <c r="C247" s="19"/>
      <c r="E247" s="32" t="s">
        <v>46</v>
      </c>
      <c r="F247" s="42">
        <f>C236/4</f>
        <v>0</v>
      </c>
      <c r="G247" s="42">
        <f>E242/4</f>
        <v>7.2642499999999472</v>
      </c>
      <c r="H247" s="43">
        <f>SUM(G244:G247)</f>
        <v>26.151299999999811</v>
      </c>
      <c r="I247" s="18" t="s">
        <v>60</v>
      </c>
      <c r="J247" s="19"/>
      <c r="K247" s="19"/>
      <c r="L247" s="42">
        <v>11345</v>
      </c>
      <c r="M247" s="42">
        <f>L247-3369.44</f>
        <v>7975.5599999999995</v>
      </c>
    </row>
    <row r="248" spans="1:13" x14ac:dyDescent="0.25">
      <c r="B248" s="58" t="s">
        <v>90</v>
      </c>
      <c r="C248" s="19">
        <f>SUM(C242:C247)</f>
        <v>2298</v>
      </c>
      <c r="I248" s="18" t="s">
        <v>90</v>
      </c>
      <c r="J248" s="19"/>
      <c r="K248" s="19">
        <f>SUM(K242:K247)</f>
        <v>150</v>
      </c>
    </row>
    <row r="249" spans="1:13" ht="15.75" thickBot="1" x14ac:dyDescent="0.3"/>
    <row r="250" spans="1:13" ht="27" thickBot="1" x14ac:dyDescent="0.45">
      <c r="A250" s="61"/>
      <c r="B250" s="24" t="s">
        <v>66</v>
      </c>
      <c r="C250" s="24"/>
      <c r="D250" s="22"/>
      <c r="E250" s="24" t="s">
        <v>96</v>
      </c>
      <c r="F250" s="25"/>
      <c r="G250" s="47"/>
      <c r="H250" s="47"/>
      <c r="I250" s="48"/>
      <c r="J250" s="44"/>
    </row>
    <row r="251" spans="1:13" ht="15.75" thickBot="1" x14ac:dyDescent="0.3">
      <c r="A251" s="60"/>
      <c r="B251" s="27" t="s">
        <v>1</v>
      </c>
      <c r="C251" s="27" t="s">
        <v>2</v>
      </c>
      <c r="D251" s="27"/>
      <c r="E251" s="27" t="s">
        <v>6</v>
      </c>
      <c r="F251" s="27" t="s">
        <v>16</v>
      </c>
      <c r="G251" s="28" t="s">
        <v>39</v>
      </c>
      <c r="H251" s="49"/>
      <c r="I251" s="50" t="s">
        <v>54</v>
      </c>
      <c r="J251" s="51"/>
      <c r="K251" s="45"/>
    </row>
    <row r="252" spans="1:13" ht="21" x14ac:dyDescent="0.35">
      <c r="A252" s="59"/>
      <c r="B252" s="54" t="s">
        <v>8</v>
      </c>
      <c r="C252" s="7">
        <v>1800</v>
      </c>
      <c r="D252" s="6"/>
      <c r="E252" s="6" t="s">
        <v>3</v>
      </c>
      <c r="F252" s="7">
        <f>4610.88-400-400-552.5-400-150-2168</f>
        <v>540.38000000000011</v>
      </c>
      <c r="G252" s="7">
        <f>9100-F252</f>
        <v>8559.619999999999</v>
      </c>
      <c r="H252" s="8">
        <f>SUM(F252:G252)</f>
        <v>9100</v>
      </c>
      <c r="I252" s="46">
        <v>4889.12</v>
      </c>
      <c r="K252" s="30" t="s">
        <v>40</v>
      </c>
      <c r="M252" s="67"/>
    </row>
    <row r="253" spans="1:13" ht="19.5" thickBot="1" x14ac:dyDescent="0.35">
      <c r="A253" s="59"/>
      <c r="B253" s="54" t="s">
        <v>11</v>
      </c>
      <c r="C253" s="7">
        <v>4270.1400000000003</v>
      </c>
      <c r="D253" s="6"/>
      <c r="E253" s="6" t="s">
        <v>41</v>
      </c>
      <c r="F253" s="7">
        <v>0</v>
      </c>
      <c r="G253" s="7">
        <v>0</v>
      </c>
      <c r="H253" s="8">
        <f>SUM(F253:G253)</f>
        <v>0</v>
      </c>
      <c r="I253" s="46">
        <v>0</v>
      </c>
      <c r="K253" s="29">
        <f>C261/15000</f>
        <v>1.4229846666666668</v>
      </c>
    </row>
    <row r="254" spans="1:13" x14ac:dyDescent="0.25">
      <c r="A254" s="59"/>
      <c r="B254" s="54" t="s">
        <v>57</v>
      </c>
      <c r="C254" s="7">
        <v>536</v>
      </c>
      <c r="D254" s="6"/>
      <c r="E254" s="6" t="s">
        <v>7</v>
      </c>
      <c r="F254" s="7">
        <v>6049.05</v>
      </c>
      <c r="G254" s="7">
        <f>7000-F254</f>
        <v>950.94999999999982</v>
      </c>
      <c r="H254" s="8">
        <v>7000</v>
      </c>
      <c r="I254" s="46">
        <v>5655.44</v>
      </c>
    </row>
    <row r="255" spans="1:13" x14ac:dyDescent="0.25">
      <c r="A255" s="62"/>
      <c r="B255" s="55" t="s">
        <v>56</v>
      </c>
      <c r="C255" s="7">
        <v>550</v>
      </c>
      <c r="D255" s="6"/>
      <c r="E255" s="6" t="s">
        <v>13</v>
      </c>
      <c r="F255" s="7">
        <v>0</v>
      </c>
      <c r="G255" s="7">
        <f>34*1388</f>
        <v>47192</v>
      </c>
      <c r="H255" s="8">
        <f>G255+F255</f>
        <v>47192</v>
      </c>
      <c r="I255" s="46">
        <v>0</v>
      </c>
    </row>
    <row r="256" spans="1:13" x14ac:dyDescent="0.25">
      <c r="A256" s="59"/>
      <c r="B256" s="54" t="s">
        <v>55</v>
      </c>
      <c r="C256" s="7">
        <v>103</v>
      </c>
      <c r="D256" s="6"/>
      <c r="E256" s="6" t="s">
        <v>10</v>
      </c>
      <c r="F256" s="7">
        <v>5000</v>
      </c>
      <c r="G256" s="7">
        <v>0</v>
      </c>
      <c r="H256" s="8">
        <f>SUM(F256:G256)</f>
        <v>5000</v>
      </c>
      <c r="I256" s="46">
        <v>0</v>
      </c>
    </row>
    <row r="257" spans="1:13" ht="15.75" thickBot="1" x14ac:dyDescent="0.3">
      <c r="A257" s="59"/>
      <c r="B257" s="54" t="s">
        <v>51</v>
      </c>
      <c r="C257" s="7">
        <v>0</v>
      </c>
      <c r="D257" s="6"/>
      <c r="E257" s="6" t="s">
        <v>42</v>
      </c>
      <c r="F257" s="7">
        <v>0</v>
      </c>
      <c r="G257" s="7">
        <v>0</v>
      </c>
      <c r="H257" s="8">
        <f>SUM(F257:G257)</f>
        <v>0</v>
      </c>
      <c r="I257" s="46">
        <v>0</v>
      </c>
    </row>
    <row r="258" spans="1:13" ht="21.75" thickBot="1" x14ac:dyDescent="0.4">
      <c r="A258" s="59"/>
      <c r="B258" s="54" t="s">
        <v>50</v>
      </c>
      <c r="C258" s="7">
        <f>5319.43-505.8-4000</f>
        <v>813.63000000000011</v>
      </c>
      <c r="D258" s="6"/>
      <c r="E258" s="6" t="s">
        <v>12</v>
      </c>
      <c r="F258" s="7">
        <v>1520</v>
      </c>
      <c r="G258" s="7">
        <v>0</v>
      </c>
      <c r="H258" s="8">
        <f>SUM(F258:G258)</f>
        <v>1520</v>
      </c>
      <c r="I258" s="46">
        <v>0</v>
      </c>
      <c r="K258" s="66" t="s">
        <v>80</v>
      </c>
    </row>
    <row r="259" spans="1:13" ht="15.75" thickBot="1" x14ac:dyDescent="0.3">
      <c r="A259" s="59"/>
      <c r="B259" s="54" t="s">
        <v>86</v>
      </c>
      <c r="C259" s="68">
        <f>4478+100+K265-156+6000-400+1250+2000</f>
        <v>13272</v>
      </c>
      <c r="D259" s="6"/>
      <c r="E259" s="6"/>
      <c r="F259" s="6"/>
      <c r="G259" s="6"/>
      <c r="H259" s="6"/>
      <c r="I259" s="46"/>
    </row>
    <row r="260" spans="1:13" ht="25.5" thickBot="1" x14ac:dyDescent="0.3">
      <c r="A260" s="63"/>
      <c r="B260" s="56" t="s">
        <v>52</v>
      </c>
      <c r="I260" s="11" t="s">
        <v>53</v>
      </c>
      <c r="K260" s="16" t="s">
        <v>20</v>
      </c>
    </row>
    <row r="261" spans="1:13" ht="21.75" thickBot="1" x14ac:dyDescent="0.4">
      <c r="A261" s="64"/>
      <c r="B261" s="57">
        <f>C261/9</f>
        <v>2371.6411111111111</v>
      </c>
      <c r="C261" s="2">
        <f>SUM(C252:C259)</f>
        <v>21344.77</v>
      </c>
      <c r="F261" s="2">
        <f>SUM(F252:F260)</f>
        <v>13109.43</v>
      </c>
      <c r="G261" s="2">
        <f>SUM(G252:G260)</f>
        <v>56702.57</v>
      </c>
      <c r="I261" s="12">
        <f>F261/9</f>
        <v>1456.6033333333335</v>
      </c>
      <c r="K261" s="34">
        <f>I261-SUM(K263:K268)</f>
        <v>-711.39666666666653</v>
      </c>
    </row>
    <row r="262" spans="1:13" ht="16.5" thickBot="1" x14ac:dyDescent="0.3">
      <c r="A262" s="60"/>
      <c r="B262" s="17" t="s">
        <v>61</v>
      </c>
      <c r="E262" s="16" t="s">
        <v>20</v>
      </c>
      <c r="I262" s="17" t="s">
        <v>65</v>
      </c>
    </row>
    <row r="263" spans="1:13" ht="19.5" thickBot="1" x14ac:dyDescent="0.35">
      <c r="A263" s="65"/>
      <c r="B263" s="58" t="s">
        <v>98</v>
      </c>
      <c r="C263" s="19">
        <v>500</v>
      </c>
      <c r="E263" s="34">
        <f>B261-SUM(C263:C268)</f>
        <v>781.64111111111106</v>
      </c>
      <c r="I263" s="18" t="s">
        <v>97</v>
      </c>
      <c r="J263" s="19"/>
      <c r="K263" s="19">
        <v>2168</v>
      </c>
    </row>
    <row r="264" spans="1:13" ht="15.75" thickBot="1" x14ac:dyDescent="0.3">
      <c r="A264" s="65"/>
      <c r="B264" s="58" t="s">
        <v>75</v>
      </c>
      <c r="C264" s="19">
        <v>300</v>
      </c>
      <c r="E264" s="38" t="s">
        <v>47</v>
      </c>
      <c r="F264" s="36" t="s">
        <v>48</v>
      </c>
      <c r="G264" s="37" t="s">
        <v>49</v>
      </c>
      <c r="I264" s="18" t="s">
        <v>24</v>
      </c>
      <c r="J264" s="19"/>
      <c r="K264" s="19">
        <v>0</v>
      </c>
      <c r="L264" s="36" t="s">
        <v>48</v>
      </c>
      <c r="M264" s="36" t="s">
        <v>88</v>
      </c>
    </row>
    <row r="265" spans="1:13" x14ac:dyDescent="0.25">
      <c r="A265" s="65"/>
      <c r="B265" s="58" t="s">
        <v>73</v>
      </c>
      <c r="C265" s="19">
        <v>200</v>
      </c>
      <c r="E265" s="35" t="s">
        <v>43</v>
      </c>
      <c r="F265" s="39">
        <f>C257/4</f>
        <v>0</v>
      </c>
      <c r="G265" s="39">
        <f>E263*0.2</f>
        <v>156.32822222222222</v>
      </c>
      <c r="I265" s="18" t="s">
        <v>87</v>
      </c>
      <c r="J265" s="19"/>
      <c r="K265" s="19">
        <v>0</v>
      </c>
      <c r="L265" s="39">
        <v>11345</v>
      </c>
      <c r="M265" s="39">
        <v>0</v>
      </c>
    </row>
    <row r="266" spans="1:13" x14ac:dyDescent="0.25">
      <c r="A266" s="65"/>
      <c r="B266" s="58" t="s">
        <v>22</v>
      </c>
      <c r="C266" s="19">
        <f>250+85</f>
        <v>335</v>
      </c>
      <c r="E266" s="31" t="s">
        <v>44</v>
      </c>
      <c r="F266" s="40">
        <f>C257*0.2</f>
        <v>0</v>
      </c>
      <c r="G266" s="40">
        <f>E263*0.2</f>
        <v>156.32822222222222</v>
      </c>
      <c r="I266" s="18" t="s">
        <v>58</v>
      </c>
      <c r="J266" s="19"/>
      <c r="K266" s="19"/>
      <c r="L266" s="40">
        <v>9076</v>
      </c>
      <c r="M266" s="40">
        <v>0</v>
      </c>
    </row>
    <row r="267" spans="1:13" ht="15.75" thickBot="1" x14ac:dyDescent="0.3">
      <c r="A267" s="65"/>
      <c r="B267" s="58" t="s">
        <v>99</v>
      </c>
      <c r="C267" s="19">
        <v>50</v>
      </c>
      <c r="E267" s="33" t="s">
        <v>45</v>
      </c>
      <c r="F267" s="41">
        <f>C257*0.15</f>
        <v>0</v>
      </c>
      <c r="G267" s="41">
        <f>E263*0.25</f>
        <v>195.41027777777776</v>
      </c>
      <c r="I267" s="53" t="s">
        <v>59</v>
      </c>
      <c r="J267" s="19"/>
      <c r="K267" s="19"/>
      <c r="L267" s="41">
        <v>6807</v>
      </c>
      <c r="M267" s="41">
        <v>0</v>
      </c>
    </row>
    <row r="268" spans="1:13" ht="15.75" thickBot="1" x14ac:dyDescent="0.3">
      <c r="A268" s="65"/>
      <c r="B268" s="58" t="s">
        <v>79</v>
      </c>
      <c r="C268" s="19">
        <v>205</v>
      </c>
      <c r="E268" s="32" t="s">
        <v>46</v>
      </c>
      <c r="F268" s="42">
        <f>C257/4</f>
        <v>0</v>
      </c>
      <c r="G268" s="42">
        <f>E263/4</f>
        <v>195.41027777777776</v>
      </c>
      <c r="H268" s="43">
        <f>SUM(G265:G268)</f>
        <v>703.47699999999998</v>
      </c>
      <c r="I268" s="18" t="s">
        <v>60</v>
      </c>
      <c r="J268" s="19"/>
      <c r="K268" s="19"/>
      <c r="L268" s="42">
        <v>11345</v>
      </c>
      <c r="M268" s="42">
        <f>L268-3369.44</f>
        <v>7975.5599999999995</v>
      </c>
    </row>
    <row r="269" spans="1:13" x14ac:dyDescent="0.25">
      <c r="B269" s="58" t="s">
        <v>90</v>
      </c>
      <c r="C269" s="19">
        <f>SUM(C263:C268)</f>
        <v>1590</v>
      </c>
      <c r="I269" s="18" t="s">
        <v>90</v>
      </c>
      <c r="J269" s="19"/>
      <c r="K269" s="19">
        <f>SUM(K263:K268)</f>
        <v>2168</v>
      </c>
    </row>
    <row r="271" spans="1:13" ht="15.75" thickBot="1" x14ac:dyDescent="0.3"/>
    <row r="272" spans="1:13" ht="27" thickBot="1" x14ac:dyDescent="0.45">
      <c r="A272" s="61"/>
      <c r="B272" s="24" t="s">
        <v>100</v>
      </c>
      <c r="C272" s="24"/>
      <c r="D272" s="22"/>
      <c r="E272" s="24" t="s">
        <v>96</v>
      </c>
      <c r="F272" s="25"/>
      <c r="G272" s="47"/>
      <c r="H272" s="47"/>
      <c r="I272" s="48"/>
      <c r="J272" s="44"/>
    </row>
    <row r="273" spans="1:13" ht="15.75" thickBot="1" x14ac:dyDescent="0.3">
      <c r="A273" s="60"/>
      <c r="B273" s="27" t="s">
        <v>1</v>
      </c>
      <c r="C273" s="27" t="s">
        <v>2</v>
      </c>
      <c r="D273" s="27"/>
      <c r="E273" s="27" t="s">
        <v>6</v>
      </c>
      <c r="F273" s="27" t="s">
        <v>16</v>
      </c>
      <c r="G273" s="28" t="s">
        <v>39</v>
      </c>
      <c r="H273" s="49"/>
      <c r="I273" s="50" t="s">
        <v>54</v>
      </c>
      <c r="J273" s="51"/>
      <c r="K273" s="45"/>
    </row>
    <row r="274" spans="1:13" ht="21" x14ac:dyDescent="0.35">
      <c r="A274" s="59"/>
      <c r="B274" s="54" t="s">
        <v>8</v>
      </c>
      <c r="C274" s="7">
        <v>9000</v>
      </c>
      <c r="D274" s="6"/>
      <c r="E274" s="6" t="s">
        <v>101</v>
      </c>
      <c r="F274" s="7">
        <v>1538</v>
      </c>
      <c r="G274" s="7">
        <f>H274-F274</f>
        <v>13462</v>
      </c>
      <c r="H274" s="8">
        <v>15000</v>
      </c>
      <c r="I274" s="46">
        <v>4889.12</v>
      </c>
      <c r="K274" s="30" t="s">
        <v>40</v>
      </c>
      <c r="M274" s="67"/>
    </row>
    <row r="275" spans="1:13" ht="19.5" thickBot="1" x14ac:dyDescent="0.35">
      <c r="A275" s="59"/>
      <c r="B275" s="54"/>
      <c r="C275" s="7"/>
      <c r="D275" s="6"/>
      <c r="E275" s="6" t="s">
        <v>3</v>
      </c>
      <c r="F275" s="7">
        <v>8531.4599999999991</v>
      </c>
      <c r="G275" s="7">
        <f>9100-F275</f>
        <v>568.54000000000087</v>
      </c>
      <c r="H275" s="8">
        <f>SUM(F275:G275)</f>
        <v>9100</v>
      </c>
      <c r="I275" s="46">
        <v>4889.12</v>
      </c>
      <c r="K275" s="29">
        <f>C284/15000</f>
        <v>2.2277773333333335</v>
      </c>
    </row>
    <row r="276" spans="1:13" x14ac:dyDescent="0.25">
      <c r="A276" s="59"/>
      <c r="B276" s="54" t="s">
        <v>11</v>
      </c>
      <c r="C276" s="7">
        <v>0</v>
      </c>
      <c r="D276" s="6"/>
      <c r="E276" s="6" t="s">
        <v>41</v>
      </c>
      <c r="F276" s="7">
        <v>0</v>
      </c>
      <c r="G276" s="7">
        <v>0</v>
      </c>
      <c r="H276" s="8">
        <f>SUM(F276:G276)</f>
        <v>0</v>
      </c>
      <c r="I276" s="46">
        <v>0</v>
      </c>
    </row>
    <row r="277" spans="1:13" x14ac:dyDescent="0.25">
      <c r="A277" s="59"/>
      <c r="B277" s="54" t="s">
        <v>57</v>
      </c>
      <c r="C277" s="7">
        <v>0</v>
      </c>
      <c r="D277" s="6"/>
      <c r="E277" s="6" t="s">
        <v>7</v>
      </c>
      <c r="F277" s="7">
        <v>5000</v>
      </c>
      <c r="G277" s="7">
        <f>10000-F277</f>
        <v>5000</v>
      </c>
      <c r="H277" s="8">
        <v>10000</v>
      </c>
      <c r="I277" s="46">
        <v>5655.44</v>
      </c>
    </row>
    <row r="278" spans="1:13" x14ac:dyDescent="0.25">
      <c r="A278" s="62"/>
      <c r="B278" s="55" t="s">
        <v>56</v>
      </c>
      <c r="C278" s="7">
        <v>0</v>
      </c>
      <c r="D278" s="6"/>
      <c r="E278" s="6" t="s">
        <v>13</v>
      </c>
      <c r="F278" s="7">
        <v>0</v>
      </c>
      <c r="G278" s="7">
        <f>34*1388</f>
        <v>47192</v>
      </c>
      <c r="H278" s="8">
        <f>G278+F278</f>
        <v>47192</v>
      </c>
      <c r="I278" s="46">
        <v>0</v>
      </c>
    </row>
    <row r="279" spans="1:13" ht="15.75" thickBot="1" x14ac:dyDescent="0.3">
      <c r="A279" s="59"/>
      <c r="B279" s="54" t="s">
        <v>55</v>
      </c>
      <c r="C279" s="7">
        <v>0</v>
      </c>
      <c r="D279" s="6"/>
      <c r="E279" s="6" t="s">
        <v>10</v>
      </c>
      <c r="F279" s="7">
        <v>0</v>
      </c>
      <c r="G279" s="7">
        <v>0</v>
      </c>
      <c r="H279" s="8">
        <f>SUM(F279:G279)</f>
        <v>0</v>
      </c>
      <c r="I279" s="46">
        <v>0</v>
      </c>
    </row>
    <row r="280" spans="1:13" ht="21.75" thickBot="1" x14ac:dyDescent="0.4">
      <c r="A280" s="59"/>
      <c r="B280" s="54" t="s">
        <v>51</v>
      </c>
      <c r="C280" s="7">
        <f>30416.66-12000</f>
        <v>18416.66</v>
      </c>
      <c r="D280" s="6"/>
      <c r="E280" s="6" t="s">
        <v>42</v>
      </c>
      <c r="F280" s="7">
        <v>0</v>
      </c>
      <c r="G280" s="7">
        <v>0</v>
      </c>
      <c r="H280" s="8">
        <f>SUM(F280:G280)</f>
        <v>0</v>
      </c>
      <c r="I280" s="46">
        <v>0</v>
      </c>
      <c r="K280" s="66" t="s">
        <v>80</v>
      </c>
    </row>
    <row r="281" spans="1:13" ht="15.75" thickBot="1" x14ac:dyDescent="0.3">
      <c r="A281" s="59"/>
      <c r="B281" s="54" t="s">
        <v>50</v>
      </c>
      <c r="C281" s="7">
        <v>0</v>
      </c>
      <c r="D281" s="6"/>
      <c r="E281" s="6" t="s">
        <v>12</v>
      </c>
      <c r="F281" s="7">
        <v>1520</v>
      </c>
      <c r="G281" s="7">
        <v>0</v>
      </c>
      <c r="H281" s="8">
        <f>SUM(F281:G281)</f>
        <v>1520</v>
      </c>
      <c r="I281" s="46">
        <v>0</v>
      </c>
    </row>
    <row r="282" spans="1:13" ht="16.5" thickBot="1" x14ac:dyDescent="0.3">
      <c r="A282" s="59"/>
      <c r="B282" s="54" t="s">
        <v>86</v>
      </c>
      <c r="C282" s="68">
        <v>15000</v>
      </c>
      <c r="D282" s="6"/>
      <c r="E282" s="6"/>
      <c r="F282" s="6"/>
      <c r="G282" s="6"/>
      <c r="H282" s="6"/>
      <c r="I282" s="46"/>
      <c r="K282" s="16" t="s">
        <v>20</v>
      </c>
    </row>
    <row r="283" spans="1:13" ht="26.25" thickBot="1" x14ac:dyDescent="0.35">
      <c r="A283" s="63"/>
      <c r="B283" s="56" t="s">
        <v>102</v>
      </c>
      <c r="I283" s="11" t="s">
        <v>53</v>
      </c>
      <c r="K283" s="34">
        <f>I284-SUM(K285:K290)</f>
        <v>-495.6155555555556</v>
      </c>
    </row>
    <row r="284" spans="1:13" ht="21.75" thickBot="1" x14ac:dyDescent="0.4">
      <c r="A284" s="64"/>
      <c r="B284" s="57">
        <f>C284/8</f>
        <v>4177.0825000000004</v>
      </c>
      <c r="C284" s="2">
        <f>SUM(C275:C282)</f>
        <v>33416.660000000003</v>
      </c>
      <c r="F284" s="2">
        <f>SUM(F275:F283)</f>
        <v>15051.46</v>
      </c>
      <c r="G284" s="2">
        <f>SUM(G275:G283)</f>
        <v>52760.54</v>
      </c>
      <c r="I284" s="12">
        <f>F284/9</f>
        <v>1672.3844444444444</v>
      </c>
    </row>
    <row r="285" spans="1:13" ht="16.5" thickBot="1" x14ac:dyDescent="0.3">
      <c r="A285" s="60"/>
      <c r="B285" s="17" t="s">
        <v>61</v>
      </c>
      <c r="E285" s="16" t="s">
        <v>20</v>
      </c>
      <c r="I285" s="17" t="s">
        <v>65</v>
      </c>
      <c r="K285" s="19">
        <v>2168</v>
      </c>
    </row>
    <row r="286" spans="1:13" ht="19.5" thickBot="1" x14ac:dyDescent="0.35">
      <c r="A286" s="65"/>
      <c r="B286" s="58" t="s">
        <v>98</v>
      </c>
      <c r="C286" s="19">
        <v>0</v>
      </c>
      <c r="E286" s="34">
        <f>B284-SUM(C286:C291)</f>
        <v>4177.0825000000004</v>
      </c>
      <c r="I286" s="18" t="s">
        <v>97</v>
      </c>
      <c r="J286" s="19"/>
      <c r="K286" s="19">
        <v>0</v>
      </c>
      <c r="L286" s="36" t="s">
        <v>48</v>
      </c>
      <c r="M286" s="36" t="s">
        <v>88</v>
      </c>
    </row>
    <row r="287" spans="1:13" ht="15.75" thickBot="1" x14ac:dyDescent="0.3">
      <c r="A287" s="65"/>
      <c r="B287" s="58" t="s">
        <v>75</v>
      </c>
      <c r="C287" s="19">
        <v>0</v>
      </c>
      <c r="E287" s="38" t="s">
        <v>47</v>
      </c>
      <c r="F287" s="36" t="s">
        <v>48</v>
      </c>
      <c r="G287" s="37" t="s">
        <v>49</v>
      </c>
      <c r="I287" s="18" t="s">
        <v>24</v>
      </c>
      <c r="J287" s="19"/>
      <c r="K287" s="19">
        <v>0</v>
      </c>
      <c r="L287" s="39">
        <v>11345</v>
      </c>
      <c r="M287" s="39">
        <v>0</v>
      </c>
    </row>
    <row r="288" spans="1:13" x14ac:dyDescent="0.25">
      <c r="A288" s="65"/>
      <c r="B288" s="58" t="s">
        <v>73</v>
      </c>
      <c r="C288" s="19">
        <v>0</v>
      </c>
      <c r="E288" s="35" t="s">
        <v>43</v>
      </c>
      <c r="F288" s="39">
        <f>C280/4</f>
        <v>4604.165</v>
      </c>
      <c r="G288" s="39">
        <f>E286*0.2</f>
        <v>835.41650000000016</v>
      </c>
      <c r="I288" s="18" t="s">
        <v>87</v>
      </c>
      <c r="J288" s="19"/>
      <c r="K288" s="19"/>
      <c r="L288" s="40">
        <v>9076</v>
      </c>
      <c r="M288" s="40">
        <v>0</v>
      </c>
    </row>
    <row r="289" spans="1:13" x14ac:dyDescent="0.25">
      <c r="A289" s="65"/>
      <c r="B289" s="58" t="s">
        <v>22</v>
      </c>
      <c r="C289" s="19">
        <v>0</v>
      </c>
      <c r="E289" s="31" t="s">
        <v>44</v>
      </c>
      <c r="F289" s="40">
        <f>C280*0.2</f>
        <v>3683.3320000000003</v>
      </c>
      <c r="G289" s="40">
        <f>E286*0.2</f>
        <v>835.41650000000016</v>
      </c>
      <c r="I289" s="18" t="s">
        <v>58</v>
      </c>
      <c r="J289" s="19"/>
      <c r="K289" s="19"/>
      <c r="L289" s="41">
        <v>6807</v>
      </c>
      <c r="M289" s="41">
        <v>0</v>
      </c>
    </row>
    <row r="290" spans="1:13" ht="15.75" thickBot="1" x14ac:dyDescent="0.3">
      <c r="A290" s="65"/>
      <c r="B290" s="58" t="s">
        <v>99</v>
      </c>
      <c r="C290" s="19">
        <v>0</v>
      </c>
      <c r="E290" s="33" t="s">
        <v>45</v>
      </c>
      <c r="F290" s="41">
        <f>C280*0.15</f>
        <v>2762.4989999999998</v>
      </c>
      <c r="G290" s="41">
        <f>E286*0.25</f>
        <v>1044.2706250000001</v>
      </c>
      <c r="I290" s="53" t="s">
        <v>59</v>
      </c>
      <c r="J290" s="19"/>
      <c r="K290" s="19"/>
      <c r="L290" s="42">
        <v>11345</v>
      </c>
      <c r="M290" s="42">
        <f>L290-3369.44</f>
        <v>7975.5599999999995</v>
      </c>
    </row>
    <row r="291" spans="1:13" ht="15.75" thickBot="1" x14ac:dyDescent="0.3">
      <c r="A291" s="65"/>
      <c r="B291" s="58" t="s">
        <v>79</v>
      </c>
      <c r="C291" s="19">
        <v>0</v>
      </c>
      <c r="E291" s="32" t="s">
        <v>46</v>
      </c>
      <c r="F291" s="42">
        <f>C280/4</f>
        <v>4604.165</v>
      </c>
      <c r="G291" s="42">
        <f>E286/4</f>
        <v>1044.2706250000001</v>
      </c>
      <c r="H291" s="43">
        <f>SUM(G288:G291)</f>
        <v>3759.3742500000008</v>
      </c>
      <c r="I291" s="18" t="s">
        <v>60</v>
      </c>
      <c r="J291" s="19"/>
      <c r="K291" s="19">
        <f>SUM(K285:K290)</f>
        <v>2168</v>
      </c>
    </row>
    <row r="292" spans="1:13" x14ac:dyDescent="0.25">
      <c r="B292" s="58" t="s">
        <v>90</v>
      </c>
      <c r="C292" s="19">
        <f>SUM(C286:C291)</f>
        <v>0</v>
      </c>
      <c r="I292" s="18" t="s">
        <v>90</v>
      </c>
      <c r="J292" s="19"/>
    </row>
  </sheetData>
  <sortState ref="B84:C90">
    <sortCondition ref="B84:B9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2017-07-07T04:02:58Z</dcterms:modified>
</cp:coreProperties>
</file>