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upt.IWFAD\Documents\6_Github\batterway\data\templates\"/>
    </mc:Choice>
  </mc:AlternateContent>
  <bookViews>
    <workbookView xWindow="0" yWindow="0" windowWidth="19200" windowHeight="7050"/>
  </bookViews>
  <sheets>
    <sheet name="Tabelle1" sheetId="1" r:id="rId1"/>
    <sheet name="Tabelle3" sheetId="3" r:id="rId2"/>
    <sheet name="Tabelle2" sheetId="2" r:id="rId3"/>
  </sheets>
  <externalReferences>
    <externalReference r:id="rId4"/>
  </externalReferences>
  <definedNames>
    <definedName name="_xlnm._FilterDatabase" localSheetId="0" hidden="1">Tabelle1!$A$1:$T$96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15" i="1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C23" i="2"/>
  <c r="C45" i="2"/>
  <c r="C42" i="2"/>
  <c r="C44" i="2" s="1"/>
  <c r="C41" i="2"/>
  <c r="C35" i="2"/>
  <c r="C34" i="2"/>
  <c r="C33" i="2"/>
  <c r="C30" i="2"/>
  <c r="C29" i="2"/>
  <c r="C27" i="2"/>
  <c r="C26" i="2"/>
  <c r="C25" i="2"/>
  <c r="C24" i="2"/>
  <c r="C22" i="2"/>
  <c r="C21" i="2"/>
  <c r="C20" i="2"/>
  <c r="C19" i="2"/>
  <c r="C17" i="2"/>
  <c r="C16" i="2"/>
  <c r="C15" i="2"/>
  <c r="C14" i="2"/>
  <c r="C13" i="2"/>
  <c r="H12" i="1"/>
  <c r="H49" i="1"/>
  <c r="H50" i="1"/>
  <c r="H14" i="1"/>
  <c r="H42" i="1"/>
  <c r="H2" i="1"/>
  <c r="H37" i="1"/>
  <c r="H54" i="1"/>
  <c r="H59" i="1"/>
  <c r="H40" i="1"/>
  <c r="H19" i="1"/>
  <c r="H66" i="1"/>
  <c r="H82" i="1"/>
  <c r="H17" i="1"/>
  <c r="H43" i="1"/>
  <c r="H33" i="1"/>
  <c r="H55" i="1"/>
  <c r="H61" i="1"/>
  <c r="H28" i="1"/>
  <c r="H23" i="1"/>
  <c r="H70" i="1"/>
  <c r="H86" i="1"/>
  <c r="H64" i="1"/>
  <c r="L64" i="1" s="1"/>
  <c r="H30" i="1"/>
  <c r="L30" i="1" s="1"/>
  <c r="H74" i="1"/>
  <c r="H11" i="1"/>
  <c r="H92" i="1"/>
  <c r="H47" i="1"/>
  <c r="H95" i="1"/>
  <c r="H26" i="1"/>
  <c r="H96" i="1"/>
  <c r="H44" i="1"/>
  <c r="H35" i="1"/>
  <c r="H91" i="1"/>
  <c r="H3" i="1"/>
  <c r="H39" i="1"/>
  <c r="H53" i="1"/>
  <c r="H58" i="1"/>
  <c r="H36" i="1"/>
  <c r="H22" i="1"/>
  <c r="H69" i="1"/>
  <c r="H85" i="1"/>
  <c r="H20" i="1"/>
  <c r="H67" i="1"/>
  <c r="H83" i="1"/>
  <c r="H24" i="1"/>
  <c r="H71" i="1"/>
  <c r="H87" i="1"/>
  <c r="H63" i="1"/>
  <c r="H31" i="1"/>
  <c r="H5" i="1"/>
  <c r="H13" i="1"/>
  <c r="H48" i="1"/>
  <c r="H27" i="1"/>
  <c r="H94" i="1"/>
  <c r="H93" i="1"/>
  <c r="H51" i="1"/>
  <c r="H52" i="1"/>
  <c r="H16" i="1"/>
  <c r="H45" i="1"/>
  <c r="H4" i="1"/>
  <c r="H38" i="1"/>
  <c r="H56" i="1"/>
  <c r="H60" i="1"/>
  <c r="H41" i="1"/>
  <c r="H21" i="1"/>
  <c r="H68" i="1"/>
  <c r="H84" i="1"/>
  <c r="H18" i="1"/>
  <c r="H46" i="1"/>
  <c r="H34" i="1"/>
  <c r="H57" i="1"/>
  <c r="H62" i="1"/>
  <c r="H29" i="1"/>
  <c r="H25" i="1"/>
  <c r="H72" i="1"/>
  <c r="H88" i="1"/>
  <c r="H65" i="1"/>
  <c r="L65" i="1" s="1"/>
  <c r="H32" i="1"/>
  <c r="L32" i="1" s="1"/>
  <c r="N40" i="1"/>
  <c r="M12" i="1"/>
  <c r="N32" i="1"/>
  <c r="M32" i="1"/>
  <c r="N65" i="1"/>
  <c r="M65" i="1"/>
  <c r="N88" i="1"/>
  <c r="M88" i="1"/>
  <c r="N72" i="1"/>
  <c r="M72" i="1"/>
  <c r="N25" i="1"/>
  <c r="M25" i="1"/>
  <c r="N29" i="1"/>
  <c r="M29" i="1"/>
  <c r="N62" i="1"/>
  <c r="M62" i="1"/>
  <c r="N57" i="1"/>
  <c r="M57" i="1"/>
  <c r="N34" i="1"/>
  <c r="M34" i="1"/>
  <c r="N46" i="1"/>
  <c r="M46" i="1"/>
  <c r="N18" i="1"/>
  <c r="M18" i="1"/>
  <c r="P84" i="1"/>
  <c r="N84" i="1"/>
  <c r="M84" i="1"/>
  <c r="P68" i="1"/>
  <c r="N68" i="1"/>
  <c r="M68" i="1"/>
  <c r="P21" i="1"/>
  <c r="N21" i="1"/>
  <c r="M21" i="1"/>
  <c r="P41" i="1"/>
  <c r="N41" i="1"/>
  <c r="M41" i="1"/>
  <c r="P60" i="1"/>
  <c r="N60" i="1"/>
  <c r="M60" i="1"/>
  <c r="P56" i="1"/>
  <c r="N56" i="1"/>
  <c r="M56" i="1"/>
  <c r="P38" i="1"/>
  <c r="N38" i="1"/>
  <c r="M38" i="1"/>
  <c r="P4" i="1"/>
  <c r="N4" i="1"/>
  <c r="M4" i="1"/>
  <c r="P45" i="1"/>
  <c r="N45" i="1"/>
  <c r="M45" i="1"/>
  <c r="P16" i="1"/>
  <c r="N16" i="1"/>
  <c r="M16" i="1"/>
  <c r="N52" i="1"/>
  <c r="M52" i="1"/>
  <c r="N51" i="1"/>
  <c r="M51" i="1"/>
  <c r="N93" i="1"/>
  <c r="M93" i="1"/>
  <c r="N94" i="1"/>
  <c r="M94" i="1"/>
  <c r="N27" i="1"/>
  <c r="M27" i="1"/>
  <c r="N48" i="1"/>
  <c r="M48" i="1"/>
  <c r="N73" i="1"/>
  <c r="M73" i="1"/>
  <c r="N13" i="1"/>
  <c r="M13" i="1"/>
  <c r="P5" i="1"/>
  <c r="N5" i="1"/>
  <c r="M5" i="1"/>
  <c r="P31" i="1"/>
  <c r="N31" i="1"/>
  <c r="M31" i="1"/>
  <c r="P63" i="1"/>
  <c r="N63" i="1"/>
  <c r="M63" i="1"/>
  <c r="P87" i="1"/>
  <c r="N87" i="1"/>
  <c r="M87" i="1"/>
  <c r="P71" i="1"/>
  <c r="N71" i="1"/>
  <c r="M71" i="1"/>
  <c r="P24" i="1"/>
  <c r="N24" i="1"/>
  <c r="M24" i="1"/>
  <c r="P83" i="1"/>
  <c r="N83" i="1"/>
  <c r="M83" i="1"/>
  <c r="P67" i="1"/>
  <c r="N67" i="1"/>
  <c r="M67" i="1"/>
  <c r="P20" i="1"/>
  <c r="N20" i="1"/>
  <c r="M20" i="1"/>
  <c r="P85" i="1"/>
  <c r="N85" i="1"/>
  <c r="M85" i="1"/>
  <c r="P69" i="1"/>
  <c r="N69" i="1"/>
  <c r="M69" i="1"/>
  <c r="P22" i="1"/>
  <c r="N22" i="1"/>
  <c r="M22" i="1"/>
  <c r="N36" i="1"/>
  <c r="M36" i="1"/>
  <c r="P58" i="1"/>
  <c r="N58" i="1"/>
  <c r="M58" i="1"/>
  <c r="P53" i="1"/>
  <c r="N53" i="1"/>
  <c r="M53" i="1"/>
  <c r="P39" i="1"/>
  <c r="N39" i="1"/>
  <c r="M39" i="1"/>
  <c r="P3" i="1"/>
  <c r="N3" i="1"/>
  <c r="M3" i="1"/>
  <c r="P91" i="1"/>
  <c r="N91" i="1"/>
  <c r="M91" i="1"/>
  <c r="P35" i="1"/>
  <c r="N35" i="1"/>
  <c r="M35" i="1"/>
  <c r="P44" i="1"/>
  <c r="N44" i="1"/>
  <c r="M44" i="1"/>
  <c r="I44" i="1" s="1"/>
  <c r="P15" i="1"/>
  <c r="N15" i="1"/>
  <c r="M15" i="1"/>
  <c r="N96" i="1"/>
  <c r="M96" i="1"/>
  <c r="N26" i="1"/>
  <c r="M26" i="1"/>
  <c r="N75" i="1"/>
  <c r="M75" i="1"/>
  <c r="F75" i="1"/>
  <c r="H75" i="1" s="1"/>
  <c r="N95" i="1"/>
  <c r="M95" i="1"/>
  <c r="N47" i="1"/>
  <c r="M47" i="1"/>
  <c r="N92" i="1"/>
  <c r="M92" i="1"/>
  <c r="I92" i="1" s="1"/>
  <c r="N11" i="1"/>
  <c r="M11" i="1"/>
  <c r="N74" i="1"/>
  <c r="M74" i="1"/>
  <c r="N30" i="1"/>
  <c r="M30" i="1"/>
  <c r="N64" i="1"/>
  <c r="M64" i="1"/>
  <c r="N86" i="1"/>
  <c r="M86" i="1"/>
  <c r="N70" i="1"/>
  <c r="M70" i="1"/>
  <c r="N23" i="1"/>
  <c r="M23" i="1"/>
  <c r="N28" i="1"/>
  <c r="M28" i="1"/>
  <c r="N61" i="1"/>
  <c r="M61" i="1"/>
  <c r="N55" i="1"/>
  <c r="M55" i="1"/>
  <c r="N33" i="1"/>
  <c r="M33" i="1"/>
  <c r="N43" i="1"/>
  <c r="M43" i="1"/>
  <c r="N17" i="1"/>
  <c r="M17" i="1"/>
  <c r="P82" i="1"/>
  <c r="N82" i="1"/>
  <c r="M82" i="1"/>
  <c r="P66" i="1"/>
  <c r="N66" i="1"/>
  <c r="M66" i="1"/>
  <c r="P19" i="1"/>
  <c r="N19" i="1"/>
  <c r="M19" i="1"/>
  <c r="P40" i="1"/>
  <c r="M40" i="1"/>
  <c r="I40" i="1" s="1"/>
  <c r="P59" i="1"/>
  <c r="N59" i="1"/>
  <c r="M59" i="1"/>
  <c r="P54" i="1"/>
  <c r="N54" i="1"/>
  <c r="M54" i="1"/>
  <c r="P37" i="1"/>
  <c r="N37" i="1"/>
  <c r="M37" i="1"/>
  <c r="P2" i="1"/>
  <c r="N2" i="1"/>
  <c r="M2" i="1"/>
  <c r="P42" i="1"/>
  <c r="N42" i="1"/>
  <c r="M42" i="1"/>
  <c r="P14" i="1"/>
  <c r="N14" i="1"/>
  <c r="M14" i="1"/>
  <c r="N50" i="1"/>
  <c r="M50" i="1"/>
  <c r="N49" i="1"/>
  <c r="M49" i="1"/>
  <c r="N12" i="1"/>
  <c r="I20" i="1" l="1"/>
  <c r="R20" i="1" s="1"/>
  <c r="I87" i="1"/>
  <c r="I56" i="1"/>
  <c r="I72" i="1"/>
  <c r="L72" i="1" s="1"/>
  <c r="O72" i="1" s="1"/>
  <c r="I59" i="1"/>
  <c r="L59" i="1" s="1"/>
  <c r="O59" i="1" s="1"/>
  <c r="I66" i="1"/>
  <c r="L66" i="1" s="1"/>
  <c r="O66" i="1" s="1"/>
  <c r="I43" i="1"/>
  <c r="L43" i="1" s="1"/>
  <c r="O43" i="1" s="1"/>
  <c r="I28" i="1"/>
  <c r="L28" i="1" s="1"/>
  <c r="O28" i="1" s="1"/>
  <c r="I37" i="1"/>
  <c r="R37" i="1" s="1"/>
  <c r="I33" i="1"/>
  <c r="L33" i="1" s="1"/>
  <c r="O33" i="1" s="1"/>
  <c r="I23" i="1"/>
  <c r="I27" i="1"/>
  <c r="I52" i="1"/>
  <c r="O52" i="1" s="1"/>
  <c r="I4" i="1"/>
  <c r="L4" i="1" s="1"/>
  <c r="O4" i="1" s="1"/>
  <c r="I62" i="1"/>
  <c r="R62" i="1" s="1"/>
  <c r="C43" i="2"/>
  <c r="C46" i="2" s="1"/>
  <c r="C47" i="2" s="1"/>
  <c r="C48" i="2" s="1"/>
  <c r="C50" i="2" s="1"/>
  <c r="I17" i="1"/>
  <c r="I61" i="1"/>
  <c r="L61" i="1" s="1"/>
  <c r="O61" i="1" s="1"/>
  <c r="I86" i="1"/>
  <c r="I74" i="1"/>
  <c r="I95" i="1"/>
  <c r="L95" i="1" s="1"/>
  <c r="O95" i="1" s="1"/>
  <c r="I39" i="1"/>
  <c r="L39" i="1" s="1"/>
  <c r="O39" i="1" s="1"/>
  <c r="I14" i="1"/>
  <c r="R14" i="1" s="1"/>
  <c r="I45" i="1"/>
  <c r="L45" i="1" s="1"/>
  <c r="O45" i="1" s="1"/>
  <c r="I84" i="1"/>
  <c r="R84" i="1" s="1"/>
  <c r="I32" i="1"/>
  <c r="R32" i="1" s="1"/>
  <c r="I82" i="1"/>
  <c r="I49" i="1"/>
  <c r="I54" i="1"/>
  <c r="L54" i="1" s="1"/>
  <c r="O54" i="1" s="1"/>
  <c r="I19" i="1"/>
  <c r="L19" i="1" s="1"/>
  <c r="O19" i="1" s="1"/>
  <c r="I96" i="1"/>
  <c r="L96" i="1" s="1"/>
  <c r="O96" i="1" s="1"/>
  <c r="I35" i="1"/>
  <c r="I67" i="1"/>
  <c r="R67" i="1" s="1"/>
  <c r="I63" i="1"/>
  <c r="R63" i="1" s="1"/>
  <c r="I60" i="1"/>
  <c r="I15" i="1"/>
  <c r="I36" i="1"/>
  <c r="L36" i="1" s="1"/>
  <c r="O36" i="1" s="1"/>
  <c r="I85" i="1"/>
  <c r="I71" i="1"/>
  <c r="L71" i="1" s="1"/>
  <c r="O71" i="1" s="1"/>
  <c r="I13" i="1"/>
  <c r="I94" i="1"/>
  <c r="L94" i="1" s="1"/>
  <c r="O94" i="1" s="1"/>
  <c r="I16" i="1"/>
  <c r="L16" i="1" s="1"/>
  <c r="O16" i="1" s="1"/>
  <c r="I91" i="1"/>
  <c r="L91" i="1" s="1"/>
  <c r="O91" i="1" s="1"/>
  <c r="I83" i="1"/>
  <c r="I31" i="1"/>
  <c r="I12" i="1"/>
  <c r="O12" i="1" s="1"/>
  <c r="I42" i="1"/>
  <c r="L42" i="1" s="1"/>
  <c r="O42" i="1" s="1"/>
  <c r="I18" i="1"/>
  <c r="L18" i="1" s="1"/>
  <c r="O18" i="1" s="1"/>
  <c r="I88" i="1"/>
  <c r="R88" i="1" s="1"/>
  <c r="I55" i="1"/>
  <c r="I70" i="1"/>
  <c r="L70" i="1" s="1"/>
  <c r="O70" i="1" s="1"/>
  <c r="I30" i="1"/>
  <c r="R30" i="1" s="1"/>
  <c r="I47" i="1"/>
  <c r="I26" i="1"/>
  <c r="L26" i="1" s="1"/>
  <c r="O26" i="1" s="1"/>
  <c r="I58" i="1"/>
  <c r="L58" i="1" s="1"/>
  <c r="O58" i="1" s="1"/>
  <c r="I69" i="1"/>
  <c r="R69" i="1" s="1"/>
  <c r="I24" i="1"/>
  <c r="L24" i="1" s="1"/>
  <c r="O24" i="1" s="1"/>
  <c r="I5" i="1"/>
  <c r="R5" i="1" s="1"/>
  <c r="I48" i="1"/>
  <c r="L48" i="1" s="1"/>
  <c r="I51" i="1"/>
  <c r="O51" i="1" s="1"/>
  <c r="I21" i="1"/>
  <c r="L21" i="1" s="1"/>
  <c r="O21" i="1" s="1"/>
  <c r="I57" i="1"/>
  <c r="R57" i="1" s="1"/>
  <c r="R2" i="1"/>
  <c r="I68" i="1"/>
  <c r="L68" i="1" s="1"/>
  <c r="O68" i="1" s="1"/>
  <c r="I46" i="1"/>
  <c r="R46" i="1" s="1"/>
  <c r="I29" i="1"/>
  <c r="L29" i="1" s="1"/>
  <c r="O29" i="1" s="1"/>
  <c r="I65" i="1"/>
  <c r="R65" i="1" s="1"/>
  <c r="I50" i="1"/>
  <c r="L50" i="1" s="1"/>
  <c r="I11" i="1"/>
  <c r="L11" i="1" s="1"/>
  <c r="O11" i="1" s="1"/>
  <c r="I38" i="1"/>
  <c r="L38" i="1" s="1"/>
  <c r="O38" i="1" s="1"/>
  <c r="I64" i="1"/>
  <c r="R64" i="1" s="1"/>
  <c r="I75" i="1"/>
  <c r="L75" i="1" s="1"/>
  <c r="O75" i="1" s="1"/>
  <c r="I53" i="1"/>
  <c r="L53" i="1" s="1"/>
  <c r="O53" i="1" s="1"/>
  <c r="I22" i="1"/>
  <c r="L22" i="1" s="1"/>
  <c r="O22" i="1" s="1"/>
  <c r="I73" i="1"/>
  <c r="I93" i="1"/>
  <c r="O93" i="1" s="1"/>
  <c r="I41" i="1"/>
  <c r="L41" i="1" s="1"/>
  <c r="O41" i="1" s="1"/>
  <c r="I34" i="1"/>
  <c r="R34" i="1" s="1"/>
  <c r="I25" i="1"/>
  <c r="R25" i="1" s="1"/>
  <c r="L82" i="1"/>
  <c r="O82" i="1" s="1"/>
  <c r="I3" i="1"/>
  <c r="L3" i="1" s="1"/>
  <c r="O3" i="1" s="1"/>
  <c r="O65" i="1"/>
  <c r="L23" i="1"/>
  <c r="O23" i="1" s="1"/>
  <c r="R23" i="1"/>
  <c r="L37" i="1"/>
  <c r="O37" i="1" s="1"/>
  <c r="R82" i="1"/>
  <c r="L86" i="1"/>
  <c r="O86" i="1" s="1"/>
  <c r="L27" i="1"/>
  <c r="O27" i="1" s="1"/>
  <c r="O64" i="1"/>
  <c r="L35" i="1"/>
  <c r="O35" i="1" s="1"/>
  <c r="L40" i="1"/>
  <c r="O40" i="1" s="1"/>
  <c r="R60" i="1"/>
  <c r="L74" i="1"/>
  <c r="O74" i="1" s="1"/>
  <c r="R4" i="1"/>
  <c r="L56" i="1"/>
  <c r="O56" i="1" s="1"/>
  <c r="R72" i="1"/>
  <c r="L47" i="1"/>
  <c r="L44" i="1"/>
  <c r="O44" i="1" s="1"/>
  <c r="R56" i="1"/>
  <c r="O30" i="1"/>
  <c r="R44" i="1"/>
  <c r="O32" i="1"/>
  <c r="L17" i="1"/>
  <c r="O17" i="1" s="1"/>
  <c r="L15" i="1"/>
  <c r="O15" i="1" s="1"/>
  <c r="R83" i="1"/>
  <c r="L87" i="1"/>
  <c r="O87" i="1" s="1"/>
  <c r="L60" i="1"/>
  <c r="O60" i="1" s="1"/>
  <c r="L85" i="1"/>
  <c r="O85" i="1" s="1"/>
  <c r="L67" i="1"/>
  <c r="O67" i="1" s="1"/>
  <c r="F73" i="1"/>
  <c r="L49" i="1"/>
  <c r="R40" i="1"/>
  <c r="R92" i="1"/>
  <c r="R31" i="1"/>
  <c r="L55" i="1"/>
  <c r="O55" i="1" s="1"/>
  <c r="R86" i="1"/>
  <c r="R13" i="1"/>
  <c r="R70" i="1"/>
  <c r="R85" i="1"/>
  <c r="L88" i="1" l="1"/>
  <c r="O88" i="1" s="1"/>
  <c r="R54" i="1"/>
  <c r="L5" i="1"/>
  <c r="O5" i="1" s="1"/>
  <c r="R61" i="1"/>
  <c r="L52" i="1"/>
  <c r="R21" i="1"/>
  <c r="R33" i="1"/>
  <c r="R22" i="1"/>
  <c r="R28" i="1"/>
  <c r="L2" i="1"/>
  <c r="O2" i="1" s="1"/>
  <c r="L69" i="1"/>
  <c r="O69" i="1" s="1"/>
  <c r="R43" i="1"/>
  <c r="R66" i="1"/>
  <c r="L84" i="1"/>
  <c r="O84" i="1" s="1"/>
  <c r="R39" i="1"/>
  <c r="R19" i="1"/>
  <c r="R59" i="1"/>
  <c r="L57" i="1"/>
  <c r="O57" i="1" s="1"/>
  <c r="R41" i="1"/>
  <c r="L14" i="1"/>
  <c r="O14" i="1" s="1"/>
  <c r="L25" i="1"/>
  <c r="O25" i="1" s="1"/>
  <c r="L34" i="1"/>
  <c r="O34" i="1" s="1"/>
  <c r="R91" i="1"/>
  <c r="R29" i="1"/>
  <c r="R53" i="1"/>
  <c r="L46" i="1"/>
  <c r="O46" i="1" s="1"/>
  <c r="R24" i="1"/>
  <c r="H73" i="1"/>
  <c r="L73" i="1" s="1"/>
  <c r="O73" i="1" s="1"/>
  <c r="R3" i="1"/>
  <c r="R55" i="1"/>
  <c r="R38" i="1"/>
  <c r="R45" i="1"/>
  <c r="L20" i="1"/>
  <c r="O20" i="1" s="1"/>
  <c r="L51" i="1"/>
  <c r="R35" i="1"/>
  <c r="O50" i="1"/>
  <c r="R17" i="1"/>
  <c r="R15" i="1"/>
  <c r="R71" i="1"/>
  <c r="L83" i="1"/>
  <c r="O83" i="1" s="1"/>
  <c r="R68" i="1"/>
  <c r="R42" i="1"/>
  <c r="R58" i="1"/>
  <c r="L13" i="1"/>
  <c r="L63" i="1"/>
  <c r="O63" i="1" s="1"/>
  <c r="R18" i="1"/>
  <c r="R16" i="1"/>
  <c r="R12" i="1"/>
  <c r="L12" i="1"/>
  <c r="O13" i="1"/>
  <c r="R87" i="1"/>
  <c r="L62" i="1"/>
  <c r="O62" i="1" s="1"/>
  <c r="O49" i="1"/>
  <c r="R93" i="1"/>
  <c r="L92" i="1"/>
  <c r="L31" i="1"/>
  <c r="O31" i="1" s="1"/>
  <c r="O92" i="1"/>
  <c r="L93" i="1"/>
</calcChain>
</file>

<file path=xl/sharedStrings.xml><?xml version="1.0" encoding="utf-8"?>
<sst xmlns="http://schemas.openxmlformats.org/spreadsheetml/2006/main" count="735" uniqueCount="175">
  <si>
    <t xml:space="preserve">
Process step</t>
  </si>
  <si>
    <t>Process / apparatus</t>
  </si>
  <si>
    <t xml:space="preserve">System </t>
  </si>
  <si>
    <t>Original capacity</t>
  </si>
  <si>
    <t>Unit</t>
  </si>
  <si>
    <t>Connected load [kW]</t>
  </si>
  <si>
    <t>Surcharge factor (periphery)</t>
  </si>
  <si>
    <t>Total power [kW]</t>
  </si>
  <si>
    <t>required capacity</t>
  </si>
  <si>
    <t>Degression coefficient</t>
  </si>
  <si>
    <t>Total performance according to degression
[kW]</t>
  </si>
  <si>
    <t>Throughput per year</t>
  </si>
  <si>
    <t>Maximum annual hours [h / a]</t>
  </si>
  <si>
    <t>Annual energy demand
[kWh / a]
[kWh/a]</t>
  </si>
  <si>
    <r>
      <t xml:space="preserve">Original batch time [h]
</t>
    </r>
    <r>
      <rPr>
        <sz val="11"/>
        <color theme="1"/>
        <rFont val="Calibri"/>
        <family val="2"/>
        <scheme val="minor"/>
      </rPr>
      <t>*for continous process =1</t>
    </r>
  </si>
  <si>
    <t>Adjusted Batch time [h]</t>
  </si>
  <si>
    <t>Number of batches per year</t>
  </si>
  <si>
    <t>Source</t>
  </si>
  <si>
    <t>Assumptions</t>
  </si>
  <si>
    <t>Disassembly</t>
  </si>
  <si>
    <t>Transport</t>
  </si>
  <si>
    <t>Industrial truck</t>
  </si>
  <si>
    <t>batteries/ h</t>
  </si>
  <si>
    <t>Storage</t>
  </si>
  <si>
    <t>System container</t>
  </si>
  <si>
    <t>Storage (defective)</t>
  </si>
  <si>
    <t>Hazardous material container (F-90)</t>
  </si>
  <si>
    <t>batteries</t>
  </si>
  <si>
    <t>Discharge</t>
  </si>
  <si>
    <t>Unloading place and device</t>
  </si>
  <si>
    <t>Disassembly place and tools</t>
  </si>
  <si>
    <t>Pyrometallurgy</t>
  </si>
  <si>
    <t>Exhaust gas cleaning</t>
  </si>
  <si>
    <t>Gas scrubber</t>
  </si>
  <si>
    <t>batteries/h</t>
  </si>
  <si>
    <t>LithoRec2</t>
  </si>
  <si>
    <t>Mill</t>
  </si>
  <si>
    <t>Mill (Alloy)</t>
  </si>
  <si>
    <t>t/h</t>
  </si>
  <si>
    <t>Loesche LM15.2</t>
  </si>
  <si>
    <t>Mill (Slag)</t>
  </si>
  <si>
    <t>Hydro Alloy</t>
  </si>
  <si>
    <t>Exposure</t>
  </si>
  <si>
    <t>Rotary kiln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</si>
  <si>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 h</t>
    </r>
  </si>
  <si>
    <t>m³/h</t>
  </si>
  <si>
    <t>Reference offer</t>
  </si>
  <si>
    <t>Leaching</t>
  </si>
  <si>
    <t>Reactor</t>
  </si>
  <si>
    <t>Cementation Cu</t>
  </si>
  <si>
    <t>Filtration Cu</t>
  </si>
  <si>
    <t>Band filter &lt;50um</t>
  </si>
  <si>
    <t>Oxidation Fe</t>
  </si>
  <si>
    <t>Precipitation Fe</t>
  </si>
  <si>
    <t>Filtration Fe</t>
  </si>
  <si>
    <t>Band filter  &lt;15um</t>
  </si>
  <si>
    <t>Extraction Co</t>
  </si>
  <si>
    <t>Scrubbing Co</t>
  </si>
  <si>
    <t>Stripping Co</t>
  </si>
  <si>
    <t>Cristallisation Ni</t>
  </si>
  <si>
    <t>Evaporation crystallisator</t>
  </si>
  <si>
    <t>Approx. Phys. Optimum (see below)</t>
  </si>
  <si>
    <t>Cristallisation Co</t>
  </si>
  <si>
    <t>Hydro Slag</t>
  </si>
  <si>
    <t>Exposure (140 °C)</t>
  </si>
  <si>
    <t>Filter SiO2, CaSO4</t>
  </si>
  <si>
    <t>Chamber filter press</t>
  </si>
  <si>
    <t>Precipitation Fe, Al</t>
  </si>
  <si>
    <t>Filter Fe, Al</t>
  </si>
  <si>
    <t>Band filter</t>
  </si>
  <si>
    <t>Extraction Mn</t>
  </si>
  <si>
    <t>Scrubbing Mn</t>
  </si>
  <si>
    <t>Stripping Mn</t>
  </si>
  <si>
    <t>Cristallisation Mn</t>
  </si>
  <si>
    <t>Concentration Li</t>
  </si>
  <si>
    <t>Evaporator</t>
  </si>
  <si>
    <t>Precipitation Li (90 ° C)</t>
  </si>
  <si>
    <t>Filter Li</t>
  </si>
  <si>
    <t>Wastewater</t>
  </si>
  <si>
    <t>Unlaoding place and device</t>
  </si>
  <si>
    <t>Mechanical processing</t>
  </si>
  <si>
    <t>Shredder 1</t>
  </si>
  <si>
    <t>Cutting mill</t>
  </si>
  <si>
    <t>t/ h</t>
  </si>
  <si>
    <t>Dry</t>
  </si>
  <si>
    <t>Mixing dryer</t>
  </si>
  <si>
    <t>Waste gas cleaning</t>
  </si>
  <si>
    <t>Magnetic seperation</t>
  </si>
  <si>
    <t>Zigzag sighting 1</t>
  </si>
  <si>
    <t>Aerial sighting</t>
  </si>
  <si>
    <t>Shredder 2</t>
  </si>
  <si>
    <t>Granulator</t>
  </si>
  <si>
    <t>50% power of Shredder 1</t>
  </si>
  <si>
    <t>Filter</t>
  </si>
  <si>
    <t>Zigzag sighting 2</t>
  </si>
  <si>
    <t>Electrolyte recovery</t>
  </si>
  <si>
    <t>Surface capacitor</t>
  </si>
  <si>
    <t>Hydro</t>
  </si>
  <si>
    <t xml:space="preserve">Reactor </t>
  </si>
  <si>
    <t>Filtration &lt;10um</t>
  </si>
  <si>
    <t>Washing C</t>
  </si>
  <si>
    <t>Sprinkling</t>
  </si>
  <si>
    <t>Filtration Cu &lt;50um</t>
  </si>
  <si>
    <t>Oxidation</t>
  </si>
  <si>
    <t>Precipitation Al+Fe</t>
  </si>
  <si>
    <t>Filtration &lt;15um</t>
  </si>
  <si>
    <t>Extraction Co+Ni</t>
  </si>
  <si>
    <t>Scrubbing Co+Ni</t>
  </si>
  <si>
    <t>Stripping Co+Ni</t>
  </si>
  <si>
    <t>Precipitation Li</t>
  </si>
  <si>
    <t>50% longer process duration if disassembled to cell level</t>
  </si>
  <si>
    <t>Pyrolyse</t>
  </si>
  <si>
    <t>Deactivation and evaporation</t>
  </si>
  <si>
    <t>Densitiy of battery cell 2500 kg/m3; Linear increase of energy compared to temparature</t>
  </si>
  <si>
    <t>Shredder</t>
  </si>
  <si>
    <t>Zigzag sighting</t>
  </si>
  <si>
    <t>Reference offer, Outotec Lacrox FFP 1516</t>
  </si>
  <si>
    <t>Evaporation crystallizer</t>
  </si>
  <si>
    <t>Evaporation crystallisor</t>
  </si>
  <si>
    <t>Precipitation Li (90°C)</t>
  </si>
  <si>
    <t>Approximations</t>
  </si>
  <si>
    <t>Process</t>
  </si>
  <si>
    <t>Parameter</t>
  </si>
  <si>
    <t>Quantity</t>
  </si>
  <si>
    <t xml:space="preserve">
General material values ​​and formulas</t>
  </si>
  <si>
    <t>Heat capacity H2SO4 (c)</t>
  </si>
  <si>
    <t>kJ/ kg*K</t>
  </si>
  <si>
    <t xml:space="preserve">
Assumption: solution = 100% H2SO4</t>
  </si>
  <si>
    <t>Heating the solution</t>
  </si>
  <si>
    <r>
      <t>Q= c*m*</t>
    </r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>T</t>
    </r>
  </si>
  <si>
    <t>kJ</t>
  </si>
  <si>
    <t>spec. Heat of evaporation q</t>
  </si>
  <si>
    <t>kJ/ kg</t>
  </si>
  <si>
    <t xml:space="preserve">
Assumption: solution = 100% water</t>
  </si>
  <si>
    <t>Evaporation of water</t>
  </si>
  <si>
    <t>Q=q*m</t>
  </si>
  <si>
    <t xml:space="preserve">
Exposure</t>
  </si>
  <si>
    <t>Temperatur Input</t>
  </si>
  <si>
    <t>°C</t>
  </si>
  <si>
    <t>Target temperature</t>
  </si>
  <si>
    <t>Q (Route 1, Alloy)</t>
  </si>
  <si>
    <t>MJ p.a.</t>
  </si>
  <si>
    <t>Q (Route 1, Slag)</t>
  </si>
  <si>
    <t>Q (Route 2)</t>
  </si>
  <si>
    <t>Cristallisation</t>
  </si>
  <si>
    <t>Q (Nickel, Route 1 Alloy)</t>
  </si>
  <si>
    <t>Q (Cobalt, Route 1 Alloy)</t>
  </si>
  <si>
    <t>Q (Manganese, Route 1, Slag)</t>
  </si>
  <si>
    <t>Q (Nickel, Route 2)</t>
  </si>
  <si>
    <t>Q (Cobalt, Route 2)</t>
  </si>
  <si>
    <t>Q (Manganese, Route 2)</t>
  </si>
  <si>
    <t>Q (Nickel, Route 3, Alloy)</t>
  </si>
  <si>
    <t>Q (Cobalt, Route 3, Alloy)</t>
  </si>
  <si>
    <t>Q (Manganese, Route 3, Slag)</t>
  </si>
  <si>
    <t>Concentration of lithium</t>
  </si>
  <si>
    <t>Q (Route 3, Slag)</t>
  </si>
  <si>
    <t>no Li concentration necessary</t>
  </si>
  <si>
    <t xml:space="preserve">
Concentration of wastewater</t>
  </si>
  <si>
    <t xml:space="preserve">
Electrolyte recovery</t>
  </si>
  <si>
    <t xml:space="preserve">
Surface capacitor</t>
  </si>
  <si>
    <t>Temperature steam</t>
  </si>
  <si>
    <t>Condensate temperature</t>
  </si>
  <si>
    <t>Molar enthalpy of vaporization</t>
  </si>
  <si>
    <t>kJ/mol</t>
  </si>
  <si>
    <t>Molar mass water</t>
  </si>
  <si>
    <t>kg/mol</t>
  </si>
  <si>
    <t>specific enthalpy of vaporization steam</t>
  </si>
  <si>
    <t>kJ/kg</t>
  </si>
  <si>
    <t>specific enthalpy of evaporation condensate</t>
  </si>
  <si>
    <t>Mass flow of steam (link to the model)</t>
  </si>
  <si>
    <t>ton</t>
  </si>
  <si>
    <t>Heat to be dissipated</t>
  </si>
  <si>
    <t>MJ</t>
  </si>
  <si>
    <t>kWh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</si>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</sst>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43" fontId="0" fillId="2" borderId="10" xfId="1" applyFont="1" applyFill="1" applyBorder="1" applyAlignment="1">
      <alignment horizontal="right"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left" wrapText="1"/>
    </xf>
    <xf numFmtId="0" fontId="0" fillId="2" borderId="16" xfId="0" applyFill="1" applyBorder="1"/>
    <xf numFmtId="0" fontId="0" fillId="0" borderId="17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43" fontId="0" fillId="2" borderId="6" xfId="1" applyFont="1" applyFill="1" applyBorder="1" applyAlignment="1">
      <alignment horizontal="right" vertical="top" wrapText="1"/>
    </xf>
    <xf numFmtId="0" fontId="0" fillId="0" borderId="7" xfId="0" applyBorder="1" applyAlignment="1">
      <alignment vertical="top" wrapText="1"/>
    </xf>
    <xf numFmtId="0" fontId="0" fillId="0" borderId="12" xfId="0" applyBorder="1" applyAlignment="1">
      <alignment horizontal="left" vertical="top"/>
    </xf>
    <xf numFmtId="165" fontId="0" fillId="0" borderId="9" xfId="1" applyNumberFormat="1" applyFont="1" applyBorder="1" applyAlignment="1">
      <alignment horizontal="left"/>
    </xf>
    <xf numFmtId="165" fontId="0" fillId="0" borderId="10" xfId="1" applyNumberFormat="1" applyFont="1" applyFill="1" applyBorder="1" applyAlignment="1">
      <alignment vertical="top" wrapText="1"/>
    </xf>
    <xf numFmtId="165" fontId="0" fillId="0" borderId="10" xfId="1" applyNumberFormat="1" applyFont="1" applyBorder="1"/>
    <xf numFmtId="0" fontId="0" fillId="0" borderId="18" xfId="0" applyBorder="1" applyAlignment="1">
      <alignment horizontal="left" vertical="top"/>
    </xf>
    <xf numFmtId="2" fontId="0" fillId="0" borderId="20" xfId="0" applyNumberFormat="1" applyBorder="1" applyAlignment="1">
      <alignment horizontal="left" vertical="top"/>
    </xf>
    <xf numFmtId="0" fontId="0" fillId="0" borderId="4" xfId="0" applyBorder="1" applyAlignment="1">
      <alignment horizontal="left"/>
    </xf>
    <xf numFmtId="165" fontId="0" fillId="0" borderId="6" xfId="0" applyNumberFormat="1" applyBorder="1"/>
    <xf numFmtId="0" fontId="0" fillId="0" borderId="21" xfId="0" applyBorder="1"/>
    <xf numFmtId="2" fontId="0" fillId="0" borderId="12" xfId="0" applyNumberFormat="1" applyBorder="1" applyAlignment="1">
      <alignment horizontal="left" vertical="top"/>
    </xf>
    <xf numFmtId="2" fontId="0" fillId="0" borderId="18" xfId="0" applyNumberFormat="1" applyBorder="1" applyAlignment="1">
      <alignment horizontal="left" vertical="top"/>
    </xf>
    <xf numFmtId="165" fontId="0" fillId="0" borderId="6" xfId="1" applyNumberFormat="1" applyFont="1" applyBorder="1"/>
    <xf numFmtId="0" fontId="0" fillId="0" borderId="7" xfId="0" applyBorder="1"/>
    <xf numFmtId="0" fontId="0" fillId="0" borderId="22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1" xfId="0" applyBorder="1" applyAlignment="1">
      <alignment wrapText="1"/>
    </xf>
    <xf numFmtId="0" fontId="0" fillId="0" borderId="6" xfId="0" applyBorder="1"/>
    <xf numFmtId="0" fontId="0" fillId="2" borderId="10" xfId="0" applyFill="1" applyBorder="1"/>
    <xf numFmtId="0" fontId="0" fillId="0" borderId="10" xfId="0" applyBorder="1" applyAlignment="1">
      <alignment wrapText="1"/>
    </xf>
    <xf numFmtId="167" fontId="0" fillId="0" borderId="10" xfId="0" applyNumberFormat="1" applyBorder="1"/>
    <xf numFmtId="1" fontId="0" fillId="0" borderId="10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0" fillId="0" borderId="10" xfId="0" applyBorder="1" applyAlignment="1">
      <alignment horizontal="left"/>
    </xf>
    <xf numFmtId="2" fontId="0" fillId="2" borderId="10" xfId="0" applyNumberFormat="1" applyFill="1" applyBorder="1"/>
    <xf numFmtId="2" fontId="0" fillId="0" borderId="10" xfId="1" applyNumberFormat="1" applyFont="1" applyBorder="1"/>
    <xf numFmtId="43" fontId="0" fillId="0" borderId="10" xfId="1" applyFont="1" applyBorder="1"/>
    <xf numFmtId="43" fontId="0" fillId="0" borderId="10" xfId="1" applyFont="1" applyBorder="1" applyAlignment="1"/>
    <xf numFmtId="0" fontId="0" fillId="0" borderId="10" xfId="2" applyNumberFormat="1" applyFont="1" applyBorder="1"/>
    <xf numFmtId="0" fontId="0" fillId="0" borderId="10" xfId="2" applyNumberFormat="1" applyFont="1" applyFill="1" applyBorder="1"/>
    <xf numFmtId="43" fontId="0" fillId="0" borderId="10" xfId="1" applyFont="1" applyFill="1" applyBorder="1"/>
    <xf numFmtId="2" fontId="0" fillId="0" borderId="10" xfId="1" applyNumberFormat="1" applyFont="1" applyFill="1" applyBorder="1"/>
    <xf numFmtId="43" fontId="0" fillId="0" borderId="10" xfId="1" applyFont="1" applyFill="1" applyBorder="1" applyAlignment="1"/>
    <xf numFmtId="1" fontId="0" fillId="2" borderId="10" xfId="0" applyNumberFormat="1" applyFill="1" applyBorder="1"/>
    <xf numFmtId="9" fontId="0" fillId="2" borderId="10" xfId="2" applyFont="1" applyFill="1" applyBorder="1"/>
    <xf numFmtId="164" fontId="0" fillId="0" borderId="10" xfId="2" applyNumberFormat="1" applyFont="1" applyFill="1" applyBorder="1"/>
    <xf numFmtId="165" fontId="0" fillId="0" borderId="10" xfId="1" applyNumberFormat="1" applyFont="1" applyFill="1" applyBorder="1"/>
    <xf numFmtId="165" fontId="0" fillId="0" borderId="10" xfId="1" applyNumberFormat="1" applyFont="1" applyFill="1" applyBorder="1" applyAlignment="1"/>
    <xf numFmtId="43" fontId="0" fillId="2" borderId="10" xfId="1" applyFont="1" applyFill="1" applyBorder="1" applyAlignment="1">
      <alignment horizontal="right"/>
    </xf>
    <xf numFmtId="43" fontId="0" fillId="0" borderId="10" xfId="1" applyFont="1" applyFill="1" applyBorder="1" applyAlignment="1">
      <alignment horizontal="right"/>
    </xf>
    <xf numFmtId="43" fontId="0" fillId="2" borderId="10" xfId="1" applyFont="1" applyFill="1" applyBorder="1"/>
    <xf numFmtId="0" fontId="0" fillId="3" borderId="10" xfId="0" applyFill="1" applyBorder="1" applyAlignment="1"/>
    <xf numFmtId="0" fontId="0" fillId="0" borderId="10" xfId="0" applyBorder="1" applyAlignment="1">
      <alignment horizontal="left" wrapText="1"/>
    </xf>
    <xf numFmtId="165" fontId="0" fillId="0" borderId="10" xfId="1" applyNumberFormat="1" applyFont="1" applyBorder="1" applyAlignment="1">
      <alignment horizontal="right"/>
    </xf>
    <xf numFmtId="0" fontId="0" fillId="3" borderId="10" xfId="0" applyFill="1" applyBorder="1"/>
    <xf numFmtId="0" fontId="0" fillId="3" borderId="10" xfId="0" applyFill="1" applyBorder="1" applyAlignment="1">
      <alignment horizontal="left"/>
    </xf>
    <xf numFmtId="9" fontId="0" fillId="3" borderId="10" xfId="2" applyFont="1" applyFill="1" applyBorder="1"/>
    <xf numFmtId="0" fontId="0" fillId="3" borderId="10" xfId="2" applyNumberFormat="1" applyFont="1" applyFill="1" applyBorder="1"/>
    <xf numFmtId="43" fontId="0" fillId="3" borderId="10" xfId="1" applyFont="1" applyFill="1" applyBorder="1"/>
    <xf numFmtId="2" fontId="0" fillId="3" borderId="10" xfId="0" applyNumberFormat="1" applyFill="1" applyBorder="1"/>
    <xf numFmtId="2" fontId="0" fillId="3" borderId="10" xfId="1" applyNumberFormat="1" applyFont="1" applyFill="1" applyBorder="1"/>
    <xf numFmtId="165" fontId="0" fillId="3" borderId="10" xfId="1" applyNumberFormat="1" applyFont="1" applyFill="1" applyBorder="1"/>
    <xf numFmtId="164" fontId="0" fillId="2" borderId="10" xfId="0" applyNumberFormat="1" applyFill="1" applyBorder="1"/>
    <xf numFmtId="166" fontId="0" fillId="0" borderId="10" xfId="1" applyNumberFormat="1" applyFont="1" applyFill="1" applyBorder="1"/>
    <xf numFmtId="165" fontId="0" fillId="0" borderId="10" xfId="1" applyNumberFormat="1" applyFont="1" applyBorder="1" applyAlignment="1"/>
    <xf numFmtId="43" fontId="0" fillId="3" borderId="10" xfId="1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upt.IWFAD/Documents/6_Github/batterway/data/Recycling_Assessment_Tool_v3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Macro"/>
      <sheetName val="R1_Detail"/>
      <sheetName val="R2_Detail"/>
      <sheetName val="R3_Detail"/>
      <sheetName val="Evaluation"/>
      <sheetName val="Battery"/>
      <sheetName val="R1_MEFA"/>
      <sheetName val="R1_Hydro_MEFA"/>
      <sheetName val="R1_Econ."/>
      <sheetName val="R2_MEFA"/>
      <sheetName val="R2_Hydro_MEFA"/>
      <sheetName val="R2_Econ."/>
      <sheetName val="R3_MEFA"/>
      <sheetName val="R3_Hydro_MEFA"/>
      <sheetName val="R3_Econ."/>
      <sheetName val="Energy"/>
      <sheetName val="Stoichiometry"/>
      <sheetName val="CO2-Eq."/>
      <sheetName val="CO2-Eq. invisble"/>
      <sheetName val="Efficiencies"/>
      <sheetName val="Substitution"/>
      <sheetName val="Dropdown"/>
    </sheetNames>
    <sheetDataSet>
      <sheetData sheetId="0"/>
      <sheetData sheetId="1">
        <row r="16">
          <cell r="D16" t="str">
            <v>330</v>
          </cell>
        </row>
        <row r="20">
          <cell r="D20">
            <v>3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C6">
            <v>43374.539145521579</v>
          </cell>
        </row>
        <row r="54">
          <cell r="C54">
            <v>4791.7812882238131</v>
          </cell>
        </row>
        <row r="59">
          <cell r="C59">
            <v>0</v>
          </cell>
        </row>
      </sheetData>
      <sheetData sheetId="8">
        <row r="18">
          <cell r="L18">
            <v>12431.831368567004</v>
          </cell>
        </row>
        <row r="19">
          <cell r="L19">
            <v>3437.746717417218</v>
          </cell>
        </row>
        <row r="26">
          <cell r="L26">
            <v>36772.462308546754</v>
          </cell>
        </row>
        <row r="33">
          <cell r="L33">
            <v>37839.97912938393</v>
          </cell>
        </row>
        <row r="48">
          <cell r="L48">
            <v>38317.112511946754</v>
          </cell>
        </row>
        <row r="55">
          <cell r="L55">
            <v>44829.218496424452</v>
          </cell>
        </row>
        <row r="61">
          <cell r="L61">
            <v>36090.113929646817</v>
          </cell>
        </row>
        <row r="79">
          <cell r="L79">
            <v>3388.7225609995389</v>
          </cell>
        </row>
        <row r="85">
          <cell r="L85">
            <v>3392.3858353642195</v>
          </cell>
        </row>
        <row r="93">
          <cell r="L93">
            <v>56426.809511543121</v>
          </cell>
        </row>
        <row r="99">
          <cell r="L99">
            <v>3615.42464082985</v>
          </cell>
        </row>
        <row r="116">
          <cell r="L116">
            <v>0</v>
          </cell>
        </row>
        <row r="117">
          <cell r="L117">
            <v>0</v>
          </cell>
        </row>
        <row r="124">
          <cell r="L124">
            <v>0</v>
          </cell>
        </row>
        <row r="140">
          <cell r="L140">
            <v>0</v>
          </cell>
        </row>
        <row r="147">
          <cell r="L147">
            <v>0</v>
          </cell>
        </row>
        <row r="155">
          <cell r="L155">
            <v>0</v>
          </cell>
        </row>
        <row r="172">
          <cell r="L172">
            <v>0</v>
          </cell>
        </row>
        <row r="178">
          <cell r="L178">
            <v>0</v>
          </cell>
        </row>
        <row r="186">
          <cell r="L186">
            <v>0</v>
          </cell>
        </row>
        <row r="193">
          <cell r="L193">
            <v>0</v>
          </cell>
        </row>
        <row r="200">
          <cell r="L200">
            <v>0</v>
          </cell>
        </row>
        <row r="215">
          <cell r="L215">
            <v>0</v>
          </cell>
        </row>
      </sheetData>
      <sheetData sheetId="9"/>
      <sheetData sheetId="10">
        <row r="6">
          <cell r="C6">
            <v>43374.539145521579</v>
          </cell>
        </row>
        <row r="31">
          <cell r="C31">
            <v>16631.182823682495</v>
          </cell>
        </row>
        <row r="38">
          <cell r="C38">
            <v>16631.182823682495</v>
          </cell>
        </row>
        <row r="52">
          <cell r="C52">
            <v>0</v>
          </cell>
        </row>
        <row r="57">
          <cell r="C57">
            <v>14278.547820429405</v>
          </cell>
        </row>
        <row r="64">
          <cell r="C64">
            <v>13561.878985035781</v>
          </cell>
        </row>
        <row r="73">
          <cell r="C73">
            <v>12936.860550856645</v>
          </cell>
        </row>
        <row r="78">
          <cell r="C78">
            <v>12936.860550856645</v>
          </cell>
        </row>
        <row r="84">
          <cell r="C84">
            <v>6538.8947317284737</v>
          </cell>
        </row>
      </sheetData>
      <sheetData sheetId="11">
        <row r="22">
          <cell r="L22">
            <v>13933.576887436162</v>
          </cell>
        </row>
        <row r="23">
          <cell r="L23">
            <v>4692.0727255217926</v>
          </cell>
        </row>
        <row r="30">
          <cell r="L30">
            <v>24830.51002325883</v>
          </cell>
        </row>
        <row r="43">
          <cell r="L43">
            <v>1475.0115810019518</v>
          </cell>
        </row>
        <row r="50">
          <cell r="L50">
            <v>23077.894970143887</v>
          </cell>
        </row>
        <row r="65">
          <cell r="L65">
            <v>23980.056735620215</v>
          </cell>
        </row>
        <row r="72">
          <cell r="L72">
            <v>30707.390454006465</v>
          </cell>
        </row>
        <row r="78">
          <cell r="L78">
            <v>27501.177604065371</v>
          </cell>
        </row>
        <row r="91">
          <cell r="L91">
            <v>36827.99263851672</v>
          </cell>
        </row>
        <row r="98">
          <cell r="L98">
            <v>9088.6859788678412</v>
          </cell>
        </row>
        <row r="104">
          <cell r="L104">
            <v>9092.0178014311023</v>
          </cell>
        </row>
        <row r="123">
          <cell r="L123">
            <v>2879.2332024072507</v>
          </cell>
        </row>
        <row r="129">
          <cell r="L129">
            <v>2880.156074410374</v>
          </cell>
        </row>
        <row r="137">
          <cell r="L137">
            <v>4475.5910860848344</v>
          </cell>
        </row>
        <row r="143">
          <cell r="L143">
            <v>2954.1194660980391</v>
          </cell>
        </row>
        <row r="159">
          <cell r="L159">
            <v>1797.5184200885146</v>
          </cell>
        </row>
        <row r="165">
          <cell r="L165">
            <v>1799.0984197726914</v>
          </cell>
        </row>
        <row r="173">
          <cell r="L173">
            <v>1893.526268600717</v>
          </cell>
        </row>
        <row r="181">
          <cell r="L181">
            <v>15386.927770394079</v>
          </cell>
        </row>
        <row r="188">
          <cell r="L188">
            <v>19938.347190706601</v>
          </cell>
        </row>
        <row r="203">
          <cell r="L203">
            <v>0</v>
          </cell>
        </row>
      </sheetData>
      <sheetData sheetId="12"/>
      <sheetData sheetId="13">
        <row r="6">
          <cell r="C6">
            <v>43374.539145521579</v>
          </cell>
        </row>
        <row r="48">
          <cell r="C48">
            <v>15248.40338321405</v>
          </cell>
        </row>
        <row r="61">
          <cell r="C61">
            <v>9967.1176577748829</v>
          </cell>
        </row>
        <row r="66">
          <cell r="C66">
            <v>9967.1176577748829</v>
          </cell>
        </row>
        <row r="72">
          <cell r="C72">
            <v>9967.1176577748829</v>
          </cell>
        </row>
        <row r="78">
          <cell r="C78">
            <v>3471.4620651485529</v>
          </cell>
        </row>
        <row r="93">
          <cell r="L93">
            <v>2768.9024371286055</v>
          </cell>
        </row>
        <row r="94">
          <cell r="L94">
            <v>0</v>
          </cell>
        </row>
      </sheetData>
      <sheetData sheetId="14">
        <row r="18">
          <cell r="L18">
            <v>7294.1357021724452</v>
          </cell>
        </row>
        <row r="19">
          <cell r="L19">
            <v>1978.3763313342722</v>
          </cell>
        </row>
        <row r="26">
          <cell r="L26">
            <v>13094.049486532675</v>
          </cell>
        </row>
        <row r="33">
          <cell r="L33">
            <v>13103.297381787714</v>
          </cell>
        </row>
        <row r="48">
          <cell r="L48">
            <v>13619.80581770738</v>
          </cell>
        </row>
        <row r="55">
          <cell r="L55">
            <v>17758.706906388266</v>
          </cell>
        </row>
        <row r="61">
          <cell r="L61">
            <v>16818.040775815851</v>
          </cell>
        </row>
        <row r="79">
          <cell r="L79">
            <v>3252.1981952104143</v>
          </cell>
        </row>
        <row r="85">
          <cell r="L85">
            <v>3253.9052859045109</v>
          </cell>
        </row>
        <row r="93">
          <cell r="L93">
            <v>18771.421705233715</v>
          </cell>
        </row>
        <row r="99">
          <cell r="L99">
            <v>3586.9403490544819</v>
          </cell>
        </row>
        <row r="116">
          <cell r="L116">
            <v>0</v>
          </cell>
        </row>
        <row r="117">
          <cell r="L117">
            <v>0</v>
          </cell>
        </row>
        <row r="124">
          <cell r="L124">
            <v>0</v>
          </cell>
        </row>
        <row r="132">
          <cell r="L132">
            <v>0</v>
          </cell>
        </row>
        <row r="140">
          <cell r="L140">
            <v>0</v>
          </cell>
        </row>
        <row r="147">
          <cell r="L147">
            <v>0</v>
          </cell>
        </row>
        <row r="155">
          <cell r="L155">
            <v>0</v>
          </cell>
        </row>
        <row r="172">
          <cell r="L172">
            <v>0</v>
          </cell>
        </row>
        <row r="178">
          <cell r="L178">
            <v>0</v>
          </cell>
        </row>
        <row r="186">
          <cell r="L186">
            <v>0</v>
          </cell>
        </row>
        <row r="193">
          <cell r="L193">
            <v>0</v>
          </cell>
        </row>
        <row r="208">
          <cell r="L208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"/>
  <sheetViews>
    <sheetView showGridLines="0" tabSelected="1" zoomScale="63" workbookViewId="0">
      <selection activeCell="L2" sqref="L2"/>
    </sheetView>
  </sheetViews>
  <sheetFormatPr baseColWidth="10" defaultRowHeight="14.5" x14ac:dyDescent="0.35"/>
  <cols>
    <col min="1" max="1" width="22.90625" customWidth="1"/>
    <col min="2" max="2" width="25.453125" customWidth="1"/>
    <col min="3" max="3" width="31" bestFit="1" customWidth="1"/>
    <col min="4" max="4" width="11" bestFit="1" customWidth="1"/>
    <col min="6" max="9" width="11" bestFit="1" customWidth="1"/>
    <col min="11" max="14" width="11" bestFit="1" customWidth="1"/>
    <col min="15" max="15" width="12.54296875" bestFit="1" customWidth="1"/>
    <col min="16" max="16" width="11" bestFit="1" customWidth="1"/>
    <col min="18" max="18" width="11" bestFit="1" customWidth="1"/>
    <col min="19" max="19" width="35.26953125" bestFit="1" customWidth="1"/>
    <col min="20" max="20" width="74.36328125" bestFit="1" customWidth="1"/>
  </cols>
  <sheetData>
    <row r="1" spans="1:20" ht="87.5" thickBot="1" x14ac:dyDescent="0.4">
      <c r="A1" s="3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4</v>
      </c>
      <c r="K1" s="56" t="s">
        <v>9</v>
      </c>
      <c r="L1" s="56" t="s">
        <v>10</v>
      </c>
      <c r="M1" s="55" t="s">
        <v>11</v>
      </c>
      <c r="N1" s="55" t="s">
        <v>12</v>
      </c>
      <c r="O1" s="57" t="s">
        <v>13</v>
      </c>
      <c r="P1" s="55" t="s">
        <v>14</v>
      </c>
      <c r="Q1" s="55" t="s">
        <v>15</v>
      </c>
      <c r="R1" s="55" t="s">
        <v>16</v>
      </c>
      <c r="S1" s="55" t="s">
        <v>17</v>
      </c>
      <c r="T1" s="55" t="s">
        <v>18</v>
      </c>
    </row>
    <row r="2" spans="1:20" ht="17" thickBot="1" x14ac:dyDescent="0.4">
      <c r="A2" s="53" t="s">
        <v>41</v>
      </c>
      <c r="B2" s="22" t="s">
        <v>49</v>
      </c>
      <c r="C2" s="22" t="s">
        <v>48</v>
      </c>
      <c r="D2" s="48">
        <v>10</v>
      </c>
      <c r="E2" s="58" t="s">
        <v>44</v>
      </c>
      <c r="F2" s="48">
        <v>24</v>
      </c>
      <c r="G2" s="69">
        <v>0.4</v>
      </c>
      <c r="H2" s="63">
        <f>(1+G2)*F2</f>
        <v>33.599999999999994</v>
      </c>
      <c r="I2" s="61">
        <f>M2/N2</f>
        <v>4.7777751425989807</v>
      </c>
      <c r="J2" s="63" t="s">
        <v>45</v>
      </c>
      <c r="K2" s="59">
        <v>0.8</v>
      </c>
      <c r="L2" s="66">
        <f>H2*(I2/D2)^K2</f>
        <v>18.60886317525026</v>
      </c>
      <c r="M2" s="71">
        <f>[1]R1_Hydro_MEFA!$L$33</f>
        <v>37839.97912938393</v>
      </c>
      <c r="N2" s="71">
        <f>[1]Macro!$D$16*[1]Macro!$D$20*8</f>
        <v>7920</v>
      </c>
      <c r="O2" s="72">
        <f>L2*N2</f>
        <v>147382.19634798207</v>
      </c>
      <c r="P2" s="75">
        <f>60/60</f>
        <v>1</v>
      </c>
      <c r="Q2" s="75"/>
      <c r="R2" s="65">
        <f>M2/I2</f>
        <v>7920.0000000000009</v>
      </c>
      <c r="S2" s="22" t="s">
        <v>46</v>
      </c>
      <c r="T2" s="22"/>
    </row>
    <row r="3" spans="1:20" ht="17" thickBot="1" x14ac:dyDescent="0.4">
      <c r="A3" s="53" t="s">
        <v>97</v>
      </c>
      <c r="B3" s="22" t="s">
        <v>49</v>
      </c>
      <c r="C3" s="22" t="s">
        <v>48</v>
      </c>
      <c r="D3" s="48">
        <v>10</v>
      </c>
      <c r="E3" s="58" t="s">
        <v>44</v>
      </c>
      <c r="F3" s="48">
        <v>24</v>
      </c>
      <c r="G3" s="69">
        <v>0.4</v>
      </c>
      <c r="H3" s="63">
        <f>(1+G3)*F3</f>
        <v>33.599999999999994</v>
      </c>
      <c r="I3" s="61">
        <f>M3/N3</f>
        <v>2.9138756275434199</v>
      </c>
      <c r="J3" s="63" t="s">
        <v>45</v>
      </c>
      <c r="K3" s="59">
        <v>0.8</v>
      </c>
      <c r="L3" s="66">
        <f>H3*(I3/D3)^K3</f>
        <v>12.528990678352661</v>
      </c>
      <c r="M3" s="33">
        <f>[1]R2_Hydro_MEFA!$L$50</f>
        <v>23077.894970143887</v>
      </c>
      <c r="N3" s="88">
        <f>[1]Macro!$D$16*[1]Macro!$D$20*8</f>
        <v>7920</v>
      </c>
      <c r="O3" s="72">
        <f>L3*N3</f>
        <v>99229.606172553074</v>
      </c>
      <c r="P3" s="75">
        <f>60/60</f>
        <v>1</v>
      </c>
      <c r="Q3" s="75"/>
      <c r="R3" s="65">
        <f>M3/I3</f>
        <v>7920.0000000000009</v>
      </c>
      <c r="S3" s="22" t="s">
        <v>46</v>
      </c>
      <c r="T3" s="22"/>
    </row>
    <row r="4" spans="1:20" ht="17" thickBot="1" x14ac:dyDescent="0.4">
      <c r="A4" s="53" t="s">
        <v>41</v>
      </c>
      <c r="B4" s="22" t="s">
        <v>49</v>
      </c>
      <c r="C4" s="22" t="s">
        <v>98</v>
      </c>
      <c r="D4" s="48">
        <v>10</v>
      </c>
      <c r="E4" s="58" t="s">
        <v>44</v>
      </c>
      <c r="F4" s="48">
        <v>24</v>
      </c>
      <c r="G4" s="69">
        <v>0.4</v>
      </c>
      <c r="H4" s="63">
        <f>(1+G4)*F4</f>
        <v>33.599999999999994</v>
      </c>
      <c r="I4" s="61">
        <f>M4/N4</f>
        <v>1.6544567401247112</v>
      </c>
      <c r="J4" s="63" t="s">
        <v>45</v>
      </c>
      <c r="K4" s="59">
        <v>0.8</v>
      </c>
      <c r="L4" s="66">
        <f>H4*(I4/D4)^K4</f>
        <v>7.9664275371907136</v>
      </c>
      <c r="M4" s="71">
        <f>[1]R3_Hydro_MEFA!L33</f>
        <v>13103.297381787714</v>
      </c>
      <c r="N4" s="71">
        <f>[1]Macro!$D$16*[1]Macro!$D$20*8</f>
        <v>7920</v>
      </c>
      <c r="O4" s="72">
        <f>L4*N4</f>
        <v>63094.106094550451</v>
      </c>
      <c r="P4" s="75">
        <f>60/60</f>
        <v>1</v>
      </c>
      <c r="Q4" s="75"/>
      <c r="R4" s="65">
        <f>M4/I4</f>
        <v>7920.0000000000009</v>
      </c>
      <c r="S4" s="22" t="s">
        <v>46</v>
      </c>
      <c r="T4" s="22"/>
    </row>
    <row r="5" spans="1:20" ht="29.5" thickBot="1" x14ac:dyDescent="0.4">
      <c r="A5" s="52" t="s">
        <v>111</v>
      </c>
      <c r="B5" s="49" t="s">
        <v>112</v>
      </c>
      <c r="C5" s="22" t="s">
        <v>43</v>
      </c>
      <c r="D5" s="48">
        <v>2</v>
      </c>
      <c r="E5" s="58" t="s">
        <v>44</v>
      </c>
      <c r="F5" s="48">
        <v>350</v>
      </c>
      <c r="G5" s="69">
        <v>0.4</v>
      </c>
      <c r="H5" s="63">
        <f>(1+G5)*(F5/800*600)</f>
        <v>367.5</v>
      </c>
      <c r="I5" s="61">
        <f>M5/N5</f>
        <v>0.77012138299060851</v>
      </c>
      <c r="J5" s="63" t="s">
        <v>45</v>
      </c>
      <c r="K5" s="59">
        <v>0.8</v>
      </c>
      <c r="L5" s="66">
        <f>H5*(I5/D5)^K5</f>
        <v>171.26976133748198</v>
      </c>
      <c r="M5" s="33">
        <f>[1]R3_MEFA!C48/2.5</f>
        <v>6099.3613532856198</v>
      </c>
      <c r="N5" s="88">
        <f>[1]Macro!$D$16*[1]Macro!$D$20*8</f>
        <v>7920</v>
      </c>
      <c r="O5" s="89">
        <f>L5*N5</f>
        <v>1356456.5097928573</v>
      </c>
      <c r="P5" s="75">
        <f>120/60</f>
        <v>2</v>
      </c>
      <c r="Q5" s="75"/>
      <c r="R5" s="65">
        <f>M5/I5</f>
        <v>7920.0000000000009</v>
      </c>
      <c r="S5" s="22" t="s">
        <v>46</v>
      </c>
      <c r="T5" s="22" t="s">
        <v>113</v>
      </c>
    </row>
    <row r="6" spans="1:20" ht="15" thickBot="1" x14ac:dyDescent="0.4">
      <c r="A6" s="52" t="s">
        <v>19</v>
      </c>
      <c r="B6" s="58" t="s">
        <v>19</v>
      </c>
      <c r="C6" s="58" t="s">
        <v>30</v>
      </c>
      <c r="D6" s="59">
        <v>0.5</v>
      </c>
      <c r="E6" s="58" t="s">
        <v>22</v>
      </c>
      <c r="F6" s="48">
        <v>0</v>
      </c>
      <c r="G6" s="69">
        <v>0</v>
      </c>
      <c r="H6" s="63"/>
      <c r="I6" s="63"/>
      <c r="J6" s="63"/>
      <c r="K6" s="59">
        <v>0.8</v>
      </c>
      <c r="L6" s="60"/>
      <c r="M6" s="61"/>
      <c r="N6" s="61"/>
      <c r="O6" s="62"/>
      <c r="P6" s="61"/>
      <c r="Q6" s="61"/>
      <c r="R6" s="61"/>
      <c r="S6" s="22"/>
      <c r="T6" s="22"/>
    </row>
    <row r="7" spans="1:20" ht="15" thickBot="1" x14ac:dyDescent="0.4">
      <c r="A7" s="52" t="s">
        <v>19</v>
      </c>
      <c r="B7" s="58" t="s">
        <v>19</v>
      </c>
      <c r="C7" s="58" t="s">
        <v>30</v>
      </c>
      <c r="D7" s="59">
        <v>0.5</v>
      </c>
      <c r="E7" s="58" t="s">
        <v>22</v>
      </c>
      <c r="F7" s="48">
        <v>0</v>
      </c>
      <c r="G7" s="69">
        <v>0</v>
      </c>
      <c r="H7" s="63"/>
      <c r="I7" s="63"/>
      <c r="J7" s="63"/>
      <c r="K7" s="59">
        <v>0.8</v>
      </c>
      <c r="L7" s="60"/>
      <c r="M7" s="61"/>
      <c r="N7" s="61"/>
      <c r="O7" s="62"/>
      <c r="P7" s="61"/>
      <c r="Q7" s="61"/>
      <c r="R7" s="61"/>
      <c r="S7" s="22"/>
      <c r="T7" s="22"/>
    </row>
    <row r="8" spans="1:20" ht="15" thickBot="1" x14ac:dyDescent="0.4">
      <c r="A8" s="52" t="s">
        <v>19</v>
      </c>
      <c r="B8" s="58" t="s">
        <v>19</v>
      </c>
      <c r="C8" s="58" t="s">
        <v>30</v>
      </c>
      <c r="D8" s="59">
        <v>0.25</v>
      </c>
      <c r="E8" s="58" t="s">
        <v>22</v>
      </c>
      <c r="F8" s="48">
        <v>0</v>
      </c>
      <c r="G8" s="69">
        <v>0</v>
      </c>
      <c r="H8" s="63"/>
      <c r="I8" s="63"/>
      <c r="J8" s="63"/>
      <c r="K8" s="59">
        <v>0.8</v>
      </c>
      <c r="L8" s="60"/>
      <c r="M8" s="61"/>
      <c r="N8" s="65"/>
      <c r="O8" s="62"/>
      <c r="P8" s="61"/>
      <c r="Q8" s="61"/>
      <c r="R8" s="61"/>
      <c r="S8" s="22"/>
      <c r="T8" s="22" t="s">
        <v>110</v>
      </c>
    </row>
    <row r="9" spans="1:20" ht="15" thickBot="1" x14ac:dyDescent="0.4">
      <c r="A9" s="52" t="s">
        <v>19</v>
      </c>
      <c r="B9" s="58" t="s">
        <v>28</v>
      </c>
      <c r="C9" s="58" t="s">
        <v>29</v>
      </c>
      <c r="D9" s="59">
        <v>0.27</v>
      </c>
      <c r="E9" s="58" t="s">
        <v>22</v>
      </c>
      <c r="F9" s="48">
        <v>0</v>
      </c>
      <c r="G9" s="69">
        <v>0</v>
      </c>
      <c r="H9" s="63"/>
      <c r="I9" s="63"/>
      <c r="J9" s="63"/>
      <c r="K9" s="59">
        <v>0.8</v>
      </c>
      <c r="L9" s="60"/>
      <c r="M9" s="61"/>
      <c r="N9" s="61"/>
      <c r="O9" s="62"/>
      <c r="P9" s="61"/>
      <c r="Q9" s="61"/>
      <c r="R9" s="61"/>
      <c r="S9" s="22"/>
      <c r="T9" s="22"/>
    </row>
    <row r="10" spans="1:20" ht="15" thickBot="1" x14ac:dyDescent="0.4">
      <c r="A10" s="52" t="s">
        <v>19</v>
      </c>
      <c r="B10" s="58" t="s">
        <v>28</v>
      </c>
      <c r="C10" s="58" t="s">
        <v>79</v>
      </c>
      <c r="D10" s="59">
        <v>0.27</v>
      </c>
      <c r="E10" s="58" t="s">
        <v>22</v>
      </c>
      <c r="F10" s="48">
        <v>0</v>
      </c>
      <c r="G10" s="69">
        <v>0</v>
      </c>
      <c r="H10" s="63"/>
      <c r="I10" s="63"/>
      <c r="J10" s="63"/>
      <c r="K10" s="59">
        <v>0.8</v>
      </c>
      <c r="L10" s="60"/>
      <c r="M10" s="61"/>
      <c r="N10" s="61"/>
      <c r="O10" s="62"/>
      <c r="P10" s="61"/>
      <c r="Q10" s="61"/>
      <c r="R10" s="61"/>
      <c r="S10" s="22"/>
      <c r="T10" s="22"/>
    </row>
    <row r="11" spans="1:20" ht="15" thickBot="1" x14ac:dyDescent="0.4">
      <c r="A11" s="53" t="s">
        <v>80</v>
      </c>
      <c r="B11" s="22" t="s">
        <v>84</v>
      </c>
      <c r="C11" s="58" t="s">
        <v>85</v>
      </c>
      <c r="D11" s="87">
        <v>1.5</v>
      </c>
      <c r="E11" s="58" t="s">
        <v>83</v>
      </c>
      <c r="F11" s="87">
        <v>2.8</v>
      </c>
      <c r="G11" s="69">
        <v>0.4</v>
      </c>
      <c r="H11" s="63">
        <f>(1+G11)*F11</f>
        <v>3.9199999999999995</v>
      </c>
      <c r="I11" s="61">
        <f>M11/N11</f>
        <v>2.0998968211720324</v>
      </c>
      <c r="J11" s="63" t="s">
        <v>38</v>
      </c>
      <c r="K11" s="59">
        <v>0.8</v>
      </c>
      <c r="L11" s="66">
        <f>H11*(I11/D11)^K11</f>
        <v>5.1306386053741475</v>
      </c>
      <c r="M11" s="33">
        <f>[1]R2_MEFA!$C$38</f>
        <v>16631.182823682495</v>
      </c>
      <c r="N11" s="88">
        <f>[1]Macro!$D$16*[1]Macro!$D$20*8</f>
        <v>7920</v>
      </c>
      <c r="O11" s="89">
        <f>N11*L11</f>
        <v>40634.657754563246</v>
      </c>
      <c r="P11" s="65"/>
      <c r="Q11" s="65"/>
      <c r="R11" s="65"/>
      <c r="S11" s="22" t="s">
        <v>35</v>
      </c>
      <c r="T11" s="22"/>
    </row>
    <row r="12" spans="1:20" ht="15" thickBot="1" x14ac:dyDescent="0.4">
      <c r="A12" s="52" t="s">
        <v>31</v>
      </c>
      <c r="B12" s="58" t="s">
        <v>32</v>
      </c>
      <c r="C12" s="58" t="s">
        <v>33</v>
      </c>
      <c r="D12" s="59">
        <v>1.5</v>
      </c>
      <c r="E12" s="58" t="s">
        <v>34</v>
      </c>
      <c r="F12" s="68">
        <v>5</v>
      </c>
      <c r="G12" s="69">
        <v>0.4</v>
      </c>
      <c r="H12" s="70">
        <f>(1+G12)*F12</f>
        <v>7</v>
      </c>
      <c r="I12" s="65">
        <f>M12/N12</f>
        <v>5.476583225444644</v>
      </c>
      <c r="J12" s="64" t="s">
        <v>34</v>
      </c>
      <c r="K12" s="59">
        <v>0.8</v>
      </c>
      <c r="L12" s="66">
        <f>H12*(I12/D12)^K12</f>
        <v>19.725716461198029</v>
      </c>
      <c r="M12" s="71">
        <f>[1]R1_MEFA!C6</f>
        <v>43374.539145521579</v>
      </c>
      <c r="N12" s="71">
        <f>[1]Macro!$D$16*[1]Macro!$D$20*8</f>
        <v>7920</v>
      </c>
      <c r="O12" s="72">
        <f>N12*F12/(D12/I12)</f>
        <v>144581.7971517386</v>
      </c>
      <c r="P12" s="65"/>
      <c r="Q12" s="65"/>
      <c r="R12" s="65">
        <f>M12/I12</f>
        <v>7920</v>
      </c>
      <c r="S12" s="22" t="s">
        <v>35</v>
      </c>
      <c r="T12" s="22"/>
    </row>
    <row r="13" spans="1:20" ht="15" thickBot="1" x14ac:dyDescent="0.4">
      <c r="A13" s="52" t="s">
        <v>111</v>
      </c>
      <c r="B13" s="77" t="s">
        <v>32</v>
      </c>
      <c r="C13" s="58" t="s">
        <v>33</v>
      </c>
      <c r="D13" s="87">
        <v>1.5</v>
      </c>
      <c r="E13" s="58" t="s">
        <v>34</v>
      </c>
      <c r="F13" s="59">
        <v>5</v>
      </c>
      <c r="G13" s="69">
        <v>0.4</v>
      </c>
      <c r="H13" s="70">
        <f>(1+G13)*F13</f>
        <v>7</v>
      </c>
      <c r="I13" s="65">
        <f>M13/N13</f>
        <v>5.476583225444644</v>
      </c>
      <c r="J13" s="64"/>
      <c r="K13" s="59">
        <v>0.8</v>
      </c>
      <c r="L13" s="66">
        <f>H13*(I13/D13)^K13</f>
        <v>19.725716461198029</v>
      </c>
      <c r="M13" s="71">
        <f>[1]R3_MEFA!C6</f>
        <v>43374.539145521579</v>
      </c>
      <c r="N13" s="88">
        <f>[1]Macro!$D$16*[1]Macro!$D$20*8</f>
        <v>7920</v>
      </c>
      <c r="O13" s="72">
        <f>N13*F13/(D13/I13)</f>
        <v>144581.7971517386</v>
      </c>
      <c r="P13" s="75">
        <v>1</v>
      </c>
      <c r="Q13" s="75"/>
      <c r="R13" s="65">
        <f>M13/I13</f>
        <v>7920</v>
      </c>
      <c r="S13" s="22" t="s">
        <v>35</v>
      </c>
      <c r="T13" s="22"/>
    </row>
    <row r="14" spans="1:20" ht="17" thickBot="1" x14ac:dyDescent="0.4">
      <c r="A14" s="53" t="s">
        <v>41</v>
      </c>
      <c r="B14" s="49" t="s">
        <v>42</v>
      </c>
      <c r="C14" s="22" t="s">
        <v>43</v>
      </c>
      <c r="D14" s="48">
        <v>2</v>
      </c>
      <c r="E14" s="58" t="s">
        <v>44</v>
      </c>
      <c r="F14" s="48">
        <v>350</v>
      </c>
      <c r="G14" s="69">
        <v>0.4</v>
      </c>
      <c r="H14" s="64">
        <f>(1+G14)*(F14/800*140)</f>
        <v>85.75</v>
      </c>
      <c r="I14" s="65">
        <f>M14/N14*P14</f>
        <v>0.86811785793364094</v>
      </c>
      <c r="J14" s="64" t="s">
        <v>45</v>
      </c>
      <c r="K14" s="59">
        <v>0.8</v>
      </c>
      <c r="L14" s="66">
        <f>H14*(I14/D14)^K14</f>
        <v>43.981808603142703</v>
      </c>
      <c r="M14" s="71">
        <f>[1]R1_Hydro_MEFA!$L$19</f>
        <v>3437.746717417218</v>
      </c>
      <c r="N14" s="71">
        <f>[1]Macro!$D$16*[1]Macro!$D$20*8</f>
        <v>7920</v>
      </c>
      <c r="O14" s="72">
        <f>L14*N14</f>
        <v>348335.92413689021</v>
      </c>
      <c r="P14" s="73">
        <f>120/60</f>
        <v>2</v>
      </c>
      <c r="Q14" s="73"/>
      <c r="R14" s="65">
        <f>M14/I14</f>
        <v>3960</v>
      </c>
      <c r="S14" s="22" t="s">
        <v>46</v>
      </c>
      <c r="T14" s="22"/>
    </row>
    <row r="15" spans="1:20" ht="17" thickBot="1" x14ac:dyDescent="0.4">
      <c r="A15" s="53" t="s">
        <v>97</v>
      </c>
      <c r="B15" s="22" t="s">
        <v>42</v>
      </c>
      <c r="C15" s="22" t="s">
        <v>43</v>
      </c>
      <c r="D15" s="48">
        <v>2</v>
      </c>
      <c r="E15" s="58" t="s">
        <v>44</v>
      </c>
      <c r="F15" s="48">
        <v>350</v>
      </c>
      <c r="G15" s="69">
        <v>0.4</v>
      </c>
      <c r="H15" s="63">
        <f>(1+G15)*(F15/800*140)</f>
        <v>85.75</v>
      </c>
      <c r="I15" s="61">
        <f>M15/N15</f>
        <v>0.59243342493962026</v>
      </c>
      <c r="J15" s="63" t="s">
        <v>45</v>
      </c>
      <c r="K15" s="59">
        <v>0.8</v>
      </c>
      <c r="L15" s="66">
        <f>H15*(I15/D15)^K15</f>
        <v>32.398266600818623</v>
      </c>
      <c r="M15" s="33">
        <f>[1]R2_Hydro_MEFA!$L$23</f>
        <v>4692.0727255217926</v>
      </c>
      <c r="N15" s="88">
        <f>[1]Macro!$D$16*[1]Macro!$D$20*8</f>
        <v>7920</v>
      </c>
      <c r="O15" s="89">
        <f>L15*N15</f>
        <v>256594.27147848348</v>
      </c>
      <c r="P15" s="75">
        <f>120/60</f>
        <v>2</v>
      </c>
      <c r="Q15" s="75"/>
      <c r="R15" s="65">
        <f>M15/I15</f>
        <v>7920</v>
      </c>
      <c r="S15" s="22" t="s">
        <v>46</v>
      </c>
      <c r="T15" s="22"/>
    </row>
    <row r="16" spans="1:20" ht="17" thickBot="1" x14ac:dyDescent="0.4">
      <c r="A16" s="53" t="s">
        <v>41</v>
      </c>
      <c r="B16" s="22" t="s">
        <v>42</v>
      </c>
      <c r="C16" s="22" t="s">
        <v>43</v>
      </c>
      <c r="D16" s="48">
        <v>2</v>
      </c>
      <c r="E16" s="58" t="s">
        <v>44</v>
      </c>
      <c r="F16" s="48">
        <v>350</v>
      </c>
      <c r="G16" s="69">
        <v>0.4</v>
      </c>
      <c r="H16" s="64">
        <f>(1+G16)*(F16/800*140)</f>
        <v>85.75</v>
      </c>
      <c r="I16" s="65">
        <f>M16/N16</f>
        <v>0.24979499133008487</v>
      </c>
      <c r="J16" s="64" t="s">
        <v>45</v>
      </c>
      <c r="K16" s="59">
        <v>0.8</v>
      </c>
      <c r="L16" s="66">
        <f>H16*(I16/D16)^K16</f>
        <v>16.23592786120787</v>
      </c>
      <c r="M16" s="71">
        <f>[1]R3_Hydro_MEFA!L19</f>
        <v>1978.3763313342722</v>
      </c>
      <c r="N16" s="71">
        <f>[1]Macro!$D$16*[1]Macro!$D$20*8</f>
        <v>7920</v>
      </c>
      <c r="O16" s="72">
        <f>L16*N16</f>
        <v>128588.54866076633</v>
      </c>
      <c r="P16" s="73">
        <f>120/60</f>
        <v>2</v>
      </c>
      <c r="Q16" s="73"/>
      <c r="R16" s="65">
        <f>M16/I16</f>
        <v>7920</v>
      </c>
      <c r="S16" s="22" t="s">
        <v>46</v>
      </c>
      <c r="T16" s="22"/>
    </row>
    <row r="17" spans="1:20" ht="17" thickBot="1" x14ac:dyDescent="0.4">
      <c r="A17" s="53" t="s">
        <v>63</v>
      </c>
      <c r="B17" s="58" t="s">
        <v>64</v>
      </c>
      <c r="C17" s="58" t="s">
        <v>43</v>
      </c>
      <c r="D17" s="48">
        <v>2</v>
      </c>
      <c r="E17" s="58" t="s">
        <v>44</v>
      </c>
      <c r="F17" s="48">
        <v>350</v>
      </c>
      <c r="G17" s="69">
        <v>0.4</v>
      </c>
      <c r="H17" s="64">
        <f>(1+G17)*(F17/800*140)</f>
        <v>85.75</v>
      </c>
      <c r="I17" s="65">
        <f>M17/N17</f>
        <v>0</v>
      </c>
      <c r="J17" s="64" t="s">
        <v>45</v>
      </c>
      <c r="K17" s="59">
        <v>0.8</v>
      </c>
      <c r="L17" s="66">
        <f>H17*(I17/D17)^K17</f>
        <v>0</v>
      </c>
      <c r="M17" s="33">
        <f>[1]R1_Hydro_MEFA!$L$117</f>
        <v>0</v>
      </c>
      <c r="N17" s="71">
        <f>[1]Macro!$D$16*[1]Macro!$D$20*8</f>
        <v>7920</v>
      </c>
      <c r="O17" s="67">
        <f>L17*N17</f>
        <v>0</v>
      </c>
      <c r="P17" s="65"/>
      <c r="Q17" s="65"/>
      <c r="R17" s="65" t="e">
        <f>M17/I17</f>
        <v>#DIV/0!</v>
      </c>
      <c r="S17" s="22" t="s">
        <v>46</v>
      </c>
      <c r="T17" s="22"/>
    </row>
    <row r="18" spans="1:20" ht="17" thickBot="1" x14ac:dyDescent="0.4">
      <c r="A18" s="53" t="s">
        <v>63</v>
      </c>
      <c r="B18" s="58" t="s">
        <v>64</v>
      </c>
      <c r="C18" s="58" t="s">
        <v>43</v>
      </c>
      <c r="D18" s="48">
        <v>2</v>
      </c>
      <c r="E18" s="58" t="s">
        <v>44</v>
      </c>
      <c r="F18" s="48">
        <v>350</v>
      </c>
      <c r="G18" s="69">
        <v>0.4</v>
      </c>
      <c r="H18" s="64">
        <f>(1+G18)*(F18/800*140)</f>
        <v>85.75</v>
      </c>
      <c r="I18" s="65">
        <f>M18/N18</f>
        <v>0</v>
      </c>
      <c r="J18" s="64" t="s">
        <v>45</v>
      </c>
      <c r="K18" s="59">
        <v>0.8</v>
      </c>
      <c r="L18" s="66">
        <f>H18*(I18/D18)^K18</f>
        <v>0</v>
      </c>
      <c r="M18" s="33">
        <f>[1]R3_Hydro_MEFA!L117</f>
        <v>0</v>
      </c>
      <c r="N18" s="71">
        <f>[1]Macro!$D$16*[1]Macro!$D$20*8</f>
        <v>7920</v>
      </c>
      <c r="O18" s="67">
        <f>L18*N18</f>
        <v>0</v>
      </c>
      <c r="P18" s="65"/>
      <c r="Q18" s="65"/>
      <c r="R18" s="65" t="e">
        <f>M18/I18</f>
        <v>#DIV/0!</v>
      </c>
      <c r="S18" s="22" t="s">
        <v>46</v>
      </c>
      <c r="T18" s="22"/>
    </row>
    <row r="19" spans="1:20" ht="17" thickBot="1" x14ac:dyDescent="0.4">
      <c r="A19" s="53" t="s">
        <v>41</v>
      </c>
      <c r="B19" s="22" t="s">
        <v>56</v>
      </c>
      <c r="C19" s="22" t="s">
        <v>48</v>
      </c>
      <c r="D19" s="48">
        <v>10</v>
      </c>
      <c r="E19" s="58" t="s">
        <v>44</v>
      </c>
      <c r="F19" s="48">
        <v>24</v>
      </c>
      <c r="G19" s="69">
        <v>0.4</v>
      </c>
      <c r="H19" s="63">
        <f>(1+G19)*F19</f>
        <v>33.599999999999994</v>
      </c>
      <c r="I19" s="61">
        <f>M19/N19</f>
        <v>4.5568325668745979</v>
      </c>
      <c r="J19" s="63" t="s">
        <v>45</v>
      </c>
      <c r="K19" s="59">
        <v>0.8</v>
      </c>
      <c r="L19" s="66">
        <f>H19*(I19/D19)^K19</f>
        <v>17.91718321070336</v>
      </c>
      <c r="M19" s="33">
        <f>[1]R1_Hydro_MEFA!$L$61</f>
        <v>36090.113929646817</v>
      </c>
      <c r="N19" s="71">
        <f>[1]Macro!$D$16*[1]Macro!$D$20*8</f>
        <v>7920</v>
      </c>
      <c r="O19" s="72">
        <f>L19*N19</f>
        <v>141904.09102877061</v>
      </c>
      <c r="P19" s="75">
        <f>10/60</f>
        <v>0.16666666666666666</v>
      </c>
      <c r="Q19" s="75"/>
      <c r="R19" s="65">
        <f>M19/I19</f>
        <v>7920</v>
      </c>
      <c r="S19" s="22" t="s">
        <v>46</v>
      </c>
      <c r="T19" s="22"/>
    </row>
    <row r="20" spans="1:20" ht="17" thickBot="1" x14ac:dyDescent="0.4">
      <c r="A20" s="53" t="s">
        <v>97</v>
      </c>
      <c r="B20" s="22" t="s">
        <v>56</v>
      </c>
      <c r="C20" s="22" t="s">
        <v>98</v>
      </c>
      <c r="D20" s="48">
        <v>10</v>
      </c>
      <c r="E20" s="58" t="s">
        <v>44</v>
      </c>
      <c r="F20" s="48">
        <v>24</v>
      </c>
      <c r="G20" s="69">
        <v>0.4</v>
      </c>
      <c r="H20" s="63">
        <f>(1+G20)*F20</f>
        <v>33.599999999999994</v>
      </c>
      <c r="I20" s="61">
        <f>M20/N20</f>
        <v>1.1479820456352401</v>
      </c>
      <c r="J20" s="63" t="s">
        <v>45</v>
      </c>
      <c r="K20" s="59">
        <v>0.8</v>
      </c>
      <c r="L20" s="66">
        <f>H20*(I20/D20)^K20</f>
        <v>5.9468550633678454</v>
      </c>
      <c r="M20" s="33">
        <f>[1]R2_Hydro_MEFA!$L$104</f>
        <v>9092.0178014311023</v>
      </c>
      <c r="N20" s="88">
        <f>[1]Macro!$D$16*[1]Macro!$D$20*8</f>
        <v>7920</v>
      </c>
      <c r="O20" s="72">
        <f>L20*N20</f>
        <v>47099.092101873335</v>
      </c>
      <c r="P20" s="75">
        <f>10/60</f>
        <v>0.16666666666666666</v>
      </c>
      <c r="Q20" s="75"/>
      <c r="R20" s="65">
        <f>M20/I20</f>
        <v>7920.0000000000009</v>
      </c>
      <c r="S20" s="22" t="s">
        <v>46</v>
      </c>
      <c r="T20" s="22"/>
    </row>
    <row r="21" spans="1:20" ht="17" thickBot="1" x14ac:dyDescent="0.4">
      <c r="A21" s="53" t="s">
        <v>41</v>
      </c>
      <c r="B21" s="22" t="s">
        <v>56</v>
      </c>
      <c r="C21" s="22" t="s">
        <v>98</v>
      </c>
      <c r="D21" s="48">
        <v>10</v>
      </c>
      <c r="E21" s="58" t="s">
        <v>44</v>
      </c>
      <c r="F21" s="48">
        <v>24</v>
      </c>
      <c r="G21" s="69">
        <v>0.4</v>
      </c>
      <c r="H21" s="63">
        <f>(1+G21)*F21</f>
        <v>33.599999999999994</v>
      </c>
      <c r="I21" s="61">
        <f>M21/N21</f>
        <v>2.123489996946446</v>
      </c>
      <c r="J21" s="63" t="s">
        <v>45</v>
      </c>
      <c r="K21" s="59">
        <v>0.8</v>
      </c>
      <c r="L21" s="66">
        <f>H21*(I21/D21)^K21</f>
        <v>9.727012030157832</v>
      </c>
      <c r="M21" s="33">
        <f>[1]R3_Hydro_MEFA!L61</f>
        <v>16818.040775815851</v>
      </c>
      <c r="N21" s="71">
        <f>[1]Macro!$D$16*[1]Macro!$D$20*8</f>
        <v>7920</v>
      </c>
      <c r="O21" s="72">
        <f>L21*N21</f>
        <v>77037.935278850025</v>
      </c>
      <c r="P21" s="75">
        <f>10/60</f>
        <v>0.16666666666666666</v>
      </c>
      <c r="Q21" s="75"/>
      <c r="R21" s="65">
        <f>M21/I21</f>
        <v>7919.9999999999991</v>
      </c>
      <c r="S21" s="22" t="s">
        <v>46</v>
      </c>
      <c r="T21" s="22"/>
    </row>
    <row r="22" spans="1:20" ht="16.5" x14ac:dyDescent="0.35">
      <c r="A22" s="53" t="s">
        <v>97</v>
      </c>
      <c r="B22" s="22" t="s">
        <v>106</v>
      </c>
      <c r="C22" s="22" t="s">
        <v>98</v>
      </c>
      <c r="D22" s="48">
        <v>10</v>
      </c>
      <c r="E22" s="58" t="s">
        <v>44</v>
      </c>
      <c r="F22" s="48">
        <v>24</v>
      </c>
      <c r="G22" s="69">
        <v>0.4</v>
      </c>
      <c r="H22" s="63">
        <f>(1+G22)*F22</f>
        <v>33.599999999999994</v>
      </c>
      <c r="I22" s="61">
        <f>M22/N22</f>
        <v>3.4723709096042135</v>
      </c>
      <c r="J22" s="63" t="s">
        <v>45</v>
      </c>
      <c r="K22" s="59">
        <v>0.8</v>
      </c>
      <c r="L22" s="66">
        <f>H22*(I22/D22)^K22</f>
        <v>14.415847012802766</v>
      </c>
      <c r="M22" s="33">
        <f>[1]R2_Hydro_MEFA!$L$78</f>
        <v>27501.177604065371</v>
      </c>
      <c r="N22" s="88">
        <f>[1]Macro!$D$16*[1]Macro!$D$20*8</f>
        <v>7920</v>
      </c>
      <c r="O22" s="72">
        <f>L22*N22</f>
        <v>114173.50834139792</v>
      </c>
      <c r="P22" s="75">
        <f>10/60</f>
        <v>0.16666666666666666</v>
      </c>
      <c r="Q22" s="75"/>
      <c r="R22" s="65">
        <f>M22/I22</f>
        <v>7920</v>
      </c>
      <c r="S22" s="22" t="s">
        <v>46</v>
      </c>
      <c r="T22" s="22"/>
    </row>
    <row r="23" spans="1:20" ht="16.5" x14ac:dyDescent="0.35">
      <c r="A23" s="54" t="s">
        <v>63</v>
      </c>
      <c r="B23" s="58" t="s">
        <v>70</v>
      </c>
      <c r="C23" s="58" t="s">
        <v>48</v>
      </c>
      <c r="D23" s="48">
        <v>10</v>
      </c>
      <c r="E23" s="58" t="s">
        <v>44</v>
      </c>
      <c r="F23" s="48">
        <v>24</v>
      </c>
      <c r="G23" s="69">
        <v>0.4</v>
      </c>
      <c r="H23" s="64">
        <f>(1+G23)*F23</f>
        <v>33.599999999999994</v>
      </c>
      <c r="I23" s="65">
        <f>M23/N23</f>
        <v>0</v>
      </c>
      <c r="J23" s="64" t="s">
        <v>45</v>
      </c>
      <c r="K23" s="59">
        <v>0.8</v>
      </c>
      <c r="L23" s="66">
        <f>H23*(I23/D23)^K23</f>
        <v>0</v>
      </c>
      <c r="M23" s="33">
        <f>[1]R1_Hydro_MEFA!$L$155</f>
        <v>0</v>
      </c>
      <c r="N23" s="71">
        <f>[1]Macro!$D$16*[1]Macro!$D$20*8</f>
        <v>7920</v>
      </c>
      <c r="O23" s="67">
        <f>L23*N23</f>
        <v>0</v>
      </c>
      <c r="P23" s="65"/>
      <c r="Q23" s="65"/>
      <c r="R23" s="65" t="e">
        <f>M23/I23</f>
        <v>#DIV/0!</v>
      </c>
      <c r="S23" s="22" t="s">
        <v>46</v>
      </c>
      <c r="T23" s="22"/>
    </row>
    <row r="24" spans="1:20" ht="16.5" x14ac:dyDescent="0.35">
      <c r="A24" s="54" t="s">
        <v>97</v>
      </c>
      <c r="B24" s="22" t="s">
        <v>70</v>
      </c>
      <c r="C24" s="22" t="s">
        <v>98</v>
      </c>
      <c r="D24" s="48">
        <v>10</v>
      </c>
      <c r="E24" s="58" t="s">
        <v>44</v>
      </c>
      <c r="F24" s="48">
        <v>24</v>
      </c>
      <c r="G24" s="69">
        <v>0.4</v>
      </c>
      <c r="H24" s="63">
        <f>(1+G24)*F24</f>
        <v>33.599999999999994</v>
      </c>
      <c r="I24" s="61">
        <f>M24/N24</f>
        <v>4.6499990705197876</v>
      </c>
      <c r="J24" s="63" t="s">
        <v>45</v>
      </c>
      <c r="K24" s="59">
        <v>0.8</v>
      </c>
      <c r="L24" s="66">
        <f>H24*(I24/D24)^K24</f>
        <v>18.209648816311134</v>
      </c>
      <c r="M24" s="33">
        <f>[1]R2_Hydro_MEFA!$L$91</f>
        <v>36827.99263851672</v>
      </c>
      <c r="N24" s="88">
        <f>[1]Macro!$D$16*[1]Macro!$D$20*8</f>
        <v>7920</v>
      </c>
      <c r="O24" s="72">
        <f>L24*N24</f>
        <v>144220.41862518419</v>
      </c>
      <c r="P24" s="75">
        <f>10/60</f>
        <v>0.16666666666666666</v>
      </c>
      <c r="Q24" s="75"/>
      <c r="R24" s="65">
        <f>M24/I24</f>
        <v>7920.0000000000009</v>
      </c>
      <c r="S24" s="22" t="s">
        <v>46</v>
      </c>
      <c r="T24" s="22"/>
    </row>
    <row r="25" spans="1:20" ht="16.5" x14ac:dyDescent="0.35">
      <c r="A25" s="54" t="s">
        <v>63</v>
      </c>
      <c r="B25" s="58" t="s">
        <v>70</v>
      </c>
      <c r="C25" s="58" t="s">
        <v>48</v>
      </c>
      <c r="D25" s="48">
        <v>10</v>
      </c>
      <c r="E25" s="58" t="s">
        <v>44</v>
      </c>
      <c r="F25" s="48">
        <v>24</v>
      </c>
      <c r="G25" s="69">
        <v>0.4</v>
      </c>
      <c r="H25" s="64">
        <f>(1+G25)*F25</f>
        <v>33.599999999999994</v>
      </c>
      <c r="I25" s="65">
        <f>M25/N25</f>
        <v>0</v>
      </c>
      <c r="J25" s="64" t="s">
        <v>45</v>
      </c>
      <c r="K25" s="59">
        <v>0.8</v>
      </c>
      <c r="L25" s="66">
        <f>H25*(I25/D25)^K25</f>
        <v>0</v>
      </c>
      <c r="M25" s="33">
        <f>[1]R3_Hydro_MEFA!L155</f>
        <v>0</v>
      </c>
      <c r="N25" s="71">
        <f>[1]Macro!$D$16*[1]Macro!$D$20*8</f>
        <v>7920</v>
      </c>
      <c r="O25" s="67">
        <f>L25*N25</f>
        <v>0</v>
      </c>
      <c r="P25" s="65"/>
      <c r="Q25" s="65"/>
      <c r="R25" s="65" t="e">
        <f>M25/I25</f>
        <v>#DIV/0!</v>
      </c>
      <c r="S25" s="22" t="s">
        <v>46</v>
      </c>
      <c r="T25" s="22"/>
    </row>
    <row r="26" spans="1:20" ht="15" thickBot="1" x14ac:dyDescent="0.4">
      <c r="A26" s="54" t="s">
        <v>80</v>
      </c>
      <c r="B26" s="22" t="s">
        <v>93</v>
      </c>
      <c r="C26" s="58" t="s">
        <v>93</v>
      </c>
      <c r="D26" s="87">
        <v>1.5</v>
      </c>
      <c r="E26" s="58" t="s">
        <v>83</v>
      </c>
      <c r="F26" s="87">
        <v>5</v>
      </c>
      <c r="G26" s="69">
        <v>0.4</v>
      </c>
      <c r="H26" s="63">
        <f>(1+G26)*F26</f>
        <v>7</v>
      </c>
      <c r="I26" s="61">
        <f>M26/N26</f>
        <v>1.633441988744526</v>
      </c>
      <c r="J26" s="63" t="s">
        <v>38</v>
      </c>
      <c r="K26" s="59">
        <v>0.8</v>
      </c>
      <c r="L26" s="66">
        <f>H26*(I26/D26)^K26</f>
        <v>7.493901923388087</v>
      </c>
      <c r="M26" s="33">
        <f>[1]R2_MEFA!$C$78</f>
        <v>12936.860550856645</v>
      </c>
      <c r="N26" s="88">
        <f>[1]Macro!$D$16*[1]Macro!$D$20*8</f>
        <v>7920</v>
      </c>
      <c r="O26" s="89">
        <f>N26*L26</f>
        <v>59351.703233233646</v>
      </c>
      <c r="P26" s="65"/>
      <c r="Q26" s="65"/>
      <c r="R26" s="65"/>
      <c r="S26" s="22" t="s">
        <v>35</v>
      </c>
      <c r="T26" s="22"/>
    </row>
    <row r="27" spans="1:20" ht="15" thickBot="1" x14ac:dyDescent="0.4">
      <c r="A27" s="53" t="s">
        <v>80</v>
      </c>
      <c r="B27" s="22" t="s">
        <v>93</v>
      </c>
      <c r="C27" s="58" t="s">
        <v>93</v>
      </c>
      <c r="D27" s="87">
        <v>1.5</v>
      </c>
      <c r="E27" s="58" t="s">
        <v>83</v>
      </c>
      <c r="F27" s="87">
        <v>5</v>
      </c>
      <c r="G27" s="69">
        <v>0.4</v>
      </c>
      <c r="H27" s="63">
        <f>(1+G27)*F27</f>
        <v>7</v>
      </c>
      <c r="I27" s="61">
        <f>M27/N27</f>
        <v>1.258474451739253</v>
      </c>
      <c r="J27" s="63" t="s">
        <v>38</v>
      </c>
      <c r="K27" s="59">
        <v>0.8</v>
      </c>
      <c r="L27" s="66">
        <f>H27*(I27/D27)^K27</f>
        <v>6.0827582365056649</v>
      </c>
      <c r="M27" s="33">
        <f>[1]R3_MEFA!C72</f>
        <v>9967.1176577748829</v>
      </c>
      <c r="N27" s="88">
        <f>[1]Macro!$D$16*[1]Macro!$D$20*8</f>
        <v>7920</v>
      </c>
      <c r="O27" s="89">
        <f>N27*L27</f>
        <v>48175.445233124869</v>
      </c>
      <c r="P27" s="65"/>
      <c r="Q27" s="65"/>
      <c r="R27" s="65"/>
      <c r="S27" s="22" t="s">
        <v>35</v>
      </c>
      <c r="T27" s="22"/>
    </row>
    <row r="28" spans="1:20" ht="17" thickBot="1" x14ac:dyDescent="0.4">
      <c r="A28" s="53" t="s">
        <v>63</v>
      </c>
      <c r="B28" s="58" t="s">
        <v>68</v>
      </c>
      <c r="C28" s="58" t="s">
        <v>69</v>
      </c>
      <c r="D28" s="48">
        <v>10</v>
      </c>
      <c r="E28" s="58" t="s">
        <v>44</v>
      </c>
      <c r="F28" s="48">
        <v>18.5</v>
      </c>
      <c r="G28" s="69">
        <v>0.4</v>
      </c>
      <c r="H28" s="64">
        <f>(1+G28)*F28</f>
        <v>25.9</v>
      </c>
      <c r="I28" s="65">
        <f>M28/N28</f>
        <v>0</v>
      </c>
      <c r="J28" s="64" t="s">
        <v>45</v>
      </c>
      <c r="K28" s="59">
        <v>0.8</v>
      </c>
      <c r="L28" s="66">
        <f>H28*(I28/D28)^K28</f>
        <v>0</v>
      </c>
      <c r="M28" s="33">
        <f>[1]R1_Hydro_MEFA!$L$147</f>
        <v>0</v>
      </c>
      <c r="N28" s="71">
        <f>[1]Macro!$D$16*[1]Macro!$D$20*8</f>
        <v>7920</v>
      </c>
      <c r="O28" s="67">
        <f>L28*N28</f>
        <v>0</v>
      </c>
      <c r="P28" s="65"/>
      <c r="Q28" s="65"/>
      <c r="R28" s="65" t="e">
        <f>M28/I28</f>
        <v>#DIV/0!</v>
      </c>
      <c r="S28" s="22" t="s">
        <v>46</v>
      </c>
      <c r="T28" s="22"/>
    </row>
    <row r="29" spans="1:20" ht="17" thickBot="1" x14ac:dyDescent="0.4">
      <c r="A29" s="53" t="s">
        <v>63</v>
      </c>
      <c r="B29" s="58" t="s">
        <v>68</v>
      </c>
      <c r="C29" s="58" t="s">
        <v>69</v>
      </c>
      <c r="D29" s="48">
        <v>10</v>
      </c>
      <c r="E29" s="58" t="s">
        <v>44</v>
      </c>
      <c r="F29" s="48">
        <v>18.5</v>
      </c>
      <c r="G29" s="69">
        <v>0.4</v>
      </c>
      <c r="H29" s="64">
        <f>(1+G29)*F29</f>
        <v>25.9</v>
      </c>
      <c r="I29" s="65">
        <f>M29/N29</f>
        <v>0</v>
      </c>
      <c r="J29" s="64" t="s">
        <v>45</v>
      </c>
      <c r="K29" s="59">
        <v>0.8</v>
      </c>
      <c r="L29" s="66">
        <f>H29*(I29/D29)^K29</f>
        <v>0</v>
      </c>
      <c r="M29" s="33">
        <f>[1]R3_Hydro_MEFA!L147</f>
        <v>0</v>
      </c>
      <c r="N29" s="71">
        <f>[1]Macro!$D$16*[1]Macro!$D$20*8</f>
        <v>7920</v>
      </c>
      <c r="O29" s="67">
        <f>L29*N29</f>
        <v>0</v>
      </c>
      <c r="P29" s="65"/>
      <c r="Q29" s="65"/>
      <c r="R29" s="65" t="e">
        <f>M29/I29</f>
        <v>#DIV/0!</v>
      </c>
      <c r="S29" s="22" t="s">
        <v>116</v>
      </c>
      <c r="T29" s="22"/>
    </row>
    <row r="30" spans="1:20" ht="17" thickBot="1" x14ac:dyDescent="0.4">
      <c r="A30" s="53" t="s">
        <v>63</v>
      </c>
      <c r="B30" s="58" t="s">
        <v>77</v>
      </c>
      <c r="C30" s="58" t="s">
        <v>69</v>
      </c>
      <c r="D30" s="48">
        <v>10</v>
      </c>
      <c r="E30" s="58" t="s">
        <v>44</v>
      </c>
      <c r="F30" s="48">
        <v>18.5</v>
      </c>
      <c r="G30" s="69">
        <v>0.4</v>
      </c>
      <c r="H30" s="63">
        <f>(1+G30)*F30</f>
        <v>25.9</v>
      </c>
      <c r="I30" s="65">
        <f>M30/N30</f>
        <v>0</v>
      </c>
      <c r="J30" s="63" t="s">
        <v>45</v>
      </c>
      <c r="K30" s="59">
        <v>0.8</v>
      </c>
      <c r="L30" s="66">
        <f>H30*(D30/20)^K30</f>
        <v>14.875643697211604</v>
      </c>
      <c r="M30" s="33">
        <f>[1]R1_Hydro_MEFA!$L$200</f>
        <v>0</v>
      </c>
      <c r="N30" s="71">
        <f>[1]Macro!$D$16*[1]Macro!$D$20*8</f>
        <v>7920</v>
      </c>
      <c r="O30" s="72">
        <f>L30*N30</f>
        <v>117815.0980819159</v>
      </c>
      <c r="P30" s="65"/>
      <c r="Q30" s="65"/>
      <c r="R30" s="65" t="e">
        <f>M30/I30</f>
        <v>#DIV/0!</v>
      </c>
      <c r="S30" s="22" t="s">
        <v>46</v>
      </c>
      <c r="T30" s="22"/>
    </row>
    <row r="31" spans="1:20" ht="17" thickBot="1" x14ac:dyDescent="0.4">
      <c r="A31" s="53" t="s">
        <v>97</v>
      </c>
      <c r="B31" s="22" t="s">
        <v>77</v>
      </c>
      <c r="C31" s="22" t="s">
        <v>69</v>
      </c>
      <c r="D31" s="48">
        <v>10</v>
      </c>
      <c r="E31" s="22" t="s">
        <v>44</v>
      </c>
      <c r="F31" s="48">
        <v>18.5</v>
      </c>
      <c r="G31" s="69">
        <v>0.4</v>
      </c>
      <c r="H31" s="63">
        <f>(1+G31)*F31</f>
        <v>25.9</v>
      </c>
      <c r="I31" s="61">
        <f>M31/N31</f>
        <v>2.5174680796346718</v>
      </c>
      <c r="J31" s="63" t="s">
        <v>45</v>
      </c>
      <c r="K31" s="59">
        <v>0.8</v>
      </c>
      <c r="L31" s="66">
        <f>H31*(I31/D31)^K31</f>
        <v>8.5915385313953596</v>
      </c>
      <c r="M31" s="33">
        <f>[1]R2_Hydro_MEFA!$L$188</f>
        <v>19938.347190706601</v>
      </c>
      <c r="N31" s="88">
        <f>[1]Macro!$D$16*[1]Macro!$D$20*8</f>
        <v>7920</v>
      </c>
      <c r="O31" s="72">
        <f>N31*L31</f>
        <v>68044.985168651241</v>
      </c>
      <c r="P31" s="75">
        <f>10/60</f>
        <v>0.16666666666666666</v>
      </c>
      <c r="Q31" s="75"/>
      <c r="R31" s="65">
        <f>M31/I31</f>
        <v>7920</v>
      </c>
      <c r="S31" s="22" t="s">
        <v>46</v>
      </c>
      <c r="T31" s="22"/>
    </row>
    <row r="32" spans="1:20" ht="17" thickBot="1" x14ac:dyDescent="0.4">
      <c r="A32" s="53" t="s">
        <v>63</v>
      </c>
      <c r="B32" s="58" t="s">
        <v>77</v>
      </c>
      <c r="C32" s="58" t="s">
        <v>69</v>
      </c>
      <c r="D32" s="48">
        <v>10</v>
      </c>
      <c r="E32" s="58" t="s">
        <v>44</v>
      </c>
      <c r="F32" s="48">
        <v>18.5</v>
      </c>
      <c r="G32" s="69">
        <v>0.4</v>
      </c>
      <c r="H32" s="63">
        <f>(1+G32)*F32</f>
        <v>25.9</v>
      </c>
      <c r="I32" s="65">
        <f>M32/N32</f>
        <v>0</v>
      </c>
      <c r="J32" s="63" t="s">
        <v>45</v>
      </c>
      <c r="K32" s="59">
        <v>0.8</v>
      </c>
      <c r="L32" s="66">
        <f>H32*(D32/20)^K32</f>
        <v>14.875643697211604</v>
      </c>
      <c r="M32" s="33">
        <f>[1]R3_Hydro_MEFA!L193</f>
        <v>0</v>
      </c>
      <c r="N32" s="71">
        <f>[1]Macro!$D$16*[1]Macro!$D$20*8</f>
        <v>7920</v>
      </c>
      <c r="O32" s="72">
        <f>L32*N32</f>
        <v>117815.0980819159</v>
      </c>
      <c r="P32" s="65"/>
      <c r="Q32" s="65"/>
      <c r="R32" s="65" t="e">
        <f>M32/I32</f>
        <v>#DIV/0!</v>
      </c>
      <c r="S32" s="22" t="s">
        <v>116</v>
      </c>
      <c r="T32" s="22"/>
    </row>
    <row r="33" spans="1:20" ht="17" thickBot="1" x14ac:dyDescent="0.4">
      <c r="A33" s="53" t="s">
        <v>63</v>
      </c>
      <c r="B33" s="58" t="s">
        <v>65</v>
      </c>
      <c r="C33" s="49" t="s">
        <v>66</v>
      </c>
      <c r="D33" s="48">
        <v>10</v>
      </c>
      <c r="E33" s="58" t="s">
        <v>44</v>
      </c>
      <c r="F33" s="48">
        <v>18.5</v>
      </c>
      <c r="G33" s="69">
        <v>0.4</v>
      </c>
      <c r="H33" s="64">
        <f>(1+G33)*F33</f>
        <v>25.9</v>
      </c>
      <c r="I33" s="65">
        <f>M33/N33</f>
        <v>0</v>
      </c>
      <c r="J33" s="64" t="s">
        <v>45</v>
      </c>
      <c r="K33" s="59">
        <v>0.8</v>
      </c>
      <c r="L33" s="66">
        <f>H33*(I33/D33)^K33</f>
        <v>0</v>
      </c>
      <c r="M33" s="33">
        <f>[1]R1_Hydro_MEFA!$L$124</f>
        <v>0</v>
      </c>
      <c r="N33" s="71">
        <f>[1]Macro!$D$16*[1]Macro!$D$20*8</f>
        <v>7920</v>
      </c>
      <c r="O33" s="67">
        <f>L33*N33</f>
        <v>0</v>
      </c>
      <c r="P33" s="65"/>
      <c r="Q33" s="65"/>
      <c r="R33" s="65" t="e">
        <f>M33/I33</f>
        <v>#DIV/0!</v>
      </c>
      <c r="S33" s="22" t="s">
        <v>46</v>
      </c>
      <c r="T33" s="22"/>
    </row>
    <row r="34" spans="1:20" ht="17" thickBot="1" x14ac:dyDescent="0.4">
      <c r="A34" s="53" t="s">
        <v>63</v>
      </c>
      <c r="B34" s="58" t="s">
        <v>65</v>
      </c>
      <c r="C34" s="58" t="s">
        <v>66</v>
      </c>
      <c r="D34" s="48">
        <v>10</v>
      </c>
      <c r="E34" s="58" t="s">
        <v>44</v>
      </c>
      <c r="F34" s="48">
        <v>18.5</v>
      </c>
      <c r="G34" s="69">
        <v>0.4</v>
      </c>
      <c r="H34" s="64">
        <f>(1+G34)*F34</f>
        <v>25.9</v>
      </c>
      <c r="I34" s="65">
        <f>M34/N34</f>
        <v>0</v>
      </c>
      <c r="J34" s="64" t="s">
        <v>45</v>
      </c>
      <c r="K34" s="59">
        <v>0.8</v>
      </c>
      <c r="L34" s="66">
        <f>H34*(I34/D34)^K34</f>
        <v>0</v>
      </c>
      <c r="M34" s="33">
        <f>[1]R3_Hydro_MEFA!L132</f>
        <v>0</v>
      </c>
      <c r="N34" s="71">
        <f>[1]Macro!$D$16*[1]Macro!$D$20*8</f>
        <v>7920</v>
      </c>
      <c r="O34" s="67">
        <f>L34*N34</f>
        <v>0</v>
      </c>
      <c r="P34" s="65"/>
      <c r="Q34" s="65"/>
      <c r="R34" s="65" t="e">
        <f>M34/I34</f>
        <v>#DIV/0!</v>
      </c>
      <c r="S34" s="22" t="s">
        <v>116</v>
      </c>
      <c r="T34" s="22"/>
    </row>
    <row r="35" spans="1:20" ht="17" thickBot="1" x14ac:dyDescent="0.4">
      <c r="A35" s="53" t="s">
        <v>97</v>
      </c>
      <c r="B35" s="22" t="s">
        <v>99</v>
      </c>
      <c r="C35" s="49" t="s">
        <v>66</v>
      </c>
      <c r="D35" s="48">
        <v>10</v>
      </c>
      <c r="E35" s="58" t="s">
        <v>44</v>
      </c>
      <c r="F35" s="48">
        <v>18.5</v>
      </c>
      <c r="G35" s="69">
        <v>0.4</v>
      </c>
      <c r="H35" s="63">
        <f>(1+G35)*F35</f>
        <v>25.9</v>
      </c>
      <c r="I35" s="61">
        <f>M35/N35</f>
        <v>3.1351654069771251</v>
      </c>
      <c r="J35" s="63" t="s">
        <v>45</v>
      </c>
      <c r="K35" s="59">
        <v>0.8</v>
      </c>
      <c r="L35" s="66">
        <f>H35*(I35/D35)^K35</f>
        <v>10.240192738789768</v>
      </c>
      <c r="M35" s="33">
        <f>[1]R2_Hydro_MEFA!$L$30</f>
        <v>24830.51002325883</v>
      </c>
      <c r="N35" s="88">
        <f>[1]Macro!$D$16*[1]Macro!$D$20*8</f>
        <v>7920</v>
      </c>
      <c r="O35" s="72">
        <f>L35*N35</f>
        <v>81102.326491214961</v>
      </c>
      <c r="P35" s="75">
        <f>20/60</f>
        <v>0.33333333333333331</v>
      </c>
      <c r="Q35" s="75"/>
      <c r="R35" s="65">
        <f>M35/I35</f>
        <v>7920</v>
      </c>
      <c r="S35" s="22" t="s">
        <v>46</v>
      </c>
      <c r="T35" s="22"/>
    </row>
    <row r="36" spans="1:20" ht="17" thickBot="1" x14ac:dyDescent="0.4">
      <c r="A36" s="53" t="s">
        <v>97</v>
      </c>
      <c r="B36" s="22" t="s">
        <v>105</v>
      </c>
      <c r="C36" s="22" t="s">
        <v>69</v>
      </c>
      <c r="D36" s="48">
        <v>10</v>
      </c>
      <c r="E36" s="58" t="s">
        <v>44</v>
      </c>
      <c r="F36" s="48">
        <v>18.5</v>
      </c>
      <c r="G36" s="69">
        <v>0.4</v>
      </c>
      <c r="H36" s="63">
        <f>(1+G36)*F36</f>
        <v>25.9</v>
      </c>
      <c r="I36" s="61">
        <f>M36/N36</f>
        <v>3.8771957643947559</v>
      </c>
      <c r="J36" s="63" t="s">
        <v>45</v>
      </c>
      <c r="K36" s="59">
        <v>0.8</v>
      </c>
      <c r="L36" s="66">
        <f>H36*(I36/D36)^K36</f>
        <v>12.137072544804441</v>
      </c>
      <c r="M36" s="33">
        <f>[1]R2_Hydro_MEFA!$L$72</f>
        <v>30707.390454006465</v>
      </c>
      <c r="N36" s="88">
        <f>[1]Macro!$D$16*[1]Macro!$D$20*8</f>
        <v>7920</v>
      </c>
      <c r="O36" s="72">
        <f>L36*N36</f>
        <v>96125.61455485117</v>
      </c>
      <c r="P36" s="61"/>
      <c r="Q36" s="61"/>
      <c r="R36" s="65"/>
      <c r="S36" s="22" t="s">
        <v>46</v>
      </c>
      <c r="T36" s="22"/>
    </row>
    <row r="37" spans="1:20" ht="17" thickBot="1" x14ac:dyDescent="0.4">
      <c r="A37" s="53" t="s">
        <v>41</v>
      </c>
      <c r="B37" s="22" t="s">
        <v>50</v>
      </c>
      <c r="C37" s="22" t="s">
        <v>51</v>
      </c>
      <c r="D37" s="48">
        <v>10</v>
      </c>
      <c r="E37" s="58" t="s">
        <v>44</v>
      </c>
      <c r="F37" s="48">
        <v>18.5</v>
      </c>
      <c r="G37" s="69">
        <v>0.4</v>
      </c>
      <c r="H37" s="63">
        <f>(1+G37)*F37</f>
        <v>25.9</v>
      </c>
      <c r="I37" s="61">
        <f>M37/N37</f>
        <v>4.7777751425989807</v>
      </c>
      <c r="J37" s="63" t="s">
        <v>45</v>
      </c>
      <c r="K37" s="59">
        <v>0.8</v>
      </c>
      <c r="L37" s="66">
        <f>H37*(I37/D37)^K37</f>
        <v>14.344332030922079</v>
      </c>
      <c r="M37" s="71">
        <f>[1]R1_Hydro_MEFA!$L$33</f>
        <v>37839.97912938393</v>
      </c>
      <c r="N37" s="71">
        <f>[1]Macro!$D$16*[1]Macro!$D$20*8</f>
        <v>7920</v>
      </c>
      <c r="O37" s="72">
        <f>L37*N37</f>
        <v>113607.10968490287</v>
      </c>
      <c r="P37" s="75">
        <f>10/60</f>
        <v>0.16666666666666666</v>
      </c>
      <c r="Q37" s="75"/>
      <c r="R37" s="65">
        <f>M37/I37</f>
        <v>7920.0000000000009</v>
      </c>
      <c r="S37" s="22" t="s">
        <v>46</v>
      </c>
      <c r="T37" s="22"/>
    </row>
    <row r="38" spans="1:20" ht="17" thickBot="1" x14ac:dyDescent="0.4">
      <c r="A38" s="53" t="s">
        <v>41</v>
      </c>
      <c r="B38" s="22" t="s">
        <v>50</v>
      </c>
      <c r="C38" s="22" t="s">
        <v>51</v>
      </c>
      <c r="D38" s="48">
        <v>10</v>
      </c>
      <c r="E38" s="58" t="s">
        <v>44</v>
      </c>
      <c r="F38" s="48">
        <v>18.5</v>
      </c>
      <c r="G38" s="69">
        <v>0.4</v>
      </c>
      <c r="H38" s="63">
        <f>(1+G38)*F38</f>
        <v>25.9</v>
      </c>
      <c r="I38" s="61">
        <f>M38/N38</f>
        <v>1.6544567401247112</v>
      </c>
      <c r="J38" s="63" t="s">
        <v>45</v>
      </c>
      <c r="K38" s="59">
        <v>0.8</v>
      </c>
      <c r="L38" s="66">
        <f>H38*(I38/D38)^K38</f>
        <v>6.1407878932511757</v>
      </c>
      <c r="M38" s="71">
        <f>[1]R3_Hydro_MEFA!L33</f>
        <v>13103.297381787714</v>
      </c>
      <c r="N38" s="71">
        <f>[1]Macro!$D$16*[1]Macro!$D$20*8</f>
        <v>7920</v>
      </c>
      <c r="O38" s="72">
        <f>L38*N38</f>
        <v>48635.040114549309</v>
      </c>
      <c r="P38" s="75">
        <f>10/60</f>
        <v>0.16666666666666666</v>
      </c>
      <c r="Q38" s="75"/>
      <c r="R38" s="65">
        <f>M38/I38</f>
        <v>7920.0000000000009</v>
      </c>
      <c r="S38" s="22" t="s">
        <v>116</v>
      </c>
      <c r="T38" s="22"/>
    </row>
    <row r="39" spans="1:20" ht="17" thickBot="1" x14ac:dyDescent="0.4">
      <c r="A39" s="53" t="s">
        <v>97</v>
      </c>
      <c r="B39" s="22" t="s">
        <v>102</v>
      </c>
      <c r="C39" s="22" t="s">
        <v>69</v>
      </c>
      <c r="D39" s="48">
        <v>10</v>
      </c>
      <c r="E39" s="58" t="s">
        <v>44</v>
      </c>
      <c r="F39" s="48">
        <v>18.5</v>
      </c>
      <c r="G39" s="69">
        <v>0.4</v>
      </c>
      <c r="H39" s="63">
        <f>(1+G39)*F39</f>
        <v>25.9</v>
      </c>
      <c r="I39" s="61">
        <f>M39/N39</f>
        <v>2.9138756275434199</v>
      </c>
      <c r="J39" s="63" t="s">
        <v>45</v>
      </c>
      <c r="K39" s="59">
        <v>0.8</v>
      </c>
      <c r="L39" s="66">
        <f>H39*(I39/D39)^K39</f>
        <v>9.6577636478968447</v>
      </c>
      <c r="M39" s="33">
        <f>[1]R2_Hydro_MEFA!$L$50</f>
        <v>23077.894970143887</v>
      </c>
      <c r="N39" s="88">
        <f>[1]Macro!$D$16*[1]Macro!$D$20*8</f>
        <v>7920</v>
      </c>
      <c r="O39" s="72">
        <f>L39*N39</f>
        <v>76489.48809134301</v>
      </c>
      <c r="P39" s="75">
        <f>10/60</f>
        <v>0.16666666666666666</v>
      </c>
      <c r="Q39" s="75"/>
      <c r="R39" s="65">
        <f>M39/I39</f>
        <v>7920.0000000000009</v>
      </c>
      <c r="S39" s="22" t="s">
        <v>46</v>
      </c>
      <c r="T39" s="22"/>
    </row>
    <row r="40" spans="1:20" ht="17" thickBot="1" x14ac:dyDescent="0.4">
      <c r="A40" s="53" t="s">
        <v>41</v>
      </c>
      <c r="B40" s="22" t="s">
        <v>54</v>
      </c>
      <c r="C40" s="22" t="s">
        <v>55</v>
      </c>
      <c r="D40" s="48">
        <v>10</v>
      </c>
      <c r="E40" s="58" t="s">
        <v>44</v>
      </c>
      <c r="F40" s="48">
        <v>18.5</v>
      </c>
      <c r="G40" s="69">
        <v>0.4</v>
      </c>
      <c r="H40" s="63">
        <f>(1+G40)*F40</f>
        <v>25.9</v>
      </c>
      <c r="I40" s="61">
        <f>M40/N40</f>
        <v>5.660254860659653</v>
      </c>
      <c r="J40" s="63" t="s">
        <v>45</v>
      </c>
      <c r="K40" s="59">
        <v>0.8</v>
      </c>
      <c r="L40" s="66">
        <f>H40*(I40/D40)^K40</f>
        <v>16.427389446410395</v>
      </c>
      <c r="M40" s="71">
        <f>[1]R1_Hydro_MEFA!$L$55</f>
        <v>44829.218496424452</v>
      </c>
      <c r="N40" s="71">
        <f>[1]Macro!$D$16*[1]Macro!$D$20*8</f>
        <v>7920</v>
      </c>
      <c r="O40" s="72">
        <f>L40*N40</f>
        <v>130104.92441557032</v>
      </c>
      <c r="P40" s="75">
        <f>10/60</f>
        <v>0.16666666666666666</v>
      </c>
      <c r="Q40" s="75"/>
      <c r="R40" s="65">
        <f>M40/I40</f>
        <v>7920</v>
      </c>
      <c r="S40" s="22" t="s">
        <v>46</v>
      </c>
      <c r="T40" s="22"/>
    </row>
    <row r="41" spans="1:20" ht="17" thickBot="1" x14ac:dyDescent="0.4">
      <c r="A41" s="53" t="s">
        <v>41</v>
      </c>
      <c r="B41" s="22" t="s">
        <v>54</v>
      </c>
      <c r="C41" s="22" t="s">
        <v>55</v>
      </c>
      <c r="D41" s="48">
        <v>10</v>
      </c>
      <c r="E41" s="58" t="s">
        <v>44</v>
      </c>
      <c r="F41" s="48">
        <v>18.5</v>
      </c>
      <c r="G41" s="69">
        <v>0.4</v>
      </c>
      <c r="H41" s="63">
        <f>(1+G41)*F41</f>
        <v>25.9</v>
      </c>
      <c r="I41" s="61">
        <f>M41/N41</f>
        <v>2.2422609730288214</v>
      </c>
      <c r="J41" s="63" t="s">
        <v>45</v>
      </c>
      <c r="K41" s="59">
        <v>0.8</v>
      </c>
      <c r="L41" s="66">
        <f>H41*(I41/D41)^K41</f>
        <v>7.8315674105784012</v>
      </c>
      <c r="M41" s="71">
        <f>[1]R3_Hydro_MEFA!L55</f>
        <v>17758.706906388266</v>
      </c>
      <c r="N41" s="71">
        <f>[1]Macro!$D$16*[1]Macro!$D$20*8</f>
        <v>7920</v>
      </c>
      <c r="O41" s="72">
        <f>L41*N41</f>
        <v>62026.013891780938</v>
      </c>
      <c r="P41" s="75">
        <f>10/60</f>
        <v>0.16666666666666666</v>
      </c>
      <c r="Q41" s="75"/>
      <c r="R41" s="65">
        <f>M41/I41</f>
        <v>7920</v>
      </c>
      <c r="S41" s="22" t="s">
        <v>116</v>
      </c>
      <c r="T41" s="22"/>
    </row>
    <row r="42" spans="1:20" ht="17" thickBot="1" x14ac:dyDescent="0.4">
      <c r="A42" s="53" t="s">
        <v>41</v>
      </c>
      <c r="B42" s="49" t="s">
        <v>47</v>
      </c>
      <c r="C42" s="22" t="s">
        <v>48</v>
      </c>
      <c r="D42" s="48">
        <v>10</v>
      </c>
      <c r="E42" s="58" t="s">
        <v>44</v>
      </c>
      <c r="F42" s="48">
        <v>24</v>
      </c>
      <c r="G42" s="69">
        <v>0.4</v>
      </c>
      <c r="H42" s="63">
        <f>(1+G42)*F42</f>
        <v>33.599999999999994</v>
      </c>
      <c r="I42" s="61">
        <f>M42/N42</f>
        <v>4.6429876652205495</v>
      </c>
      <c r="J42" s="63" t="s">
        <v>45</v>
      </c>
      <c r="K42" s="59">
        <v>0.8</v>
      </c>
      <c r="L42" s="66">
        <f>H42*(I42/D42)^K42</f>
        <v>18.187679867218744</v>
      </c>
      <c r="M42" s="71">
        <f>[1]R1_Hydro_MEFA!$L$26</f>
        <v>36772.462308546754</v>
      </c>
      <c r="N42" s="71">
        <f>[1]Macro!$D$16*[1]Macro!$D$20*8</f>
        <v>7920</v>
      </c>
      <c r="O42" s="72">
        <f>L42*N42</f>
        <v>144046.42454837245</v>
      </c>
      <c r="P42" s="73">
        <f>15/60</f>
        <v>0.25</v>
      </c>
      <c r="Q42" s="73"/>
      <c r="R42" s="74">
        <f>M42/I42</f>
        <v>7920</v>
      </c>
      <c r="S42" s="22" t="s">
        <v>46</v>
      </c>
      <c r="T42" s="22"/>
    </row>
    <row r="43" spans="1:20" ht="17" thickBot="1" x14ac:dyDescent="0.4">
      <c r="A43" s="53" t="s">
        <v>63</v>
      </c>
      <c r="B43" s="58" t="s">
        <v>47</v>
      </c>
      <c r="C43" s="58" t="s">
        <v>48</v>
      </c>
      <c r="D43" s="48">
        <v>10</v>
      </c>
      <c r="E43" s="58" t="s">
        <v>44</v>
      </c>
      <c r="F43" s="48">
        <v>24</v>
      </c>
      <c r="G43" s="69">
        <v>0.4</v>
      </c>
      <c r="H43" s="64">
        <f>(1+G43)*F43</f>
        <v>33.599999999999994</v>
      </c>
      <c r="I43" s="65">
        <f>M43/N43</f>
        <v>0</v>
      </c>
      <c r="J43" s="64" t="s">
        <v>45</v>
      </c>
      <c r="K43" s="59">
        <v>0.8</v>
      </c>
      <c r="L43" s="66">
        <f>H43*(I43/D43)^K43</f>
        <v>0</v>
      </c>
      <c r="M43" s="33">
        <f>[1]R1_Hydro_MEFA!$L$124</f>
        <v>0</v>
      </c>
      <c r="N43" s="71">
        <f>[1]Macro!$D$16*[1]Macro!$D$20*8</f>
        <v>7920</v>
      </c>
      <c r="O43" s="67">
        <f>L43*N43</f>
        <v>0</v>
      </c>
      <c r="P43" s="65"/>
      <c r="Q43" s="65"/>
      <c r="R43" s="65" t="e">
        <f>M43/I43</f>
        <v>#DIV/0!</v>
      </c>
      <c r="S43" s="22" t="s">
        <v>46</v>
      </c>
      <c r="T43" s="22"/>
    </row>
    <row r="44" spans="1:20" ht="17" thickBot="1" x14ac:dyDescent="0.4">
      <c r="A44" s="53" t="s">
        <v>97</v>
      </c>
      <c r="B44" s="49" t="s">
        <v>47</v>
      </c>
      <c r="C44" s="22" t="s">
        <v>98</v>
      </c>
      <c r="D44" s="48">
        <v>10</v>
      </c>
      <c r="E44" s="58" t="s">
        <v>44</v>
      </c>
      <c r="F44" s="48">
        <v>24</v>
      </c>
      <c r="G44" s="69">
        <v>0.4</v>
      </c>
      <c r="H44" s="63">
        <f>(1+G44)*F44</f>
        <v>33.599999999999994</v>
      </c>
      <c r="I44" s="61">
        <f>M44/N44</f>
        <v>3.1351654069771251</v>
      </c>
      <c r="J44" s="63" t="s">
        <v>45</v>
      </c>
      <c r="K44" s="59">
        <v>0.8</v>
      </c>
      <c r="L44" s="66">
        <f>H44*(I44/D44)^K44</f>
        <v>13.284574363835372</v>
      </c>
      <c r="M44" s="33">
        <f>[1]R2_Hydro_MEFA!$L$30</f>
        <v>24830.51002325883</v>
      </c>
      <c r="N44" s="88">
        <f>[1]Macro!$D$16*[1]Macro!$D$20*8</f>
        <v>7920</v>
      </c>
      <c r="O44" s="72">
        <f>L44*N44</f>
        <v>105213.82896157615</v>
      </c>
      <c r="P44" s="75">
        <f>15/60</f>
        <v>0.25</v>
      </c>
      <c r="Q44" s="75"/>
      <c r="R44" s="65">
        <f>M44/I44</f>
        <v>7920</v>
      </c>
      <c r="S44" s="22" t="s">
        <v>46</v>
      </c>
      <c r="T44" s="22"/>
    </row>
    <row r="45" spans="1:20" ht="17" thickBot="1" x14ac:dyDescent="0.4">
      <c r="A45" s="53" t="s">
        <v>41</v>
      </c>
      <c r="B45" s="22" t="s">
        <v>47</v>
      </c>
      <c r="C45" s="22" t="s">
        <v>98</v>
      </c>
      <c r="D45" s="48">
        <v>10</v>
      </c>
      <c r="E45" s="58" t="s">
        <v>44</v>
      </c>
      <c r="F45" s="48">
        <v>24</v>
      </c>
      <c r="G45" s="69">
        <v>0.4</v>
      </c>
      <c r="H45" s="63">
        <f>(1+G45)*F45</f>
        <v>33.599999999999994</v>
      </c>
      <c r="I45" s="61">
        <f>M45/N45</f>
        <v>1.6532890765824084</v>
      </c>
      <c r="J45" s="63" t="s">
        <v>45</v>
      </c>
      <c r="K45" s="59">
        <v>0.8</v>
      </c>
      <c r="L45" s="66">
        <f>H45*(I45/D45)^K45</f>
        <v>7.9619292564096789</v>
      </c>
      <c r="M45" s="71">
        <f>[1]R3_Hydro_MEFA!L26</f>
        <v>13094.049486532675</v>
      </c>
      <c r="N45" s="71">
        <f>[1]Macro!$D$16*[1]Macro!$D$20*8</f>
        <v>7920</v>
      </c>
      <c r="O45" s="72">
        <f>L45*N45</f>
        <v>63058.479710764659</v>
      </c>
      <c r="P45" s="73">
        <f>15/60</f>
        <v>0.25</v>
      </c>
      <c r="Q45" s="73"/>
      <c r="R45" s="74">
        <f>M45/I45</f>
        <v>7920</v>
      </c>
      <c r="S45" s="22" t="s">
        <v>46</v>
      </c>
      <c r="T45" s="22"/>
    </row>
    <row r="46" spans="1:20" ht="17" thickBot="1" x14ac:dyDescent="0.4">
      <c r="A46" s="53" t="s">
        <v>63</v>
      </c>
      <c r="B46" s="58" t="s">
        <v>47</v>
      </c>
      <c r="C46" s="58" t="s">
        <v>48</v>
      </c>
      <c r="D46" s="48">
        <v>10</v>
      </c>
      <c r="E46" s="58" t="s">
        <v>44</v>
      </c>
      <c r="F46" s="48">
        <v>24</v>
      </c>
      <c r="G46" s="69">
        <v>0.4</v>
      </c>
      <c r="H46" s="64">
        <f>(1+G46)*F46</f>
        <v>33.599999999999994</v>
      </c>
      <c r="I46" s="65">
        <f>M46/N46</f>
        <v>0</v>
      </c>
      <c r="J46" s="64" t="s">
        <v>45</v>
      </c>
      <c r="K46" s="59">
        <v>0.8</v>
      </c>
      <c r="L46" s="66">
        <f>H46*(I46/D46)^K46</f>
        <v>0</v>
      </c>
      <c r="M46" s="33">
        <f>[1]R3_Hydro_MEFA!L124</f>
        <v>0</v>
      </c>
      <c r="N46" s="71">
        <f>[1]Macro!$D$16*[1]Macro!$D$20*8</f>
        <v>7920</v>
      </c>
      <c r="O46" s="67">
        <f>L46*N46</f>
        <v>0</v>
      </c>
      <c r="P46" s="65"/>
      <c r="Q46" s="65"/>
      <c r="R46" s="65" t="e">
        <f>M46/I46</f>
        <v>#DIV/0!</v>
      </c>
      <c r="S46" s="22" t="s">
        <v>46</v>
      </c>
      <c r="T46" s="22"/>
    </row>
    <row r="47" spans="1:20" ht="15" thickBot="1" x14ac:dyDescent="0.4">
      <c r="A47" s="53" t="s">
        <v>80</v>
      </c>
      <c r="B47" s="22" t="s">
        <v>87</v>
      </c>
      <c r="C47" s="58" t="s">
        <v>87</v>
      </c>
      <c r="D47" s="87">
        <v>1.5</v>
      </c>
      <c r="E47" s="58" t="s">
        <v>83</v>
      </c>
      <c r="F47" s="87">
        <v>0</v>
      </c>
      <c r="G47" s="69">
        <v>0.4</v>
      </c>
      <c r="H47" s="64">
        <f>(1+G47)*F47</f>
        <v>0</v>
      </c>
      <c r="I47" s="65">
        <f>M47/N47</f>
        <v>1.8028469470239148</v>
      </c>
      <c r="J47" s="64" t="s">
        <v>38</v>
      </c>
      <c r="K47" s="59">
        <v>0.8</v>
      </c>
      <c r="L47" s="66">
        <f>H47*(I47/D47)^K47</f>
        <v>0</v>
      </c>
      <c r="M47" s="71">
        <f>[1]R2_MEFA!$C$57</f>
        <v>14278.547820429405</v>
      </c>
      <c r="N47" s="88">
        <f>[1]Macro!$D$16*[1]Macro!$D$20*8</f>
        <v>7920</v>
      </c>
      <c r="O47" s="72">
        <v>0</v>
      </c>
      <c r="P47" s="65"/>
      <c r="Q47" s="65"/>
      <c r="R47" s="65"/>
      <c r="S47" s="22" t="s">
        <v>35</v>
      </c>
      <c r="T47" s="22"/>
    </row>
    <row r="48" spans="1:20" ht="15" thickBot="1" x14ac:dyDescent="0.4">
      <c r="A48" s="53" t="s">
        <v>80</v>
      </c>
      <c r="B48" s="22" t="s">
        <v>87</v>
      </c>
      <c r="C48" s="58" t="s">
        <v>87</v>
      </c>
      <c r="D48" s="87">
        <v>1.5</v>
      </c>
      <c r="E48" s="58" t="s">
        <v>83</v>
      </c>
      <c r="F48" s="87">
        <v>0</v>
      </c>
      <c r="G48" s="69">
        <v>0.4</v>
      </c>
      <c r="H48" s="64">
        <f>(1+G48)*F48</f>
        <v>0</v>
      </c>
      <c r="I48" s="65">
        <f>M48/N48</f>
        <v>1.258474451739253</v>
      </c>
      <c r="J48" s="64" t="s">
        <v>38</v>
      </c>
      <c r="K48" s="59">
        <v>0.8</v>
      </c>
      <c r="L48" s="66">
        <f>H48*(I48/D48)^K48</f>
        <v>0</v>
      </c>
      <c r="M48" s="71">
        <f>[1]R3_MEFA!C66</f>
        <v>9967.1176577748829</v>
      </c>
      <c r="N48" s="88">
        <f>[1]Macro!$D$16*[1]Macro!$D$20*8</f>
        <v>7920</v>
      </c>
      <c r="O48" s="72">
        <v>0</v>
      </c>
      <c r="P48" s="65"/>
      <c r="Q48" s="65"/>
      <c r="R48" s="65"/>
      <c r="S48" s="22" t="s">
        <v>35</v>
      </c>
      <c r="T48" s="22"/>
    </row>
    <row r="49" spans="1:20" ht="15" thickBot="1" x14ac:dyDescent="0.4">
      <c r="A49" s="52" t="s">
        <v>31</v>
      </c>
      <c r="B49" s="58" t="s">
        <v>36</v>
      </c>
      <c r="C49" s="58" t="s">
        <v>37</v>
      </c>
      <c r="D49" s="59">
        <v>20</v>
      </c>
      <c r="E49" s="58" t="s">
        <v>38</v>
      </c>
      <c r="F49" s="68">
        <v>200</v>
      </c>
      <c r="G49" s="69">
        <v>0</v>
      </c>
      <c r="H49" s="64">
        <f>(1+G49)*F49</f>
        <v>200</v>
      </c>
      <c r="I49" s="65">
        <f>M49/N49</f>
        <v>0.60502288992724917</v>
      </c>
      <c r="J49" s="64" t="s">
        <v>38</v>
      </c>
      <c r="K49" s="59">
        <v>0.8</v>
      </c>
      <c r="L49" s="66">
        <f>H49*(I49/D49)^K49</f>
        <v>12.179331284737563</v>
      </c>
      <c r="M49" s="71">
        <f>[1]R1_MEFA!$C$54</f>
        <v>4791.7812882238131</v>
      </c>
      <c r="N49" s="71">
        <f>[1]Macro!$D$16*[1]Macro!$D$20*8</f>
        <v>7920</v>
      </c>
      <c r="O49" s="72">
        <f>N49*F49/(D49/I49)</f>
        <v>47917.812882238133</v>
      </c>
      <c r="P49" s="65"/>
      <c r="Q49" s="65"/>
      <c r="R49" s="65"/>
      <c r="S49" s="22" t="s">
        <v>39</v>
      </c>
      <c r="T49" s="22"/>
    </row>
    <row r="50" spans="1:20" ht="15" thickBot="1" x14ac:dyDescent="0.4">
      <c r="A50" s="52" t="s">
        <v>31</v>
      </c>
      <c r="B50" s="58" t="s">
        <v>36</v>
      </c>
      <c r="C50" s="58" t="s">
        <v>40</v>
      </c>
      <c r="D50" s="59">
        <v>20</v>
      </c>
      <c r="E50" s="58" t="s">
        <v>38</v>
      </c>
      <c r="F50" s="68">
        <v>200</v>
      </c>
      <c r="G50" s="69">
        <v>0</v>
      </c>
      <c r="H50" s="64">
        <f>(1+G50)*F50</f>
        <v>200</v>
      </c>
      <c r="I50" s="65">
        <f>M50/N50</f>
        <v>0</v>
      </c>
      <c r="J50" s="64" t="s">
        <v>38</v>
      </c>
      <c r="K50" s="59">
        <v>0.8</v>
      </c>
      <c r="L50" s="66">
        <f>H50*(I50/D50)^K50</f>
        <v>0</v>
      </c>
      <c r="M50" s="71">
        <f>[1]R1_MEFA!$C$59</f>
        <v>0</v>
      </c>
      <c r="N50" s="71">
        <f>[1]Macro!$D$16*[1]Macro!$D$20*8</f>
        <v>7920</v>
      </c>
      <c r="O50" s="72" t="e">
        <f>N50*F50/(D50/I50)</f>
        <v>#DIV/0!</v>
      </c>
      <c r="P50" s="65"/>
      <c r="Q50" s="65"/>
      <c r="R50" s="65"/>
      <c r="S50" s="22" t="s">
        <v>39</v>
      </c>
      <c r="T50" s="22"/>
    </row>
    <row r="51" spans="1:20" ht="15" thickBot="1" x14ac:dyDescent="0.4">
      <c r="A51" s="52" t="s">
        <v>31</v>
      </c>
      <c r="B51" s="58" t="s">
        <v>36</v>
      </c>
      <c r="C51" s="58" t="s">
        <v>37</v>
      </c>
      <c r="D51" s="59">
        <v>20</v>
      </c>
      <c r="E51" s="58" t="s">
        <v>38</v>
      </c>
      <c r="F51" s="68">
        <v>200</v>
      </c>
      <c r="G51" s="69">
        <v>0</v>
      </c>
      <c r="H51" s="64">
        <f>(1+G51)*F51</f>
        <v>200</v>
      </c>
      <c r="I51" s="65">
        <f>M51/N51</f>
        <v>0.3496088935768441</v>
      </c>
      <c r="J51" s="64" t="s">
        <v>38</v>
      </c>
      <c r="K51" s="59">
        <v>0.8</v>
      </c>
      <c r="L51" s="66">
        <f>H51*(I51/D51)^K51</f>
        <v>7.853657844518688</v>
      </c>
      <c r="M51" s="71">
        <f>[1]R3_MEFA!L93</f>
        <v>2768.9024371286055</v>
      </c>
      <c r="N51" s="71">
        <f>[1]Macro!$D$16*[1]Macro!$D$20*8</f>
        <v>7920</v>
      </c>
      <c r="O51" s="72">
        <f>N51*F51/(D51/I51)</f>
        <v>27689.024371286054</v>
      </c>
      <c r="P51" s="65"/>
      <c r="Q51" s="65"/>
      <c r="R51" s="65"/>
      <c r="S51" s="22" t="s">
        <v>39</v>
      </c>
      <c r="T51" s="22"/>
    </row>
    <row r="52" spans="1:20" ht="15" thickBot="1" x14ac:dyDescent="0.4">
      <c r="A52" s="52" t="s">
        <v>31</v>
      </c>
      <c r="B52" s="58" t="s">
        <v>36</v>
      </c>
      <c r="C52" s="58" t="s">
        <v>40</v>
      </c>
      <c r="D52" s="59">
        <v>20</v>
      </c>
      <c r="E52" s="58" t="s">
        <v>38</v>
      </c>
      <c r="F52" s="68">
        <v>200</v>
      </c>
      <c r="G52" s="69">
        <v>0</v>
      </c>
      <c r="H52" s="64">
        <f>(1+G52)*F52</f>
        <v>200</v>
      </c>
      <c r="I52" s="65">
        <f>M52/N52</f>
        <v>0</v>
      </c>
      <c r="J52" s="64" t="s">
        <v>38</v>
      </c>
      <c r="K52" s="59">
        <v>0.8</v>
      </c>
      <c r="L52" s="66">
        <f>H52*(I52/D52)^K52</f>
        <v>0</v>
      </c>
      <c r="M52" s="71">
        <f>[1]R3_MEFA!L94</f>
        <v>0</v>
      </c>
      <c r="N52" s="71">
        <f>[1]Macro!$D$16*[1]Macro!$D$20*8</f>
        <v>7920</v>
      </c>
      <c r="O52" s="72" t="e">
        <f>N52*F52/(D52/I52)</f>
        <v>#DIV/0!</v>
      </c>
      <c r="P52" s="65"/>
      <c r="Q52" s="65"/>
      <c r="R52" s="65"/>
      <c r="S52" s="22" t="s">
        <v>39</v>
      </c>
      <c r="T52" s="22"/>
    </row>
    <row r="53" spans="1:20" ht="17" thickBot="1" x14ac:dyDescent="0.4">
      <c r="A53" s="53" t="s">
        <v>97</v>
      </c>
      <c r="B53" s="22" t="s">
        <v>103</v>
      </c>
      <c r="C53" s="22" t="s">
        <v>98</v>
      </c>
      <c r="D53" s="48">
        <v>10</v>
      </c>
      <c r="E53" s="58" t="s">
        <v>44</v>
      </c>
      <c r="F53" s="48">
        <v>24</v>
      </c>
      <c r="G53" s="69">
        <v>0.4</v>
      </c>
      <c r="H53" s="63">
        <f>(1+G53)*F53</f>
        <v>33.599999999999994</v>
      </c>
      <c r="I53" s="61">
        <f>M53/N53</f>
        <v>3.027784941366189</v>
      </c>
      <c r="J53" s="63" t="s">
        <v>45</v>
      </c>
      <c r="K53" s="59">
        <v>0.8</v>
      </c>
      <c r="L53" s="66">
        <f>H53*(I53/D53)^K53</f>
        <v>12.91930934110464</v>
      </c>
      <c r="M53" s="33">
        <f>[1]R2_Hydro_MEFA!$L$65</f>
        <v>23980.056735620215</v>
      </c>
      <c r="N53" s="88">
        <f>[1]Macro!$D$16*[1]Macro!$D$20*8</f>
        <v>7920</v>
      </c>
      <c r="O53" s="72">
        <f>L53*N53</f>
        <v>102320.92998154875</v>
      </c>
      <c r="P53" s="75">
        <f>15/60</f>
        <v>0.25</v>
      </c>
      <c r="Q53" s="75"/>
      <c r="R53" s="65">
        <f>M53/I53</f>
        <v>7919.9999999999991</v>
      </c>
      <c r="S53" s="22" t="s">
        <v>46</v>
      </c>
      <c r="T53" s="22"/>
    </row>
    <row r="54" spans="1:20" ht="17" thickBot="1" x14ac:dyDescent="0.4">
      <c r="A54" s="53" t="s">
        <v>41</v>
      </c>
      <c r="B54" s="22" t="s">
        <v>52</v>
      </c>
      <c r="C54" s="22" t="s">
        <v>48</v>
      </c>
      <c r="D54" s="48">
        <v>10</v>
      </c>
      <c r="E54" s="58" t="s">
        <v>44</v>
      </c>
      <c r="F54" s="48">
        <v>24</v>
      </c>
      <c r="G54" s="69">
        <v>0.4</v>
      </c>
      <c r="H54" s="63">
        <f>(1+G54)*F54</f>
        <v>33.599999999999994</v>
      </c>
      <c r="I54" s="61">
        <f>M54/N54</f>
        <v>4.8380192565589333</v>
      </c>
      <c r="J54" s="63" t="s">
        <v>45</v>
      </c>
      <c r="K54" s="59">
        <v>0.8</v>
      </c>
      <c r="L54" s="66">
        <f>H54*(I54/D54)^K54</f>
        <v>18.796342565773628</v>
      </c>
      <c r="M54" s="71">
        <f>[1]R1_Hydro_MEFA!$L$48</f>
        <v>38317.112511946754</v>
      </c>
      <c r="N54" s="71">
        <f>[1]Macro!$D$16*[1]Macro!$D$20*8</f>
        <v>7920</v>
      </c>
      <c r="O54" s="72">
        <f>L54*N54</f>
        <v>148867.03312092714</v>
      </c>
      <c r="P54" s="75">
        <f>15/60</f>
        <v>0.25</v>
      </c>
      <c r="Q54" s="75"/>
      <c r="R54" s="65">
        <f>M54/I54</f>
        <v>7920.0000000000009</v>
      </c>
      <c r="S54" s="22" t="s">
        <v>46</v>
      </c>
      <c r="T54" s="22"/>
    </row>
    <row r="55" spans="1:20" ht="17" thickBot="1" x14ac:dyDescent="0.4">
      <c r="A55" s="53" t="s">
        <v>63</v>
      </c>
      <c r="B55" s="58" t="s">
        <v>52</v>
      </c>
      <c r="C55" s="58" t="s">
        <v>48</v>
      </c>
      <c r="D55" s="48">
        <v>10</v>
      </c>
      <c r="E55" s="58" t="s">
        <v>44</v>
      </c>
      <c r="F55" s="48">
        <v>24</v>
      </c>
      <c r="G55" s="69">
        <v>0.4</v>
      </c>
      <c r="H55" s="64">
        <f>(1+G55)*F55</f>
        <v>33.599999999999994</v>
      </c>
      <c r="I55" s="65">
        <f>M55/N55</f>
        <v>0</v>
      </c>
      <c r="J55" s="64" t="s">
        <v>45</v>
      </c>
      <c r="K55" s="59">
        <v>0.8</v>
      </c>
      <c r="L55" s="66">
        <f>H55*(I55/D55)^K55</f>
        <v>0</v>
      </c>
      <c r="M55" s="33">
        <f>[1]R1_Hydro_MEFA!$L$140</f>
        <v>0</v>
      </c>
      <c r="N55" s="71">
        <f>[1]Macro!$D$16*[1]Macro!$D$20*8</f>
        <v>7920</v>
      </c>
      <c r="O55" s="67">
        <f>L55*N55</f>
        <v>0</v>
      </c>
      <c r="P55" s="65"/>
      <c r="Q55" s="65"/>
      <c r="R55" s="65" t="e">
        <f>M55/I55</f>
        <v>#DIV/0!</v>
      </c>
      <c r="S55" s="22" t="s">
        <v>46</v>
      </c>
      <c r="T55" s="22"/>
    </row>
    <row r="56" spans="1:20" ht="17" thickBot="1" x14ac:dyDescent="0.4">
      <c r="A56" s="53" t="s">
        <v>41</v>
      </c>
      <c r="B56" s="22" t="s">
        <v>52</v>
      </c>
      <c r="C56" s="22" t="s">
        <v>98</v>
      </c>
      <c r="D56" s="48">
        <v>10</v>
      </c>
      <c r="E56" s="58" t="s">
        <v>44</v>
      </c>
      <c r="F56" s="48">
        <v>24</v>
      </c>
      <c r="G56" s="69">
        <v>0.4</v>
      </c>
      <c r="H56" s="63">
        <f>(1+G56)*F56</f>
        <v>33.599999999999994</v>
      </c>
      <c r="I56" s="61">
        <f>M56/N56</f>
        <v>1.7196724517307298</v>
      </c>
      <c r="J56" s="63" t="s">
        <v>45</v>
      </c>
      <c r="K56" s="59">
        <v>0.8</v>
      </c>
      <c r="L56" s="66">
        <f>H56*(I56/D56)^K56</f>
        <v>8.2166703713436036</v>
      </c>
      <c r="M56" s="71">
        <f>[1]R3_Hydro_MEFA!L48</f>
        <v>13619.80581770738</v>
      </c>
      <c r="N56" s="71">
        <f>[1]Macro!$D$16*[1]Macro!$D$20*8</f>
        <v>7920</v>
      </c>
      <c r="O56" s="72">
        <f>L56*N56</f>
        <v>65076.029341041343</v>
      </c>
      <c r="P56" s="75">
        <f>15/60</f>
        <v>0.25</v>
      </c>
      <c r="Q56" s="75"/>
      <c r="R56" s="65">
        <f>M56/I56</f>
        <v>7920</v>
      </c>
      <c r="S56" s="22" t="s">
        <v>46</v>
      </c>
      <c r="T56" s="22"/>
    </row>
    <row r="57" spans="1:20" ht="17" thickBot="1" x14ac:dyDescent="0.4">
      <c r="A57" s="53" t="s">
        <v>63</v>
      </c>
      <c r="B57" s="58" t="s">
        <v>52</v>
      </c>
      <c r="C57" s="58" t="s">
        <v>48</v>
      </c>
      <c r="D57" s="48">
        <v>10</v>
      </c>
      <c r="E57" s="58" t="s">
        <v>44</v>
      </c>
      <c r="F57" s="48">
        <v>24</v>
      </c>
      <c r="G57" s="69">
        <v>0.4</v>
      </c>
      <c r="H57" s="64">
        <f>(1+G57)*F57</f>
        <v>33.599999999999994</v>
      </c>
      <c r="I57" s="65">
        <f>M57/N57</f>
        <v>0</v>
      </c>
      <c r="J57" s="64" t="s">
        <v>45</v>
      </c>
      <c r="K57" s="59">
        <v>0.8</v>
      </c>
      <c r="L57" s="66">
        <f>H57*(I57/D57)^K57</f>
        <v>0</v>
      </c>
      <c r="M57" s="33">
        <f>[1]R3_Hydro_MEFA!L140</f>
        <v>0</v>
      </c>
      <c r="N57" s="71">
        <f>[1]Macro!$D$16*[1]Macro!$D$20*8</f>
        <v>7920</v>
      </c>
      <c r="O57" s="67">
        <f>L57*N57</f>
        <v>0</v>
      </c>
      <c r="P57" s="65"/>
      <c r="Q57" s="65"/>
      <c r="R57" s="65" t="e">
        <f>M57/I57</f>
        <v>#DIV/0!</v>
      </c>
      <c r="S57" s="22" t="s">
        <v>46</v>
      </c>
      <c r="T57" s="22"/>
    </row>
    <row r="58" spans="1:20" ht="17" thickBot="1" x14ac:dyDescent="0.4">
      <c r="A58" s="53" t="s">
        <v>97</v>
      </c>
      <c r="B58" s="22" t="s">
        <v>104</v>
      </c>
      <c r="C58" s="22" t="s">
        <v>98</v>
      </c>
      <c r="D58" s="48">
        <v>10</v>
      </c>
      <c r="E58" s="58" t="s">
        <v>44</v>
      </c>
      <c r="F58" s="48">
        <v>24</v>
      </c>
      <c r="G58" s="69">
        <v>0.4</v>
      </c>
      <c r="H58" s="63">
        <f>(1+G58)*F58</f>
        <v>33.599999999999994</v>
      </c>
      <c r="I58" s="61">
        <f>M58/N58</f>
        <v>3.8771957643947559</v>
      </c>
      <c r="J58" s="63" t="s">
        <v>45</v>
      </c>
      <c r="K58" s="59">
        <v>0.8</v>
      </c>
      <c r="L58" s="66">
        <f>H58*(I58/D58)^K58</f>
        <v>15.74539140947603</v>
      </c>
      <c r="M58" s="33">
        <f>[1]R2_Hydro_MEFA!$L$72</f>
        <v>30707.390454006465</v>
      </c>
      <c r="N58" s="88">
        <f>[1]Macro!$D$16*[1]Macro!$D$20*8</f>
        <v>7920</v>
      </c>
      <c r="O58" s="72">
        <f>L58*N58</f>
        <v>124703.49996305016</v>
      </c>
      <c r="P58" s="75">
        <f>30/60</f>
        <v>0.5</v>
      </c>
      <c r="Q58" s="75"/>
      <c r="R58" s="65">
        <f>M58/I58</f>
        <v>7920</v>
      </c>
      <c r="S58" s="22" t="s">
        <v>46</v>
      </c>
      <c r="T58" s="22"/>
    </row>
    <row r="59" spans="1:20" ht="17" thickBot="1" x14ac:dyDescent="0.4">
      <c r="A59" s="53" t="s">
        <v>41</v>
      </c>
      <c r="B59" s="49" t="s">
        <v>53</v>
      </c>
      <c r="C59" s="22" t="s">
        <v>48</v>
      </c>
      <c r="D59" s="48">
        <v>10</v>
      </c>
      <c r="E59" s="58" t="s">
        <v>44</v>
      </c>
      <c r="F59" s="48">
        <v>24</v>
      </c>
      <c r="G59" s="69">
        <v>0.4</v>
      </c>
      <c r="H59" s="63">
        <f>(1+G59)*F59</f>
        <v>33.599999999999994</v>
      </c>
      <c r="I59" s="61">
        <f>M59/N59</f>
        <v>5.660254860659653</v>
      </c>
      <c r="J59" s="63" t="s">
        <v>45</v>
      </c>
      <c r="K59" s="59">
        <v>0.8</v>
      </c>
      <c r="L59" s="66">
        <f>H59*(I59/D59)^K59</f>
        <v>21.311207930478346</v>
      </c>
      <c r="M59" s="71">
        <f>[1]R1_Hydro_MEFA!$L$55</f>
        <v>44829.218496424452</v>
      </c>
      <c r="N59" s="71">
        <f>[1]Macro!$D$16*[1]Macro!$D$20*8</f>
        <v>7920</v>
      </c>
      <c r="O59" s="72">
        <f>L59*N59</f>
        <v>168784.7668093885</v>
      </c>
      <c r="P59" s="75">
        <f>30/60</f>
        <v>0.5</v>
      </c>
      <c r="Q59" s="75"/>
      <c r="R59" s="65">
        <f>M59/I59</f>
        <v>7920</v>
      </c>
      <c r="S59" s="22" t="s">
        <v>46</v>
      </c>
      <c r="T59" s="22"/>
    </row>
    <row r="60" spans="1:20" ht="17" thickBot="1" x14ac:dyDescent="0.4">
      <c r="A60" s="53" t="s">
        <v>41</v>
      </c>
      <c r="B60" s="22" t="s">
        <v>53</v>
      </c>
      <c r="C60" s="22" t="s">
        <v>48</v>
      </c>
      <c r="D60" s="48">
        <v>10</v>
      </c>
      <c r="E60" s="58" t="s">
        <v>44</v>
      </c>
      <c r="F60" s="48">
        <v>24</v>
      </c>
      <c r="G60" s="69">
        <v>0.4</v>
      </c>
      <c r="H60" s="63">
        <f>(1+G60)*F60</f>
        <v>33.599999999999994</v>
      </c>
      <c r="I60" s="61">
        <f>M60/N60</f>
        <v>2.2422609730288214</v>
      </c>
      <c r="J60" s="63" t="s">
        <v>45</v>
      </c>
      <c r="K60" s="59">
        <v>0.8</v>
      </c>
      <c r="L60" s="66">
        <f>H60*(I60/D60)^K60</f>
        <v>10.159871235344951</v>
      </c>
      <c r="M60" s="71">
        <f>[1]R3_Hydro_MEFA!L55</f>
        <v>17758.706906388266</v>
      </c>
      <c r="N60" s="71">
        <f>[1]Macro!$D$16*[1]Macro!$D$20*8</f>
        <v>7920</v>
      </c>
      <c r="O60" s="72">
        <f>L60*N60</f>
        <v>80466.180183932011</v>
      </c>
      <c r="P60" s="75">
        <f>30/60</f>
        <v>0.5</v>
      </c>
      <c r="Q60" s="75"/>
      <c r="R60" s="65">
        <f>M60/I60</f>
        <v>7920</v>
      </c>
      <c r="S60" s="22" t="s">
        <v>46</v>
      </c>
      <c r="T60" s="22"/>
    </row>
    <row r="61" spans="1:20" ht="17" thickBot="1" x14ac:dyDescent="0.4">
      <c r="A61" s="53" t="s">
        <v>63</v>
      </c>
      <c r="B61" s="77" t="s">
        <v>67</v>
      </c>
      <c r="C61" s="58" t="s">
        <v>48</v>
      </c>
      <c r="D61" s="48">
        <v>10</v>
      </c>
      <c r="E61" s="58" t="s">
        <v>44</v>
      </c>
      <c r="F61" s="48">
        <v>24</v>
      </c>
      <c r="G61" s="69">
        <v>0.4</v>
      </c>
      <c r="H61" s="64">
        <f>(1+G61)*F61</f>
        <v>33.599999999999994</v>
      </c>
      <c r="I61" s="65">
        <f>M61/N61</f>
        <v>0</v>
      </c>
      <c r="J61" s="64" t="s">
        <v>45</v>
      </c>
      <c r="K61" s="59">
        <v>0.8</v>
      </c>
      <c r="L61" s="66">
        <f>H61*(I61/D61)^K61</f>
        <v>0</v>
      </c>
      <c r="M61" s="78">
        <f>[1]R1_Hydro_MEFA!$L$147</f>
        <v>0</v>
      </c>
      <c r="N61" s="71">
        <f>[1]Macro!$D$16*[1]Macro!$D$20*8</f>
        <v>7920</v>
      </c>
      <c r="O61" s="67">
        <f>L61*N61</f>
        <v>0</v>
      </c>
      <c r="P61" s="65"/>
      <c r="Q61" s="65"/>
      <c r="R61" s="65" t="e">
        <f>M61/I61</f>
        <v>#DIV/0!</v>
      </c>
      <c r="S61" s="22" t="s">
        <v>46</v>
      </c>
      <c r="T61" s="22"/>
    </row>
    <row r="62" spans="1:20" ht="17" thickBot="1" x14ac:dyDescent="0.4">
      <c r="A62" s="53" t="s">
        <v>63</v>
      </c>
      <c r="B62" s="58" t="s">
        <v>67</v>
      </c>
      <c r="C62" s="58" t="s">
        <v>48</v>
      </c>
      <c r="D62" s="48">
        <v>10</v>
      </c>
      <c r="E62" s="58" t="s">
        <v>44</v>
      </c>
      <c r="F62" s="48">
        <v>24</v>
      </c>
      <c r="G62" s="69">
        <v>0.4</v>
      </c>
      <c r="H62" s="64">
        <f>(1+G62)*F62</f>
        <v>33.599999999999994</v>
      </c>
      <c r="I62" s="65">
        <f>M62/N62</f>
        <v>0</v>
      </c>
      <c r="J62" s="64" t="s">
        <v>45</v>
      </c>
      <c r="K62" s="59">
        <v>0.8</v>
      </c>
      <c r="L62" s="66">
        <f>H62*(I62/D62)^K62</f>
        <v>0</v>
      </c>
      <c r="M62" s="78">
        <f>[1]R3_Hydro_MEFA!L147</f>
        <v>0</v>
      </c>
      <c r="N62" s="71">
        <f>[1]Macro!$D$16*[1]Macro!$D$20*8</f>
        <v>7920</v>
      </c>
      <c r="O62" s="67">
        <f>L62*N62</f>
        <v>0</v>
      </c>
      <c r="P62" s="65"/>
      <c r="Q62" s="65"/>
      <c r="R62" s="65" t="e">
        <f>M62/I62</f>
        <v>#DIV/0!</v>
      </c>
      <c r="S62" s="22" t="s">
        <v>46</v>
      </c>
      <c r="T62" s="22"/>
    </row>
    <row r="63" spans="1:20" ht="17" thickBot="1" x14ac:dyDescent="0.4">
      <c r="A63" s="53" t="s">
        <v>97</v>
      </c>
      <c r="B63" s="49" t="s">
        <v>109</v>
      </c>
      <c r="C63" s="22" t="s">
        <v>98</v>
      </c>
      <c r="D63" s="48">
        <v>10</v>
      </c>
      <c r="E63" s="58" t="s">
        <v>44</v>
      </c>
      <c r="F63" s="48">
        <v>24</v>
      </c>
      <c r="G63" s="69">
        <v>0.4</v>
      </c>
      <c r="H63" s="63">
        <f>(1+G63)*F63</f>
        <v>33.599999999999994</v>
      </c>
      <c r="I63" s="61">
        <f>M63/N63</f>
        <v>2.5174680796346718</v>
      </c>
      <c r="J63" s="63" t="s">
        <v>45</v>
      </c>
      <c r="K63" s="59">
        <v>0.8</v>
      </c>
      <c r="L63" s="66">
        <f>H63*(I63/D63)^K63</f>
        <v>11.145779716404789</v>
      </c>
      <c r="M63" s="33">
        <f>[1]R2_Hydro_MEFA!$L$188</f>
        <v>19938.347190706601</v>
      </c>
      <c r="N63" s="88">
        <f>[1]Macro!$D$16*[1]Macro!$D$20*8</f>
        <v>7920</v>
      </c>
      <c r="O63" s="72">
        <f>N63*L63</f>
        <v>88274.575353925931</v>
      </c>
      <c r="P63" s="75">
        <f>30/60</f>
        <v>0.5</v>
      </c>
      <c r="Q63" s="75"/>
      <c r="R63" s="65">
        <f>M63/I63</f>
        <v>7920</v>
      </c>
      <c r="S63" s="22" t="s">
        <v>46</v>
      </c>
      <c r="T63" s="22"/>
    </row>
    <row r="64" spans="1:20" ht="17" thickBot="1" x14ac:dyDescent="0.4">
      <c r="A64" s="53" t="s">
        <v>63</v>
      </c>
      <c r="B64" s="58" t="s">
        <v>76</v>
      </c>
      <c r="C64" s="58" t="s">
        <v>48</v>
      </c>
      <c r="D64" s="48">
        <v>10</v>
      </c>
      <c r="E64" s="58" t="s">
        <v>44</v>
      </c>
      <c r="F64" s="48">
        <v>24</v>
      </c>
      <c r="G64" s="69">
        <v>0.4</v>
      </c>
      <c r="H64" s="63">
        <f>(1+G64)*F64</f>
        <v>33.599999999999994</v>
      </c>
      <c r="I64" s="65">
        <f>M64/N64</f>
        <v>0</v>
      </c>
      <c r="J64" s="63" t="s">
        <v>45</v>
      </c>
      <c r="K64" s="59">
        <v>0.8</v>
      </c>
      <c r="L64" s="66">
        <f>H64*(D64/20)^K64</f>
        <v>19.298132363950188</v>
      </c>
      <c r="M64" s="33">
        <f>[1]R1_Hydro_MEFA!$L$200</f>
        <v>0</v>
      </c>
      <c r="N64" s="71">
        <f>[1]Macro!$D$16*[1]Macro!$D$20*8</f>
        <v>7920</v>
      </c>
      <c r="O64" s="72">
        <f>L64*N64</f>
        <v>152841.2083224855</v>
      </c>
      <c r="P64" s="65"/>
      <c r="Q64" s="65"/>
      <c r="R64" s="65" t="e">
        <f>M64/I64</f>
        <v>#DIV/0!</v>
      </c>
      <c r="S64" s="22" t="s">
        <v>46</v>
      </c>
      <c r="T64" s="22"/>
    </row>
    <row r="65" spans="1:20" ht="17" thickBot="1" x14ac:dyDescent="0.4">
      <c r="A65" s="53" t="s">
        <v>63</v>
      </c>
      <c r="B65" s="58" t="s">
        <v>119</v>
      </c>
      <c r="C65" s="58" t="s">
        <v>98</v>
      </c>
      <c r="D65" s="48">
        <v>10</v>
      </c>
      <c r="E65" s="58" t="s">
        <v>44</v>
      </c>
      <c r="F65" s="48">
        <v>24</v>
      </c>
      <c r="G65" s="69">
        <v>0.4</v>
      </c>
      <c r="H65" s="63">
        <f>(1+G65)*F65</f>
        <v>33.599999999999994</v>
      </c>
      <c r="I65" s="65">
        <f>M65/N65</f>
        <v>0</v>
      </c>
      <c r="J65" s="63" t="s">
        <v>45</v>
      </c>
      <c r="K65" s="59">
        <v>0.8</v>
      </c>
      <c r="L65" s="66">
        <f>H65*(D65/20)^K65</f>
        <v>19.298132363950188</v>
      </c>
      <c r="M65" s="33">
        <f>[1]R3_Hydro_MEFA!L193</f>
        <v>0</v>
      </c>
      <c r="N65" s="71">
        <f>[1]Macro!$D$16*[1]Macro!$D$20*8</f>
        <v>7920</v>
      </c>
      <c r="O65" s="72">
        <f>L65*N65</f>
        <v>152841.2083224855</v>
      </c>
      <c r="P65" s="65"/>
      <c r="Q65" s="65"/>
      <c r="R65" s="65" t="e">
        <f>M65/I65</f>
        <v>#DIV/0!</v>
      </c>
      <c r="S65" s="22" t="s">
        <v>46</v>
      </c>
      <c r="T65" s="22"/>
    </row>
    <row r="66" spans="1:20" ht="17" thickBot="1" x14ac:dyDescent="0.4">
      <c r="A66" s="53" t="s">
        <v>41</v>
      </c>
      <c r="B66" s="22" t="s">
        <v>57</v>
      </c>
      <c r="C66" s="22" t="s">
        <v>48</v>
      </c>
      <c r="D66" s="48">
        <v>10</v>
      </c>
      <c r="E66" s="58" t="s">
        <v>44</v>
      </c>
      <c r="F66" s="48">
        <v>24</v>
      </c>
      <c r="G66" s="69">
        <v>0.4</v>
      </c>
      <c r="H66" s="63">
        <f>(1+G66)*F66</f>
        <v>33.599999999999994</v>
      </c>
      <c r="I66" s="61">
        <f>M66/N66</f>
        <v>0.42786901022721452</v>
      </c>
      <c r="J66" s="63" t="s">
        <v>45</v>
      </c>
      <c r="K66" s="59">
        <v>0.8</v>
      </c>
      <c r="L66" s="66">
        <f>H66*(I66/D66)^K66</f>
        <v>2.7001503257992208</v>
      </c>
      <c r="M66" s="33">
        <f>[1]R1_Hydro_MEFA!$L$79</f>
        <v>3388.7225609995389</v>
      </c>
      <c r="N66" s="71">
        <f>[1]Macro!$D$16*[1]Macro!$D$20*8</f>
        <v>7920</v>
      </c>
      <c r="O66" s="72">
        <f>L66*N66</f>
        <v>21385.190580329829</v>
      </c>
      <c r="P66" s="75">
        <f>10/60</f>
        <v>0.16666666666666666</v>
      </c>
      <c r="Q66" s="75"/>
      <c r="R66" s="65">
        <f>M66/I66</f>
        <v>7920</v>
      </c>
      <c r="S66" s="22" t="s">
        <v>46</v>
      </c>
      <c r="T66" s="22"/>
    </row>
    <row r="67" spans="1:20" ht="14.5" customHeight="1" thickBot="1" x14ac:dyDescent="0.4">
      <c r="A67" s="53" t="s">
        <v>97</v>
      </c>
      <c r="B67" s="22" t="s">
        <v>57</v>
      </c>
      <c r="C67" s="22" t="s">
        <v>98</v>
      </c>
      <c r="D67" s="48">
        <v>10</v>
      </c>
      <c r="E67" s="58" t="s">
        <v>44</v>
      </c>
      <c r="F67" s="48">
        <v>24</v>
      </c>
      <c r="G67" s="69">
        <v>0.4</v>
      </c>
      <c r="H67" s="63">
        <f>(1+G67)*F67</f>
        <v>33.599999999999994</v>
      </c>
      <c r="I67" s="61">
        <f>M67/N67</f>
        <v>0.36353954575849123</v>
      </c>
      <c r="J67" s="63" t="s">
        <v>45</v>
      </c>
      <c r="K67" s="59">
        <v>0.8</v>
      </c>
      <c r="L67" s="66">
        <f>H67*(I67/D67)^K67</f>
        <v>2.3701760510682353</v>
      </c>
      <c r="M67" s="33">
        <f>[1]R2_Hydro_MEFA!$L$123</f>
        <v>2879.2332024072507</v>
      </c>
      <c r="N67" s="88">
        <f>[1]Macro!$D$16*[1]Macro!$D$20*8</f>
        <v>7920</v>
      </c>
      <c r="O67" s="72">
        <f>L67*N67</f>
        <v>18771.794324460425</v>
      </c>
      <c r="P67" s="75">
        <f>10/60</f>
        <v>0.16666666666666666</v>
      </c>
      <c r="Q67" s="75"/>
      <c r="R67" s="65">
        <f>M67/I67</f>
        <v>7920</v>
      </c>
      <c r="S67" s="22" t="s">
        <v>46</v>
      </c>
      <c r="T67" s="22"/>
    </row>
    <row r="68" spans="1:20" ht="17" thickBot="1" x14ac:dyDescent="0.4">
      <c r="A68" s="53" t="s">
        <v>41</v>
      </c>
      <c r="B68" s="22" t="s">
        <v>57</v>
      </c>
      <c r="C68" s="22" t="s">
        <v>98</v>
      </c>
      <c r="D68" s="48">
        <v>10</v>
      </c>
      <c r="E68" s="58" t="s">
        <v>44</v>
      </c>
      <c r="F68" s="48">
        <v>24</v>
      </c>
      <c r="G68" s="69">
        <v>0.4</v>
      </c>
      <c r="H68" s="63">
        <f>(1+G68)*F68</f>
        <v>33.599999999999994</v>
      </c>
      <c r="I68" s="61">
        <f>M68/N68</f>
        <v>0.41063108525384018</v>
      </c>
      <c r="J68" s="63" t="s">
        <v>45</v>
      </c>
      <c r="K68" s="59">
        <v>0.8</v>
      </c>
      <c r="L68" s="66">
        <f>H68*(I68/D68)^K68</f>
        <v>2.6127673220476919</v>
      </c>
      <c r="M68" s="33">
        <f>[1]R3_Hydro_MEFA!L79</f>
        <v>3252.1981952104143</v>
      </c>
      <c r="N68" s="71">
        <f>[1]Macro!$D$16*[1]Macro!$D$20*8</f>
        <v>7920</v>
      </c>
      <c r="O68" s="72">
        <f>L68*N68</f>
        <v>20693.117190617719</v>
      </c>
      <c r="P68" s="75">
        <f>10/60</f>
        <v>0.16666666666666666</v>
      </c>
      <c r="Q68" s="75"/>
      <c r="R68" s="65">
        <f>M68/I68</f>
        <v>7920</v>
      </c>
      <c r="S68" s="22" t="s">
        <v>46</v>
      </c>
      <c r="T68" s="22"/>
    </row>
    <row r="69" spans="1:20" ht="17" thickBot="1" x14ac:dyDescent="0.4">
      <c r="A69" s="53" t="s">
        <v>97</v>
      </c>
      <c r="B69" s="22" t="s">
        <v>107</v>
      </c>
      <c r="C69" s="22" t="s">
        <v>98</v>
      </c>
      <c r="D69" s="48">
        <v>10</v>
      </c>
      <c r="E69" s="58" t="s">
        <v>44</v>
      </c>
      <c r="F69" s="48">
        <v>24</v>
      </c>
      <c r="G69" s="69">
        <v>0.4</v>
      </c>
      <c r="H69" s="63">
        <f>(1+G69)*F69</f>
        <v>33.599999999999994</v>
      </c>
      <c r="I69" s="61">
        <f>M69/N69</f>
        <v>1.1475613609681619</v>
      </c>
      <c r="J69" s="63" t="s">
        <v>45</v>
      </c>
      <c r="K69" s="59">
        <v>0.8</v>
      </c>
      <c r="L69" s="66">
        <f>H69*(I69/D69)^K69</f>
        <v>5.9451115918955839</v>
      </c>
      <c r="M69" s="33">
        <f>[1]R2_Hydro_MEFA!$L$98</f>
        <v>9088.6859788678412</v>
      </c>
      <c r="N69" s="88">
        <f>[1]Macro!$D$16*[1]Macro!$D$20*8</f>
        <v>7920</v>
      </c>
      <c r="O69" s="72">
        <f>L69*N69</f>
        <v>47085.283807813023</v>
      </c>
      <c r="P69" s="75">
        <f>10/60</f>
        <v>0.16666666666666666</v>
      </c>
      <c r="Q69" s="75"/>
      <c r="R69" s="65">
        <f>M69/I69</f>
        <v>7919.9999999999991</v>
      </c>
      <c r="S69" s="22" t="s">
        <v>46</v>
      </c>
      <c r="T69" s="22"/>
    </row>
    <row r="70" spans="1:20" ht="17" thickBot="1" x14ac:dyDescent="0.4">
      <c r="A70" s="53" t="s">
        <v>63</v>
      </c>
      <c r="B70" s="58" t="s">
        <v>71</v>
      </c>
      <c r="C70" s="58" t="s">
        <v>48</v>
      </c>
      <c r="D70" s="48">
        <v>10</v>
      </c>
      <c r="E70" s="58" t="s">
        <v>44</v>
      </c>
      <c r="F70" s="48">
        <v>24</v>
      </c>
      <c r="G70" s="69">
        <v>0.4</v>
      </c>
      <c r="H70" s="64">
        <f>(1+G70)*F70</f>
        <v>33.599999999999994</v>
      </c>
      <c r="I70" s="65">
        <f>M70/N70</f>
        <v>0</v>
      </c>
      <c r="J70" s="64" t="s">
        <v>45</v>
      </c>
      <c r="K70" s="59">
        <v>0.8</v>
      </c>
      <c r="L70" s="66">
        <f>H70*(I70/D70)^K70</f>
        <v>0</v>
      </c>
      <c r="M70" s="33">
        <f>[1]R1_Hydro_MEFA!$L$172</f>
        <v>0</v>
      </c>
      <c r="N70" s="71">
        <f>[1]Macro!$D$16*[1]Macro!$D$20*8</f>
        <v>7920</v>
      </c>
      <c r="O70" s="67">
        <f>L70*N70</f>
        <v>0</v>
      </c>
      <c r="P70" s="65"/>
      <c r="Q70" s="65"/>
      <c r="R70" s="65" t="e">
        <f>M70/I70</f>
        <v>#DIV/0!</v>
      </c>
      <c r="S70" s="22" t="s">
        <v>46</v>
      </c>
      <c r="T70" s="22"/>
    </row>
    <row r="71" spans="1:20" ht="17" thickBot="1" x14ac:dyDescent="0.4">
      <c r="A71" s="53" t="s">
        <v>97</v>
      </c>
      <c r="B71" s="22" t="s">
        <v>71</v>
      </c>
      <c r="C71" s="22" t="s">
        <v>98</v>
      </c>
      <c r="D71" s="48">
        <v>10</v>
      </c>
      <c r="E71" s="58" t="s">
        <v>44</v>
      </c>
      <c r="F71" s="48">
        <v>24</v>
      </c>
      <c r="G71" s="69">
        <v>0.4</v>
      </c>
      <c r="H71" s="63">
        <f>(1+G71)*F71</f>
        <v>33.599999999999994</v>
      </c>
      <c r="I71" s="61">
        <f>M71/N71</f>
        <v>0.22695939647582256</v>
      </c>
      <c r="J71" s="63" t="s">
        <v>45</v>
      </c>
      <c r="K71" s="59">
        <v>0.8</v>
      </c>
      <c r="L71" s="66">
        <f>H71*(I71/D71)^K71</f>
        <v>1.6259149027980815</v>
      </c>
      <c r="M71" s="33">
        <f>[1]R2_Hydro_MEFA!$L$159</f>
        <v>1797.5184200885146</v>
      </c>
      <c r="N71" s="88">
        <f>[1]Macro!$D$16*[1]Macro!$D$20*8</f>
        <v>7920</v>
      </c>
      <c r="O71" s="72">
        <f>L71*N71</f>
        <v>12877.246030160806</v>
      </c>
      <c r="P71" s="75">
        <f>10/60</f>
        <v>0.16666666666666666</v>
      </c>
      <c r="Q71" s="75"/>
      <c r="R71" s="65">
        <f>M71/I71</f>
        <v>7920</v>
      </c>
      <c r="S71" s="22" t="s">
        <v>46</v>
      </c>
      <c r="T71" s="22"/>
    </row>
    <row r="72" spans="1:20" ht="17" thickBot="1" x14ac:dyDescent="0.4">
      <c r="A72" s="53" t="s">
        <v>63</v>
      </c>
      <c r="B72" s="58" t="s">
        <v>71</v>
      </c>
      <c r="C72" s="58" t="s">
        <v>98</v>
      </c>
      <c r="D72" s="48">
        <v>10</v>
      </c>
      <c r="E72" s="58" t="s">
        <v>44</v>
      </c>
      <c r="F72" s="48">
        <v>24</v>
      </c>
      <c r="G72" s="69">
        <v>0.4</v>
      </c>
      <c r="H72" s="64">
        <f>(1+G72)*F72</f>
        <v>33.599999999999994</v>
      </c>
      <c r="I72" s="65">
        <f>M72/N72</f>
        <v>0</v>
      </c>
      <c r="J72" s="64" t="s">
        <v>45</v>
      </c>
      <c r="K72" s="59">
        <v>0.8</v>
      </c>
      <c r="L72" s="66">
        <f>H72*(I72/D72)^K72</f>
        <v>0</v>
      </c>
      <c r="M72" s="33">
        <f>[1]R3_Hydro_MEFA!L172</f>
        <v>0</v>
      </c>
      <c r="N72" s="71">
        <f>[1]Macro!$D$16*[1]Macro!$D$20*8</f>
        <v>7920</v>
      </c>
      <c r="O72" s="67">
        <f>L72*N72</f>
        <v>0</v>
      </c>
      <c r="P72" s="65"/>
      <c r="Q72" s="65"/>
      <c r="R72" s="65" t="e">
        <f>M72/I72</f>
        <v>#DIV/0!</v>
      </c>
      <c r="S72" s="22" t="s">
        <v>46</v>
      </c>
      <c r="T72" s="22"/>
    </row>
    <row r="73" spans="1:20" ht="15" thickBot="1" x14ac:dyDescent="0.4">
      <c r="A73" s="53" t="s">
        <v>80</v>
      </c>
      <c r="B73" s="22" t="s">
        <v>114</v>
      </c>
      <c r="C73" s="22" t="s">
        <v>82</v>
      </c>
      <c r="D73" s="48">
        <v>1.5</v>
      </c>
      <c r="E73" s="58" t="s">
        <v>83</v>
      </c>
      <c r="F73" s="87">
        <f>F38</f>
        <v>18.5</v>
      </c>
      <c r="G73" s="69">
        <v>0.4</v>
      </c>
      <c r="H73" s="63">
        <f>(1+G73)*F73</f>
        <v>25.9</v>
      </c>
      <c r="I73" s="61">
        <f>M73/N73</f>
        <v>1.258474451739253</v>
      </c>
      <c r="J73" s="63" t="s">
        <v>38</v>
      </c>
      <c r="K73" s="59">
        <v>0.8</v>
      </c>
      <c r="L73" s="66">
        <f>H73*(I73/D73)^K73</f>
        <v>22.50620547507096</v>
      </c>
      <c r="M73" s="33">
        <f>[1]R3_MEFA!C61</f>
        <v>9967.1176577748829</v>
      </c>
      <c r="N73" s="88">
        <f>[1]Macro!$D$16*[1]Macro!$D$20*8</f>
        <v>7920</v>
      </c>
      <c r="O73" s="89">
        <f>N73*L73</f>
        <v>178249.14736256201</v>
      </c>
      <c r="P73" s="61"/>
      <c r="Q73" s="61"/>
      <c r="R73" s="61"/>
      <c r="S73" s="22" t="s">
        <v>35</v>
      </c>
      <c r="T73" s="22" t="s">
        <v>92</v>
      </c>
    </row>
    <row r="74" spans="1:20" ht="15" thickBot="1" x14ac:dyDescent="0.4">
      <c r="A74" s="53" t="s">
        <v>80</v>
      </c>
      <c r="B74" s="22" t="s">
        <v>81</v>
      </c>
      <c r="C74" s="22" t="s">
        <v>82</v>
      </c>
      <c r="D74" s="48">
        <v>1.5</v>
      </c>
      <c r="E74" s="58" t="s">
        <v>83</v>
      </c>
      <c r="F74" s="87">
        <v>2</v>
      </c>
      <c r="G74" s="69">
        <v>0.4</v>
      </c>
      <c r="H74" s="63">
        <f>(1+G74)*F74</f>
        <v>2.8</v>
      </c>
      <c r="I74" s="61">
        <f>M74/N74</f>
        <v>2.0998968211720324</v>
      </c>
      <c r="J74" s="63" t="s">
        <v>38</v>
      </c>
      <c r="K74" s="59">
        <v>0.8</v>
      </c>
      <c r="L74" s="66">
        <f>H74*(I74/D74)^K74</f>
        <v>3.6647418609815343</v>
      </c>
      <c r="M74" s="33">
        <f>[1]R2_MEFA!$C$31</f>
        <v>16631.182823682495</v>
      </c>
      <c r="N74" s="88">
        <f>[1]Macro!$D$16*[1]Macro!$D$20*8</f>
        <v>7920</v>
      </c>
      <c r="O74" s="89">
        <f>N74*L74</f>
        <v>29024.755538973754</v>
      </c>
      <c r="P74" s="61"/>
      <c r="Q74" s="61"/>
      <c r="R74" s="61"/>
      <c r="S74" s="22" t="s">
        <v>35</v>
      </c>
      <c r="T74" s="22"/>
    </row>
    <row r="75" spans="1:20" ht="15" thickBot="1" x14ac:dyDescent="0.4">
      <c r="A75" s="53" t="s">
        <v>80</v>
      </c>
      <c r="B75" s="22" t="s">
        <v>90</v>
      </c>
      <c r="C75" s="77" t="s">
        <v>91</v>
      </c>
      <c r="D75" s="87">
        <v>1.5</v>
      </c>
      <c r="E75" s="58" t="s">
        <v>83</v>
      </c>
      <c r="F75" s="87">
        <f>F70/2</f>
        <v>12</v>
      </c>
      <c r="G75" s="69">
        <v>0.4</v>
      </c>
      <c r="H75" s="63">
        <f>(1+G75)*F75</f>
        <v>16.799999999999997</v>
      </c>
      <c r="I75" s="61">
        <f>M75/N75</f>
        <v>1.633441988744526</v>
      </c>
      <c r="J75" s="63" t="s">
        <v>38</v>
      </c>
      <c r="K75" s="59">
        <v>0.8</v>
      </c>
      <c r="L75" s="66">
        <f>H75*(I75/D75)^K75</f>
        <v>17.985364616131406</v>
      </c>
      <c r="M75" s="33">
        <f>[1]R2_MEFA!$C$73</f>
        <v>12936.860550856645</v>
      </c>
      <c r="N75" s="88">
        <f>[1]Macro!$D$16*[1]Macro!$D$20*8</f>
        <v>7920</v>
      </c>
      <c r="O75" s="89">
        <f>N75*L75</f>
        <v>142444.08775976073</v>
      </c>
      <c r="P75" s="65"/>
      <c r="Q75" s="65"/>
      <c r="R75" s="65"/>
      <c r="S75" s="22" t="s">
        <v>35</v>
      </c>
      <c r="T75" s="22" t="s">
        <v>92</v>
      </c>
    </row>
    <row r="76" spans="1:20" ht="15" thickBot="1" x14ac:dyDescent="0.4">
      <c r="A76" s="52" t="s">
        <v>19</v>
      </c>
      <c r="B76" s="58" t="s">
        <v>23</v>
      </c>
      <c r="C76" s="58" t="s">
        <v>24</v>
      </c>
      <c r="D76" s="59">
        <v>0.33333333333333331</v>
      </c>
      <c r="E76" s="58" t="s">
        <v>22</v>
      </c>
      <c r="F76" s="48">
        <v>0</v>
      </c>
      <c r="G76" s="69">
        <v>0</v>
      </c>
      <c r="H76" s="63"/>
      <c r="I76" s="63"/>
      <c r="J76" s="63"/>
      <c r="K76" s="59">
        <v>0.8</v>
      </c>
      <c r="L76" s="60"/>
      <c r="M76" s="61"/>
      <c r="N76" s="61"/>
      <c r="O76" s="62"/>
      <c r="P76" s="61"/>
      <c r="Q76" s="61"/>
      <c r="R76" s="61"/>
      <c r="S76" s="22"/>
      <c r="T76" s="22"/>
    </row>
    <row r="77" spans="1:20" ht="15" thickBot="1" x14ac:dyDescent="0.4">
      <c r="A77" s="52" t="s">
        <v>19</v>
      </c>
      <c r="B77" s="58" t="s">
        <v>23</v>
      </c>
      <c r="C77" s="58" t="s">
        <v>24</v>
      </c>
      <c r="D77" s="59">
        <v>0.33333333333333331</v>
      </c>
      <c r="E77" s="58" t="s">
        <v>22</v>
      </c>
      <c r="F77" s="48">
        <v>0</v>
      </c>
      <c r="G77" s="69">
        <v>0</v>
      </c>
      <c r="H77" s="63"/>
      <c r="I77" s="63"/>
      <c r="J77" s="63"/>
      <c r="K77" s="59">
        <v>0.8</v>
      </c>
      <c r="L77" s="60"/>
      <c r="M77" s="61"/>
      <c r="N77" s="61"/>
      <c r="O77" s="62"/>
      <c r="P77" s="61"/>
      <c r="Q77" s="61"/>
      <c r="R77" s="61"/>
      <c r="S77" s="22"/>
      <c r="T77" s="22"/>
    </row>
    <row r="78" spans="1:20" ht="15" thickBot="1" x14ac:dyDescent="0.4">
      <c r="A78" s="52" t="s">
        <v>19</v>
      </c>
      <c r="B78" s="58" t="s">
        <v>23</v>
      </c>
      <c r="C78" s="58" t="s">
        <v>24</v>
      </c>
      <c r="D78" s="59">
        <v>0.33333333333333331</v>
      </c>
      <c r="E78" s="58" t="s">
        <v>22</v>
      </c>
      <c r="F78" s="48">
        <v>0</v>
      </c>
      <c r="G78" s="69">
        <v>0</v>
      </c>
      <c r="H78" s="63"/>
      <c r="I78" s="63"/>
      <c r="J78" s="63"/>
      <c r="K78" s="59">
        <v>0.8</v>
      </c>
      <c r="L78" s="60"/>
      <c r="M78" s="61"/>
      <c r="N78" s="65"/>
      <c r="O78" s="62"/>
      <c r="P78" s="61"/>
      <c r="Q78" s="61"/>
      <c r="R78" s="61"/>
      <c r="S78" s="22"/>
      <c r="T78" s="22"/>
    </row>
    <row r="79" spans="1:20" ht="15" thickBot="1" x14ac:dyDescent="0.4">
      <c r="A79" s="52" t="s">
        <v>19</v>
      </c>
      <c r="B79" s="58" t="s">
        <v>25</v>
      </c>
      <c r="C79" s="58" t="s">
        <v>26</v>
      </c>
      <c r="D79" s="59">
        <v>6</v>
      </c>
      <c r="E79" s="58" t="s">
        <v>27</v>
      </c>
      <c r="F79" s="48">
        <v>0</v>
      </c>
      <c r="G79" s="69">
        <v>0</v>
      </c>
      <c r="H79" s="63"/>
      <c r="I79" s="63"/>
      <c r="J79" s="63"/>
      <c r="K79" s="59">
        <v>0.8</v>
      </c>
      <c r="L79" s="60"/>
      <c r="M79" s="61"/>
      <c r="N79" s="61"/>
      <c r="O79" s="62"/>
      <c r="P79" s="61"/>
      <c r="Q79" s="61"/>
      <c r="R79" s="61"/>
      <c r="S79" s="22"/>
      <c r="T79" s="22"/>
    </row>
    <row r="80" spans="1:20" ht="15" thickBot="1" x14ac:dyDescent="0.4">
      <c r="A80" s="52" t="s">
        <v>19</v>
      </c>
      <c r="B80" s="58" t="s">
        <v>25</v>
      </c>
      <c r="C80" s="58" t="s">
        <v>26</v>
      </c>
      <c r="D80" s="59">
        <v>6</v>
      </c>
      <c r="E80" s="58" t="s">
        <v>27</v>
      </c>
      <c r="F80" s="48">
        <v>0</v>
      </c>
      <c r="G80" s="69">
        <v>0</v>
      </c>
      <c r="H80" s="63"/>
      <c r="I80" s="63"/>
      <c r="J80" s="63"/>
      <c r="K80" s="59">
        <v>0.8</v>
      </c>
      <c r="L80" s="60"/>
      <c r="M80" s="61"/>
      <c r="N80" s="61"/>
      <c r="O80" s="62"/>
      <c r="P80" s="61"/>
      <c r="Q80" s="61"/>
      <c r="R80" s="61"/>
      <c r="S80" s="22"/>
      <c r="T80" s="22"/>
    </row>
    <row r="81" spans="1:20" ht="15" thickBot="1" x14ac:dyDescent="0.4">
      <c r="A81" s="52" t="s">
        <v>19</v>
      </c>
      <c r="B81" s="58" t="s">
        <v>25</v>
      </c>
      <c r="C81" s="58" t="s">
        <v>26</v>
      </c>
      <c r="D81" s="59">
        <v>6</v>
      </c>
      <c r="E81" s="58" t="s">
        <v>27</v>
      </c>
      <c r="F81" s="48">
        <v>0</v>
      </c>
      <c r="G81" s="69">
        <v>0</v>
      </c>
      <c r="H81" s="63"/>
      <c r="I81" s="63"/>
      <c r="J81" s="63"/>
      <c r="K81" s="59">
        <v>0.8</v>
      </c>
      <c r="L81" s="60"/>
      <c r="M81" s="61"/>
      <c r="N81" s="65"/>
      <c r="O81" s="62"/>
      <c r="P81" s="61"/>
      <c r="Q81" s="61"/>
      <c r="R81" s="61"/>
      <c r="S81" s="22"/>
      <c r="T81" s="22"/>
    </row>
    <row r="82" spans="1:20" ht="17" thickBot="1" x14ac:dyDescent="0.4">
      <c r="A82" s="53" t="s">
        <v>41</v>
      </c>
      <c r="B82" s="22" t="s">
        <v>58</v>
      </c>
      <c r="C82" s="22" t="s">
        <v>48</v>
      </c>
      <c r="D82" s="48">
        <v>10</v>
      </c>
      <c r="E82" s="58" t="s">
        <v>44</v>
      </c>
      <c r="F82" s="48">
        <v>24</v>
      </c>
      <c r="G82" s="69">
        <v>0.4</v>
      </c>
      <c r="H82" s="63">
        <f>(1+G82)*F82</f>
        <v>33.599999999999994</v>
      </c>
      <c r="I82" s="61">
        <f>M82/N82</f>
        <v>0.42833154486921965</v>
      </c>
      <c r="J82" s="63" t="s">
        <v>45</v>
      </c>
      <c r="K82" s="59">
        <v>0.8</v>
      </c>
      <c r="L82" s="66">
        <f>H82*(I82/D82)^K82</f>
        <v>2.7024852050877715</v>
      </c>
      <c r="M82" s="33">
        <f>[1]R1_Hydro_MEFA!$L$85</f>
        <v>3392.3858353642195</v>
      </c>
      <c r="N82" s="71">
        <f>[1]Macro!$D$16*[1]Macro!$D$20*8</f>
        <v>7920</v>
      </c>
      <c r="O82" s="72">
        <f>L82*N82</f>
        <v>21403.682824295149</v>
      </c>
      <c r="P82" s="75">
        <f>10/60</f>
        <v>0.16666666666666666</v>
      </c>
      <c r="Q82" s="75"/>
      <c r="R82" s="65">
        <f>M82/I82</f>
        <v>7920</v>
      </c>
      <c r="S82" s="22" t="s">
        <v>46</v>
      </c>
      <c r="T82" s="22"/>
    </row>
    <row r="83" spans="1:20" ht="17" thickBot="1" x14ac:dyDescent="0.4">
      <c r="A83" s="53" t="s">
        <v>97</v>
      </c>
      <c r="B83" s="22" t="s">
        <v>58</v>
      </c>
      <c r="C83" s="22" t="s">
        <v>98</v>
      </c>
      <c r="D83" s="48">
        <v>10</v>
      </c>
      <c r="E83" s="58" t="s">
        <v>44</v>
      </c>
      <c r="F83" s="48">
        <v>24</v>
      </c>
      <c r="G83" s="69">
        <v>0.4</v>
      </c>
      <c r="H83" s="63">
        <f>(1+G83)*F83</f>
        <v>33.599999999999994</v>
      </c>
      <c r="I83" s="61">
        <f>M83/N83</f>
        <v>0.36365607000130984</v>
      </c>
      <c r="J83" s="63" t="s">
        <v>45</v>
      </c>
      <c r="K83" s="59">
        <v>0.8</v>
      </c>
      <c r="L83" s="66">
        <f>H83*(I83/D83)^K83</f>
        <v>2.3707837959403286</v>
      </c>
      <c r="M83" s="33">
        <f>[1]R2_Hydro_MEFA!$L$129</f>
        <v>2880.156074410374</v>
      </c>
      <c r="N83" s="88">
        <f>[1]Macro!$D$16*[1]Macro!$D$20*8</f>
        <v>7920</v>
      </c>
      <c r="O83" s="72">
        <f>L83*N83</f>
        <v>18776.607663847404</v>
      </c>
      <c r="P83" s="75">
        <f>10/60</f>
        <v>0.16666666666666666</v>
      </c>
      <c r="Q83" s="75"/>
      <c r="R83" s="65">
        <f>M83/I83</f>
        <v>7920</v>
      </c>
      <c r="S83" s="22" t="s">
        <v>46</v>
      </c>
      <c r="T83" s="22"/>
    </row>
    <row r="84" spans="1:20" ht="17" thickBot="1" x14ac:dyDescent="0.4">
      <c r="A84" s="53" t="s">
        <v>41</v>
      </c>
      <c r="B84" s="22" t="s">
        <v>58</v>
      </c>
      <c r="C84" s="22" t="s">
        <v>98</v>
      </c>
      <c r="D84" s="48">
        <v>10</v>
      </c>
      <c r="E84" s="58" t="s">
        <v>44</v>
      </c>
      <c r="F84" s="48">
        <v>24</v>
      </c>
      <c r="G84" s="69">
        <v>0.4</v>
      </c>
      <c r="H84" s="63">
        <f>(1+G84)*F84</f>
        <v>33.599999999999994</v>
      </c>
      <c r="I84" s="61">
        <f>M84/N84</f>
        <v>0.41084662700814534</v>
      </c>
      <c r="J84" s="63" t="s">
        <v>45</v>
      </c>
      <c r="K84" s="59">
        <v>0.8</v>
      </c>
      <c r="L84" s="66">
        <f>H84*(I84/D84)^K84</f>
        <v>2.6138644253467174</v>
      </c>
      <c r="M84" s="33">
        <f>[1]R3_Hydro_MEFA!L85</f>
        <v>3253.9052859045109</v>
      </c>
      <c r="N84" s="71">
        <f>[1]Macro!$D$16*[1]Macro!$D$20*8</f>
        <v>7920</v>
      </c>
      <c r="O84" s="72">
        <f>L84*N84</f>
        <v>20701.806248746001</v>
      </c>
      <c r="P84" s="75">
        <f>10/60</f>
        <v>0.16666666666666666</v>
      </c>
      <c r="Q84" s="75"/>
      <c r="R84" s="65">
        <f>M84/I84</f>
        <v>7920</v>
      </c>
      <c r="S84" s="22" t="s">
        <v>46</v>
      </c>
      <c r="T84" s="22"/>
    </row>
    <row r="85" spans="1:20" ht="17" thickBot="1" x14ac:dyDescent="0.4">
      <c r="A85" s="53" t="s">
        <v>97</v>
      </c>
      <c r="B85" s="22" t="s">
        <v>108</v>
      </c>
      <c r="C85" s="22" t="s">
        <v>98</v>
      </c>
      <c r="D85" s="48">
        <v>10</v>
      </c>
      <c r="E85" s="58" t="s">
        <v>44</v>
      </c>
      <c r="F85" s="48">
        <v>24</v>
      </c>
      <c r="G85" s="69">
        <v>0.4</v>
      </c>
      <c r="H85" s="63">
        <f>(1+G85)*F85</f>
        <v>33.599999999999994</v>
      </c>
      <c r="I85" s="61">
        <f>M85/N85</f>
        <v>1.1479820456352401</v>
      </c>
      <c r="J85" s="63" t="s">
        <v>45</v>
      </c>
      <c r="K85" s="59">
        <v>0.8</v>
      </c>
      <c r="L85" s="66">
        <f>H85*(I85/D85)^K85</f>
        <v>5.9468550633678454</v>
      </c>
      <c r="M85" s="33">
        <f>[1]R2_Hydro_MEFA!$L$104</f>
        <v>9092.0178014311023</v>
      </c>
      <c r="N85" s="88">
        <f>[1]Macro!$D$16*[1]Macro!$D$20*8</f>
        <v>7920</v>
      </c>
      <c r="O85" s="72">
        <f>L85*N85</f>
        <v>47099.092101873335</v>
      </c>
      <c r="P85" s="75">
        <f>10/60</f>
        <v>0.16666666666666666</v>
      </c>
      <c r="Q85" s="75"/>
      <c r="R85" s="65">
        <f>M85/I85</f>
        <v>7920.0000000000009</v>
      </c>
      <c r="S85" s="22" t="s">
        <v>46</v>
      </c>
      <c r="T85" s="22"/>
    </row>
    <row r="86" spans="1:20" ht="16.5" x14ac:dyDescent="0.35">
      <c r="A86" s="53" t="s">
        <v>63</v>
      </c>
      <c r="B86" s="58" t="s">
        <v>72</v>
      </c>
      <c r="C86" s="58" t="s">
        <v>48</v>
      </c>
      <c r="D86" s="48">
        <v>10</v>
      </c>
      <c r="E86" s="58" t="s">
        <v>44</v>
      </c>
      <c r="F86" s="48">
        <v>24</v>
      </c>
      <c r="G86" s="69">
        <v>0.4</v>
      </c>
      <c r="H86" s="64">
        <f>(1+G86)*F86</f>
        <v>33.599999999999994</v>
      </c>
      <c r="I86" s="65">
        <f>M86/N86</f>
        <v>0</v>
      </c>
      <c r="J86" s="64" t="s">
        <v>45</v>
      </c>
      <c r="K86" s="59">
        <v>0.8</v>
      </c>
      <c r="L86" s="66">
        <f>H86*(I86/D86)^K86</f>
        <v>0</v>
      </c>
      <c r="M86" s="33">
        <f>[1]R1_Hydro_MEFA!$L$178</f>
        <v>0</v>
      </c>
      <c r="N86" s="71">
        <f>[1]Macro!$D$16*[1]Macro!$D$20*8</f>
        <v>7920</v>
      </c>
      <c r="O86" s="67">
        <f>L86*N86</f>
        <v>0</v>
      </c>
      <c r="P86" s="65"/>
      <c r="Q86" s="65"/>
      <c r="R86" s="65" t="e">
        <f>M86/I86</f>
        <v>#DIV/0!</v>
      </c>
      <c r="S86" s="22" t="s">
        <v>46</v>
      </c>
      <c r="T86" s="22"/>
    </row>
    <row r="87" spans="1:20" ht="16.5" x14ac:dyDescent="0.35">
      <c r="A87" s="91" t="s">
        <v>97</v>
      </c>
      <c r="B87" s="22" t="s">
        <v>72</v>
      </c>
      <c r="C87" s="22" t="s">
        <v>98</v>
      </c>
      <c r="D87" s="48">
        <v>10</v>
      </c>
      <c r="E87" s="58" t="s">
        <v>44</v>
      </c>
      <c r="F87" s="48">
        <v>24</v>
      </c>
      <c r="G87" s="69">
        <v>0.4</v>
      </c>
      <c r="H87" s="63">
        <f>(1+G87)*F87</f>
        <v>33.599999999999994</v>
      </c>
      <c r="I87" s="61">
        <f>M87/N87</f>
        <v>0.22715889138544082</v>
      </c>
      <c r="J87" s="63" t="s">
        <v>45</v>
      </c>
      <c r="K87" s="59">
        <v>0.8</v>
      </c>
      <c r="L87" s="66">
        <f>H87*(I87/D87)^K87</f>
        <v>1.627058131941556</v>
      </c>
      <c r="M87" s="33">
        <f>[1]R2_Hydro_MEFA!$L$165</f>
        <v>1799.0984197726914</v>
      </c>
      <c r="N87" s="88">
        <f>[1]Macro!$D$16*[1]Macro!$D$20*8</f>
        <v>7920</v>
      </c>
      <c r="O87" s="72">
        <f>L87*N87</f>
        <v>12886.300404977124</v>
      </c>
      <c r="P87" s="75">
        <f>10/60</f>
        <v>0.16666666666666666</v>
      </c>
      <c r="Q87" s="75"/>
      <c r="R87" s="65">
        <f>M87/I87</f>
        <v>7920</v>
      </c>
      <c r="S87" s="22" t="s">
        <v>46</v>
      </c>
      <c r="T87" s="22"/>
    </row>
    <row r="88" spans="1:20" ht="16.5" x14ac:dyDescent="0.35">
      <c r="A88" s="91" t="s">
        <v>63</v>
      </c>
      <c r="B88" s="58" t="s">
        <v>72</v>
      </c>
      <c r="C88" s="58" t="s">
        <v>98</v>
      </c>
      <c r="D88" s="48">
        <v>10</v>
      </c>
      <c r="E88" s="58" t="s">
        <v>44</v>
      </c>
      <c r="F88" s="48">
        <v>24</v>
      </c>
      <c r="G88" s="69">
        <v>0.4</v>
      </c>
      <c r="H88" s="64">
        <f>(1+G88)*F88</f>
        <v>33.599999999999994</v>
      </c>
      <c r="I88" s="65">
        <f>M88/N88</f>
        <v>0</v>
      </c>
      <c r="J88" s="64" t="s">
        <v>45</v>
      </c>
      <c r="K88" s="59">
        <v>0.8</v>
      </c>
      <c r="L88" s="66">
        <f>H88*(I88/D88)^K88</f>
        <v>0</v>
      </c>
      <c r="M88" s="33">
        <f>[1]R3_Hydro_MEFA!L178</f>
        <v>0</v>
      </c>
      <c r="N88" s="71">
        <f>[1]Macro!$D$16*[1]Macro!$D$20*8</f>
        <v>7920</v>
      </c>
      <c r="O88" s="67">
        <f>L88*N88</f>
        <v>0</v>
      </c>
      <c r="P88" s="65"/>
      <c r="Q88" s="65"/>
      <c r="R88" s="65" t="e">
        <f>M88/I88</f>
        <v>#DIV/0!</v>
      </c>
      <c r="S88" s="22" t="s">
        <v>46</v>
      </c>
      <c r="T88" s="22"/>
    </row>
    <row r="89" spans="1:20" x14ac:dyDescent="0.35">
      <c r="A89" s="92" t="s">
        <v>19</v>
      </c>
      <c r="B89" s="58" t="s">
        <v>20</v>
      </c>
      <c r="C89" s="58" t="s">
        <v>21</v>
      </c>
      <c r="D89" s="59">
        <v>6</v>
      </c>
      <c r="E89" s="58" t="s">
        <v>22</v>
      </c>
      <c r="F89" s="48">
        <v>0</v>
      </c>
      <c r="G89" s="69">
        <v>0</v>
      </c>
      <c r="H89" s="63"/>
      <c r="I89" s="63"/>
      <c r="J89" s="63"/>
      <c r="K89" s="59">
        <v>0.8</v>
      </c>
      <c r="L89" s="60"/>
      <c r="M89" s="61"/>
      <c r="N89" s="61"/>
      <c r="O89" s="62"/>
      <c r="P89" s="61"/>
      <c r="Q89" s="61"/>
      <c r="R89" s="61"/>
      <c r="S89" s="22"/>
      <c r="T89" s="22"/>
    </row>
    <row r="90" spans="1:20" x14ac:dyDescent="0.35">
      <c r="A90" s="92" t="s">
        <v>19</v>
      </c>
      <c r="B90" s="58" t="s">
        <v>20</v>
      </c>
      <c r="C90" s="77" t="s">
        <v>21</v>
      </c>
      <c r="D90" s="59">
        <v>6</v>
      </c>
      <c r="E90" s="58" t="s">
        <v>22</v>
      </c>
      <c r="F90" s="48">
        <v>0</v>
      </c>
      <c r="G90" s="69">
        <v>0</v>
      </c>
      <c r="H90" s="63"/>
      <c r="I90" s="63"/>
      <c r="J90" s="63"/>
      <c r="K90" s="59">
        <v>0.8</v>
      </c>
      <c r="L90" s="60"/>
      <c r="M90" s="61"/>
      <c r="N90" s="65"/>
      <c r="O90" s="62"/>
      <c r="P90" s="61"/>
      <c r="Q90" s="61"/>
      <c r="R90" s="61"/>
      <c r="S90" s="22"/>
      <c r="T90" s="22"/>
    </row>
    <row r="91" spans="1:20" ht="16.5" x14ac:dyDescent="0.35">
      <c r="A91" s="91" t="s">
        <v>97</v>
      </c>
      <c r="B91" s="22" t="s">
        <v>100</v>
      </c>
      <c r="C91" s="49" t="s">
        <v>101</v>
      </c>
      <c r="D91" s="48">
        <v>10</v>
      </c>
      <c r="E91" s="58" t="s">
        <v>44</v>
      </c>
      <c r="F91" s="48">
        <v>5</v>
      </c>
      <c r="G91" s="69">
        <v>0.4</v>
      </c>
      <c r="H91" s="64">
        <f>(1+G91)*F91</f>
        <v>7</v>
      </c>
      <c r="I91" s="65">
        <f>M91/N91</f>
        <v>0.18623883598509491</v>
      </c>
      <c r="J91" s="64" t="s">
        <v>45</v>
      </c>
      <c r="K91" s="59">
        <v>0.8</v>
      </c>
      <c r="L91" s="66">
        <f>H91*(I91/D91)^K91</f>
        <v>0.2891706684309126</v>
      </c>
      <c r="M91" s="71">
        <f>[1]R2_Hydro_MEFA!$L$43</f>
        <v>1475.0115810019518</v>
      </c>
      <c r="N91" s="88">
        <f>[1]Macro!$D$16*[1]Macro!$D$20*8</f>
        <v>7920</v>
      </c>
      <c r="O91" s="72">
        <f>L91*N91</f>
        <v>2290.231693972828</v>
      </c>
      <c r="P91" s="75">
        <f>60/60</f>
        <v>1</v>
      </c>
      <c r="Q91" s="75"/>
      <c r="R91" s="65">
        <f>M91/I91</f>
        <v>7920</v>
      </c>
      <c r="S91" s="22"/>
      <c r="T91" s="22"/>
    </row>
    <row r="92" spans="1:20" x14ac:dyDescent="0.35">
      <c r="A92" s="91" t="s">
        <v>80</v>
      </c>
      <c r="B92" s="58" t="s">
        <v>86</v>
      </c>
      <c r="C92" s="77" t="s">
        <v>33</v>
      </c>
      <c r="D92" s="87">
        <v>1.5</v>
      </c>
      <c r="E92" s="58" t="s">
        <v>34</v>
      </c>
      <c r="F92" s="59">
        <v>5</v>
      </c>
      <c r="G92" s="69">
        <v>0.4</v>
      </c>
      <c r="H92" s="70">
        <f>(1+G92)*F92</f>
        <v>7</v>
      </c>
      <c r="I92" s="65">
        <f>M92/N92</f>
        <v>5.476583225444644</v>
      </c>
      <c r="J92" s="64"/>
      <c r="K92" s="59">
        <v>0.8</v>
      </c>
      <c r="L92" s="66">
        <f>H92*(I92/D92)^K92</f>
        <v>19.725716461198029</v>
      </c>
      <c r="M92" s="71">
        <f>[1]R2_MEFA!C6</f>
        <v>43374.539145521579</v>
      </c>
      <c r="N92" s="88">
        <f>[1]Macro!$D$16*[1]Macro!$D$20*8</f>
        <v>7920</v>
      </c>
      <c r="O92" s="72">
        <f>N92*F92/(D92/I92)</f>
        <v>144581.7971517386</v>
      </c>
      <c r="P92" s="75">
        <v>1</v>
      </c>
      <c r="Q92" s="75"/>
      <c r="R92" s="65">
        <f>M92/I92</f>
        <v>7920</v>
      </c>
      <c r="S92" s="22" t="s">
        <v>35</v>
      </c>
      <c r="T92" s="22"/>
    </row>
    <row r="93" spans="1:20" x14ac:dyDescent="0.35">
      <c r="A93" s="92" t="s">
        <v>31</v>
      </c>
      <c r="B93" s="58" t="s">
        <v>86</v>
      </c>
      <c r="C93" s="58" t="s">
        <v>33</v>
      </c>
      <c r="D93" s="59">
        <v>1.5</v>
      </c>
      <c r="E93" s="58" t="s">
        <v>34</v>
      </c>
      <c r="F93" s="68">
        <v>5</v>
      </c>
      <c r="G93" s="69">
        <v>0.4</v>
      </c>
      <c r="H93" s="70">
        <f>(1+G93)*F93</f>
        <v>7</v>
      </c>
      <c r="I93" s="65">
        <f>M93/N93</f>
        <v>5.476583225444644</v>
      </c>
      <c r="J93" s="64" t="s">
        <v>34</v>
      </c>
      <c r="K93" s="59">
        <v>0.8</v>
      </c>
      <c r="L93" s="66">
        <f>H93*(I93/D93)^K93</f>
        <v>19.725716461198029</v>
      </c>
      <c r="M93" s="71">
        <f>[1]R3_MEFA!C6</f>
        <v>43374.539145521579</v>
      </c>
      <c r="N93" s="71">
        <f>[1]Macro!$D$16*[1]Macro!$D$20*8</f>
        <v>7920</v>
      </c>
      <c r="O93" s="72">
        <f>N93*F93/(D93/I93)</f>
        <v>144581.7971517386</v>
      </c>
      <c r="P93" s="65"/>
      <c r="Q93" s="65"/>
      <c r="R93" s="65">
        <f>M93/I93</f>
        <v>7920</v>
      </c>
      <c r="S93" s="22" t="s">
        <v>35</v>
      </c>
      <c r="T93" s="22"/>
    </row>
    <row r="94" spans="1:20" x14ac:dyDescent="0.35">
      <c r="A94" s="91" t="s">
        <v>80</v>
      </c>
      <c r="B94" s="22" t="s">
        <v>115</v>
      </c>
      <c r="C94" s="58" t="s">
        <v>89</v>
      </c>
      <c r="D94" s="87">
        <v>1.5</v>
      </c>
      <c r="E94" s="58" t="s">
        <v>83</v>
      </c>
      <c r="F94" s="87">
        <v>0.25</v>
      </c>
      <c r="G94" s="69">
        <v>0.4</v>
      </c>
      <c r="H94" s="63">
        <f>(1+G94)*F94</f>
        <v>0.35</v>
      </c>
      <c r="I94" s="61">
        <f>M94/N94</f>
        <v>0.43831591731673647</v>
      </c>
      <c r="J94" s="63" t="s">
        <v>38</v>
      </c>
      <c r="K94" s="59">
        <v>0.8</v>
      </c>
      <c r="L94" s="66">
        <f>H94*(I94/D94)^K94</f>
        <v>0.13080514629981715</v>
      </c>
      <c r="M94" s="33">
        <f>[1]R3_MEFA!C78</f>
        <v>3471.4620651485529</v>
      </c>
      <c r="N94" s="88">
        <f>[1]Macro!$D$16*[1]Macro!$D$20*8</f>
        <v>7920</v>
      </c>
      <c r="O94" s="89">
        <f>N94*L94</f>
        <v>1035.9767586945518</v>
      </c>
      <c r="P94" s="65"/>
      <c r="Q94" s="65"/>
      <c r="R94" s="65"/>
      <c r="S94" s="22" t="s">
        <v>35</v>
      </c>
      <c r="T94" s="22"/>
    </row>
    <row r="95" spans="1:20" x14ac:dyDescent="0.35">
      <c r="A95" s="91" t="s">
        <v>80</v>
      </c>
      <c r="B95" s="22" t="s">
        <v>88</v>
      </c>
      <c r="C95" s="77" t="s">
        <v>89</v>
      </c>
      <c r="D95" s="87">
        <v>1.5</v>
      </c>
      <c r="E95" s="58" t="s">
        <v>83</v>
      </c>
      <c r="F95" s="87">
        <v>1.5</v>
      </c>
      <c r="G95" s="69">
        <v>0.4</v>
      </c>
      <c r="H95" s="63">
        <f>(1+G95)*F95</f>
        <v>2.0999999999999996</v>
      </c>
      <c r="I95" s="61">
        <f>M95/N95</f>
        <v>1.7123584577065381</v>
      </c>
      <c r="J95" s="63" t="s">
        <v>38</v>
      </c>
      <c r="K95" s="59">
        <v>0.8</v>
      </c>
      <c r="L95" s="66">
        <f>H95*(I95/D95)^K95</f>
        <v>2.3346513530095288</v>
      </c>
      <c r="M95" s="33">
        <f>[1]R2_MEFA!$C$64</f>
        <v>13561.878985035781</v>
      </c>
      <c r="N95" s="88">
        <f>[1]Macro!$D$16*[1]Macro!$D$20*8</f>
        <v>7920</v>
      </c>
      <c r="O95" s="89">
        <f>N95*L95</f>
        <v>18490.438715835469</v>
      </c>
      <c r="P95" s="65"/>
      <c r="Q95" s="65"/>
      <c r="R95" s="65"/>
      <c r="S95" s="22" t="s">
        <v>35</v>
      </c>
      <c r="T95" s="22"/>
    </row>
    <row r="96" spans="1:20" x14ac:dyDescent="0.35">
      <c r="A96" s="91" t="s">
        <v>80</v>
      </c>
      <c r="B96" s="22" t="s">
        <v>94</v>
      </c>
      <c r="C96" s="58" t="s">
        <v>89</v>
      </c>
      <c r="D96" s="87">
        <v>1.5</v>
      </c>
      <c r="E96" s="58" t="s">
        <v>83</v>
      </c>
      <c r="F96" s="87">
        <v>0.25</v>
      </c>
      <c r="G96" s="69">
        <v>0.4</v>
      </c>
      <c r="H96" s="63">
        <f>(1+G96)*F96</f>
        <v>0.35</v>
      </c>
      <c r="I96" s="61">
        <f>M96/N96</f>
        <v>0.82561802168288811</v>
      </c>
      <c r="J96" s="63" t="s">
        <v>38</v>
      </c>
      <c r="K96" s="59">
        <v>0.8</v>
      </c>
      <c r="L96" s="66">
        <f>H96*(I96/D96)^K96</f>
        <v>0.21707927801011284</v>
      </c>
      <c r="M96" s="33">
        <f>[1]R2_MEFA!$C$84</f>
        <v>6538.8947317284737</v>
      </c>
      <c r="N96" s="88">
        <f>[1]Macro!$D$16*[1]Macro!$D$20*8</f>
        <v>7920</v>
      </c>
      <c r="O96" s="89">
        <f>N96*L96</f>
        <v>1719.2678818400937</v>
      </c>
      <c r="P96" s="65"/>
      <c r="Q96" s="65"/>
      <c r="R96" s="65"/>
      <c r="S96" s="22" t="s">
        <v>35</v>
      </c>
      <c r="T96" s="22"/>
    </row>
    <row r="97" spans="11:12" x14ac:dyDescent="0.35">
      <c r="K97" s="1"/>
      <c r="L97" s="1"/>
    </row>
    <row r="104" spans="11:12" x14ac:dyDescent="0.35">
      <c r="K104" s="1"/>
      <c r="L104" s="1"/>
    </row>
    <row r="105" spans="11:12" x14ac:dyDescent="0.35">
      <c r="K105" s="1"/>
      <c r="L105" s="1"/>
    </row>
    <row r="106" spans="11:12" x14ac:dyDescent="0.35">
      <c r="K106" s="1"/>
      <c r="L106" s="1"/>
    </row>
    <row r="107" spans="11:12" x14ac:dyDescent="0.35">
      <c r="K107" s="1"/>
      <c r="L107" s="1"/>
    </row>
    <row r="108" spans="11:12" x14ac:dyDescent="0.35">
      <c r="K108" s="1"/>
      <c r="L108" s="1"/>
    </row>
    <row r="109" spans="11:12" x14ac:dyDescent="0.35">
      <c r="K109" s="1"/>
      <c r="L109" s="1"/>
    </row>
    <row r="110" spans="11:12" x14ac:dyDescent="0.35">
      <c r="K110" s="1"/>
      <c r="L110" s="1"/>
    </row>
    <row r="111" spans="11:12" x14ac:dyDescent="0.35">
      <c r="K111" s="1"/>
      <c r="L111" s="1"/>
    </row>
    <row r="112" spans="11:12" x14ac:dyDescent="0.35">
      <c r="K112" s="1"/>
      <c r="L112" s="1"/>
    </row>
    <row r="113" spans="11:12" x14ac:dyDescent="0.35">
      <c r="K113" s="1"/>
      <c r="L113" s="1"/>
    </row>
    <row r="114" spans="11:12" x14ac:dyDescent="0.35">
      <c r="K114" s="1"/>
      <c r="L114" s="1"/>
    </row>
    <row r="115" spans="11:12" x14ac:dyDescent="0.35">
      <c r="K115" s="1"/>
      <c r="L115" s="1"/>
    </row>
    <row r="116" spans="11:12" x14ac:dyDescent="0.35">
      <c r="K116" s="1"/>
      <c r="L116" s="1"/>
    </row>
    <row r="117" spans="11:12" x14ac:dyDescent="0.35">
      <c r="K117" s="1"/>
      <c r="L117" s="1"/>
    </row>
    <row r="118" spans="11:12" x14ac:dyDescent="0.35">
      <c r="K118" s="1"/>
      <c r="L118" s="1"/>
    </row>
    <row r="119" spans="11:12" x14ac:dyDescent="0.35">
      <c r="K119" s="1"/>
      <c r="L119" s="1"/>
    </row>
    <row r="120" spans="11:12" x14ac:dyDescent="0.35">
      <c r="K120" s="1"/>
      <c r="L120" s="1"/>
    </row>
    <row r="121" spans="11:12" x14ac:dyDescent="0.35">
      <c r="K121" s="1"/>
      <c r="L121" s="1"/>
    </row>
    <row r="122" spans="11:12" x14ac:dyDescent="0.35">
      <c r="K122" s="1"/>
      <c r="L122" s="1"/>
    </row>
    <row r="123" spans="11:12" x14ac:dyDescent="0.35">
      <c r="K123" s="1"/>
      <c r="L123" s="1"/>
    </row>
    <row r="124" spans="11:12" x14ac:dyDescent="0.35">
      <c r="K124" s="1"/>
      <c r="L124" s="1"/>
    </row>
    <row r="125" spans="11:12" x14ac:dyDescent="0.35">
      <c r="K125" s="1"/>
      <c r="L125" s="1"/>
    </row>
    <row r="126" spans="11:12" x14ac:dyDescent="0.35">
      <c r="K126" s="1"/>
      <c r="L126" s="1"/>
    </row>
    <row r="127" spans="11:12" x14ac:dyDescent="0.35">
      <c r="K127" s="1"/>
      <c r="L127" s="1"/>
    </row>
    <row r="128" spans="11:12" x14ac:dyDescent="0.35">
      <c r="K128" s="1"/>
      <c r="L128" s="1"/>
    </row>
    <row r="129" spans="11:12" x14ac:dyDescent="0.35">
      <c r="K129" s="1"/>
      <c r="L129" s="1"/>
    </row>
    <row r="130" spans="11:12" x14ac:dyDescent="0.35">
      <c r="K130" s="1"/>
      <c r="L130" s="1"/>
    </row>
    <row r="131" spans="11:12" x14ac:dyDescent="0.35">
      <c r="K131" s="1"/>
      <c r="L131" s="1"/>
    </row>
    <row r="132" spans="11:12" x14ac:dyDescent="0.35">
      <c r="K132" s="1"/>
      <c r="L132" s="1"/>
    </row>
    <row r="133" spans="11:12" x14ac:dyDescent="0.35">
      <c r="K133" s="1"/>
      <c r="L133" s="1"/>
    </row>
    <row r="134" spans="11:12" x14ac:dyDescent="0.35">
      <c r="K134" s="1"/>
      <c r="L134" s="1"/>
    </row>
    <row r="135" spans="11:12" x14ac:dyDescent="0.35">
      <c r="K135" s="1"/>
      <c r="L135" s="1"/>
    </row>
    <row r="136" spans="11:12" x14ac:dyDescent="0.35">
      <c r="K136" s="1"/>
      <c r="L136" s="1"/>
    </row>
    <row r="137" spans="11:12" x14ac:dyDescent="0.35">
      <c r="K137" s="1"/>
      <c r="L137" s="1"/>
    </row>
    <row r="138" spans="11:12" x14ac:dyDescent="0.35">
      <c r="K138" s="1"/>
      <c r="L138" s="1"/>
    </row>
    <row r="139" spans="11:12" x14ac:dyDescent="0.35">
      <c r="K139" s="1"/>
      <c r="L139" s="1"/>
    </row>
    <row r="140" spans="11:12" x14ac:dyDescent="0.35">
      <c r="K140" s="1"/>
      <c r="L140" s="1"/>
    </row>
    <row r="141" spans="11:12" x14ac:dyDescent="0.35">
      <c r="K141" s="1"/>
      <c r="L141" s="1"/>
    </row>
    <row r="142" spans="11:12" x14ac:dyDescent="0.35">
      <c r="K142" s="1"/>
      <c r="L142" s="1"/>
    </row>
    <row r="143" spans="11:12" x14ac:dyDescent="0.35">
      <c r="K143" s="1"/>
      <c r="L143" s="1"/>
    </row>
    <row r="144" spans="11:12" x14ac:dyDescent="0.35">
      <c r="K144" s="1"/>
      <c r="L144" s="1"/>
    </row>
    <row r="145" spans="11:12" x14ac:dyDescent="0.35">
      <c r="K145" s="1"/>
      <c r="L145" s="1"/>
    </row>
    <row r="146" spans="11:12" x14ac:dyDescent="0.35">
      <c r="K146" s="1"/>
      <c r="L146" s="1"/>
    </row>
    <row r="147" spans="11:12" x14ac:dyDescent="0.35">
      <c r="K147" s="1"/>
      <c r="L147" s="1"/>
    </row>
    <row r="148" spans="11:12" x14ac:dyDescent="0.35">
      <c r="K148" s="1"/>
      <c r="L148" s="1"/>
    </row>
  </sheetData>
  <autoFilter ref="A1:T96">
    <sortState ref="A2:T113">
      <sortCondition ref="B1:B113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topLeftCell="F3" workbookViewId="0">
      <selection activeCell="T14" sqref="T14:T16"/>
    </sheetView>
  </sheetViews>
  <sheetFormatPr baseColWidth="10" defaultRowHeight="14.5" x14ac:dyDescent="0.35"/>
  <sheetData>
    <row r="1" spans="1:20" ht="87.5" thickBot="1" x14ac:dyDescent="0.4">
      <c r="A1" s="3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4</v>
      </c>
      <c r="K1" s="56" t="s">
        <v>9</v>
      </c>
      <c r="L1" s="56" t="s">
        <v>10</v>
      </c>
      <c r="M1" s="55" t="s">
        <v>11</v>
      </c>
      <c r="N1" s="55" t="s">
        <v>12</v>
      </c>
      <c r="O1" s="57" t="s">
        <v>13</v>
      </c>
      <c r="P1" s="55" t="s">
        <v>14</v>
      </c>
      <c r="Q1" s="55" t="s">
        <v>15</v>
      </c>
      <c r="R1" s="55" t="s">
        <v>16</v>
      </c>
      <c r="S1" s="55" t="s">
        <v>17</v>
      </c>
      <c r="T1" s="55" t="s">
        <v>18</v>
      </c>
    </row>
    <row r="2" spans="1:20" ht="15" thickBot="1" x14ac:dyDescent="0.4">
      <c r="A2" s="53" t="s">
        <v>63</v>
      </c>
      <c r="B2" s="58" t="s">
        <v>74</v>
      </c>
      <c r="C2" s="58" t="s">
        <v>75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67">
        <f>Tabelle2!C29/3.6</f>
        <v>0</v>
      </c>
      <c r="P2" s="65"/>
      <c r="Q2" s="65"/>
      <c r="R2" s="65"/>
      <c r="S2" s="22"/>
      <c r="T2" s="22" t="s">
        <v>61</v>
      </c>
    </row>
    <row r="3" spans="1:20" ht="29.5" thickBot="1" x14ac:dyDescent="0.4">
      <c r="A3" s="53" t="s">
        <v>97</v>
      </c>
      <c r="B3" s="49" t="s">
        <v>74</v>
      </c>
      <c r="C3" s="58" t="s">
        <v>75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2">
        <f>Tabelle2!C30/3.6</f>
        <v>9646748.8827165086</v>
      </c>
      <c r="P3" s="61"/>
      <c r="Q3" s="61"/>
      <c r="R3" s="65"/>
      <c r="S3" s="22"/>
      <c r="T3" s="22" t="s">
        <v>61</v>
      </c>
    </row>
    <row r="4" spans="1:20" ht="15" thickBot="1" x14ac:dyDescent="0.4">
      <c r="A4" s="53" t="s">
        <v>41</v>
      </c>
      <c r="B4" s="22" t="s">
        <v>62</v>
      </c>
      <c r="C4" s="22" t="s">
        <v>60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2">
        <f>Tabelle2!C20/3.6</f>
        <v>2266670.3928758251</v>
      </c>
      <c r="P4" s="75">
        <v>2</v>
      </c>
      <c r="Q4" s="75"/>
      <c r="R4" s="65"/>
      <c r="S4" s="22"/>
      <c r="T4" s="22" t="s">
        <v>61</v>
      </c>
    </row>
    <row r="5" spans="1:20" ht="15" thickBot="1" x14ac:dyDescent="0.4">
      <c r="A5" s="53" t="s">
        <v>97</v>
      </c>
      <c r="B5" s="22" t="s">
        <v>62</v>
      </c>
      <c r="C5" s="22" t="s">
        <v>60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2">
        <f>Tabelle2!C23/3.6</f>
        <v>1852068.7874953537</v>
      </c>
      <c r="P5" s="61"/>
      <c r="Q5" s="61"/>
      <c r="R5" s="65"/>
      <c r="S5" s="22"/>
      <c r="T5" s="22" t="s">
        <v>61</v>
      </c>
    </row>
    <row r="6" spans="1:20" ht="15" thickBot="1" x14ac:dyDescent="0.4">
      <c r="A6" s="53" t="s">
        <v>41</v>
      </c>
      <c r="B6" s="22" t="s">
        <v>62</v>
      </c>
      <c r="C6" s="22" t="s">
        <v>117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2">
        <f>Tabelle2!C26/3.6</f>
        <v>2248812.3243933236</v>
      </c>
      <c r="P6" s="75">
        <v>2</v>
      </c>
      <c r="Q6" s="75"/>
      <c r="R6" s="65"/>
      <c r="S6" s="22"/>
      <c r="T6" s="22" t="s">
        <v>61</v>
      </c>
    </row>
    <row r="7" spans="1:20" ht="15" thickBot="1" x14ac:dyDescent="0.4">
      <c r="A7" s="53" t="s">
        <v>63</v>
      </c>
      <c r="B7" s="58" t="s">
        <v>73</v>
      </c>
      <c r="C7" s="58" t="s">
        <v>60</v>
      </c>
      <c r="D7" s="79"/>
      <c r="E7" s="80"/>
      <c r="F7" s="79"/>
      <c r="G7" s="81"/>
      <c r="H7" s="82"/>
      <c r="I7" s="83"/>
      <c r="J7" s="82"/>
      <c r="K7" s="84"/>
      <c r="L7" s="85"/>
      <c r="M7" s="86"/>
      <c r="N7" s="83"/>
      <c r="O7" s="67">
        <f>Tabelle2!C21/3.6</f>
        <v>0</v>
      </c>
      <c r="P7" s="65"/>
      <c r="Q7" s="65"/>
      <c r="R7" s="65"/>
      <c r="S7" s="22"/>
      <c r="T7" s="22" t="s">
        <v>61</v>
      </c>
    </row>
    <row r="8" spans="1:20" ht="15" thickBot="1" x14ac:dyDescent="0.4">
      <c r="A8" s="53" t="s">
        <v>97</v>
      </c>
      <c r="B8" s="22" t="s">
        <v>73</v>
      </c>
      <c r="C8" s="22" t="s">
        <v>60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89">
        <f>Tabelle2!C24/3.6</f>
        <v>1187135.7745088383</v>
      </c>
      <c r="P8" s="61"/>
      <c r="Q8" s="61"/>
      <c r="R8" s="65"/>
      <c r="S8" s="22" t="s">
        <v>46</v>
      </c>
      <c r="T8" s="22"/>
    </row>
    <row r="9" spans="1:20" ht="15" thickBot="1" x14ac:dyDescent="0.4">
      <c r="A9" s="53" t="s">
        <v>63</v>
      </c>
      <c r="B9" s="58" t="s">
        <v>73</v>
      </c>
      <c r="C9" s="58" t="s">
        <v>118</v>
      </c>
      <c r="D9" s="79"/>
      <c r="E9" s="80"/>
      <c r="F9" s="79"/>
      <c r="G9" s="81"/>
      <c r="H9" s="82"/>
      <c r="I9" s="83"/>
      <c r="J9" s="82"/>
      <c r="K9" s="84"/>
      <c r="L9" s="85"/>
      <c r="M9" s="86"/>
      <c r="N9" s="83"/>
      <c r="O9" s="67">
        <f>Tabelle2!C27/3.6</f>
        <v>0</v>
      </c>
      <c r="P9" s="65"/>
      <c r="Q9" s="65"/>
      <c r="R9" s="65"/>
      <c r="S9" s="22"/>
      <c r="T9" s="22" t="s">
        <v>61</v>
      </c>
    </row>
    <row r="10" spans="1:20" ht="15" thickBot="1" x14ac:dyDescent="0.4">
      <c r="A10" s="53" t="s">
        <v>41</v>
      </c>
      <c r="B10" s="22" t="s">
        <v>59</v>
      </c>
      <c r="C10" s="22" t="s">
        <v>60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2">
        <f>Tabelle2!C19/3.6</f>
        <v>35376474.740986891</v>
      </c>
      <c r="P10" s="75">
        <v>2</v>
      </c>
      <c r="Q10" s="75"/>
      <c r="R10" s="65"/>
      <c r="S10" s="22"/>
      <c r="T10" s="22" t="s">
        <v>61</v>
      </c>
    </row>
    <row r="11" spans="1:20" ht="15" thickBot="1" x14ac:dyDescent="0.4">
      <c r="A11" s="53" t="s">
        <v>97</v>
      </c>
      <c r="B11" s="22" t="s">
        <v>59</v>
      </c>
      <c r="C11" s="22" t="s">
        <v>60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2">
        <f>Tabelle2!C22/3.6</f>
        <v>2805946.9670259641</v>
      </c>
      <c r="P11" s="61"/>
      <c r="Q11" s="61"/>
      <c r="R11" s="65"/>
      <c r="S11" s="22"/>
      <c r="T11" s="22" t="s">
        <v>61</v>
      </c>
    </row>
    <row r="12" spans="1:20" ht="15" thickBot="1" x14ac:dyDescent="0.4">
      <c r="A12" s="53" t="s">
        <v>41</v>
      </c>
      <c r="B12" s="22" t="s">
        <v>59</v>
      </c>
      <c r="C12" s="22" t="s">
        <v>117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2">
        <f>Tabelle2!C25/3.6</f>
        <v>11768638.552420137</v>
      </c>
      <c r="P12" s="75">
        <v>2</v>
      </c>
      <c r="Q12" s="75"/>
      <c r="R12" s="65"/>
      <c r="S12" s="22"/>
      <c r="T12" s="22" t="s">
        <v>61</v>
      </c>
    </row>
    <row r="13" spans="1:20" ht="29" x14ac:dyDescent="0.35">
      <c r="A13" s="53" t="s">
        <v>80</v>
      </c>
      <c r="B13" s="49" t="s">
        <v>95</v>
      </c>
      <c r="C13" s="49" t="s">
        <v>96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72">
        <f>Tabelle2!C50</f>
        <v>0</v>
      </c>
      <c r="P13" s="65"/>
      <c r="Q13" s="65"/>
      <c r="R13" s="65"/>
      <c r="S13" s="22" t="s">
        <v>35</v>
      </c>
      <c r="T13" s="22" t="s">
        <v>61</v>
      </c>
    </row>
    <row r="14" spans="1:20" x14ac:dyDescent="0.35">
      <c r="A14" s="91" t="s">
        <v>63</v>
      </c>
      <c r="B14" s="22" t="s">
        <v>78</v>
      </c>
      <c r="C14" s="22" t="s">
        <v>75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67">
        <f>Tabelle2!C33/3.6</f>
        <v>0</v>
      </c>
      <c r="P14" s="65"/>
      <c r="Q14" s="65"/>
      <c r="R14" s="65"/>
      <c r="S14" s="22"/>
      <c r="T14" s="22" t="s">
        <v>61</v>
      </c>
    </row>
    <row r="15" spans="1:20" x14ac:dyDescent="0.35">
      <c r="A15" s="91" t="s">
        <v>97</v>
      </c>
      <c r="B15" s="22" t="s">
        <v>78</v>
      </c>
      <c r="C15" s="22" t="s">
        <v>75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2">
        <f>Tabelle2!C34/3.6</f>
        <v>0</v>
      </c>
      <c r="P15" s="65"/>
      <c r="Q15" s="65"/>
      <c r="R15" s="65"/>
      <c r="S15" s="22"/>
      <c r="T15" s="22" t="s">
        <v>61</v>
      </c>
    </row>
    <row r="16" spans="1:20" x14ac:dyDescent="0.35">
      <c r="A16" s="91" t="s">
        <v>63</v>
      </c>
      <c r="B16" s="22" t="s">
        <v>78</v>
      </c>
      <c r="C16" s="22" t="s">
        <v>75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67">
        <f>Tabelle2!C35/3.6</f>
        <v>0</v>
      </c>
      <c r="P16" s="65"/>
      <c r="Q16" s="65"/>
      <c r="R16" s="65"/>
      <c r="S16" s="22"/>
      <c r="T16" s="22" t="s">
        <v>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showGridLines="0" topLeftCell="A14" workbookViewId="0">
      <selection activeCell="C22" sqref="C22"/>
    </sheetView>
  </sheetViews>
  <sheetFormatPr baseColWidth="10" defaultRowHeight="14.5" x14ac:dyDescent="0.35"/>
  <cols>
    <col min="1" max="1" width="21.26953125" bestFit="1" customWidth="1"/>
    <col min="2" max="2" width="25.1796875" bestFit="1" customWidth="1"/>
    <col min="3" max="3" width="12.1796875" bestFit="1" customWidth="1"/>
  </cols>
  <sheetData>
    <row r="1" spans="1:5" ht="42" x14ac:dyDescent="0.5">
      <c r="A1" s="4" t="s">
        <v>120</v>
      </c>
    </row>
    <row r="2" spans="1:5" ht="15" thickBot="1" x14ac:dyDescent="0.4"/>
    <row r="3" spans="1:5" x14ac:dyDescent="0.35">
      <c r="A3" s="5" t="s">
        <v>121</v>
      </c>
      <c r="B3" s="6" t="s">
        <v>122</v>
      </c>
      <c r="C3" s="7" t="s">
        <v>123</v>
      </c>
      <c r="D3" s="8" t="s">
        <v>4</v>
      </c>
    </row>
    <row r="4" spans="1:5" ht="72.5" x14ac:dyDescent="0.35">
      <c r="A4" s="9" t="s">
        <v>124</v>
      </c>
      <c r="B4" s="10" t="s">
        <v>125</v>
      </c>
      <c r="C4" s="11">
        <v>1.4139999999999999</v>
      </c>
      <c r="D4" s="12" t="s">
        <v>126</v>
      </c>
      <c r="E4" s="2" t="s">
        <v>127</v>
      </c>
    </row>
    <row r="5" spans="1:5" ht="29" x14ac:dyDescent="0.35">
      <c r="A5" s="13"/>
      <c r="B5" s="10" t="s">
        <v>128</v>
      </c>
      <c r="C5" s="14" t="s">
        <v>129</v>
      </c>
      <c r="D5" s="12" t="s">
        <v>130</v>
      </c>
    </row>
    <row r="6" spans="1:5" ht="15" thickBot="1" x14ac:dyDescent="0.4">
      <c r="A6" s="13"/>
      <c r="B6" s="15"/>
      <c r="C6" s="16"/>
      <c r="D6" s="17"/>
    </row>
    <row r="7" spans="1:5" ht="58" x14ac:dyDescent="0.35">
      <c r="A7" s="13"/>
      <c r="B7" s="18" t="s">
        <v>131</v>
      </c>
      <c r="C7" s="19">
        <v>2257</v>
      </c>
      <c r="D7" s="20" t="s">
        <v>132</v>
      </c>
      <c r="E7" s="2" t="s">
        <v>133</v>
      </c>
    </row>
    <row r="8" spans="1:5" x14ac:dyDescent="0.35">
      <c r="A8" s="13"/>
      <c r="B8" s="21" t="s">
        <v>134</v>
      </c>
      <c r="C8" s="22" t="s">
        <v>135</v>
      </c>
      <c r="D8" s="23" t="s">
        <v>130</v>
      </c>
    </row>
    <row r="9" spans="1:5" ht="15" thickBot="1" x14ac:dyDescent="0.4">
      <c r="A9" s="24"/>
      <c r="B9" s="25"/>
      <c r="C9" s="16"/>
      <c r="D9" s="17"/>
    </row>
    <row r="10" spans="1:5" ht="29" x14ac:dyDescent="0.35">
      <c r="A10" s="26" t="s">
        <v>136</v>
      </c>
      <c r="B10" s="27" t="s">
        <v>137</v>
      </c>
      <c r="C10" s="28">
        <v>20</v>
      </c>
      <c r="D10" s="29" t="s">
        <v>138</v>
      </c>
    </row>
    <row r="11" spans="1:5" ht="43.5" x14ac:dyDescent="0.35">
      <c r="A11" s="30"/>
      <c r="B11" s="10" t="s">
        <v>139</v>
      </c>
      <c r="C11" s="11">
        <v>140</v>
      </c>
      <c r="D11" s="12" t="s">
        <v>138</v>
      </c>
    </row>
    <row r="12" spans="1:5" x14ac:dyDescent="0.35">
      <c r="A12" s="30"/>
      <c r="B12" s="31"/>
      <c r="C12" s="22"/>
      <c r="D12" s="23"/>
    </row>
    <row r="13" spans="1:5" ht="29" x14ac:dyDescent="0.35">
      <c r="A13" s="30"/>
      <c r="B13" s="10" t="s">
        <v>140</v>
      </c>
      <c r="C13" s="32">
        <f>C4*[1]R1_Hydro_MEFA!$L$18*1000*(C11-C10)/1000</f>
        <v>2109433.1466184491</v>
      </c>
      <c r="D13" s="12" t="s">
        <v>141</v>
      </c>
    </row>
    <row r="14" spans="1:5" x14ac:dyDescent="0.35">
      <c r="A14" s="30"/>
      <c r="B14" s="21" t="s">
        <v>142</v>
      </c>
      <c r="C14" s="33">
        <f>C4*[1]R1_Hydro_MEFA!$L$116*1000*(C11-C10)/1000</f>
        <v>0</v>
      </c>
      <c r="D14" s="12" t="s">
        <v>141</v>
      </c>
    </row>
    <row r="15" spans="1:5" x14ac:dyDescent="0.35">
      <c r="A15" s="30"/>
      <c r="B15" s="21" t="s">
        <v>143</v>
      </c>
      <c r="C15" s="33">
        <f>C4*[1]R2_Hydro_MEFA!$L$22*1000*(C11-C10)/1000</f>
        <v>2364249.3262601676</v>
      </c>
      <c r="D15" s="12" t="s">
        <v>141</v>
      </c>
    </row>
    <row r="16" spans="1:5" ht="29" x14ac:dyDescent="0.35">
      <c r="A16" s="30"/>
      <c r="B16" s="10" t="s">
        <v>140</v>
      </c>
      <c r="C16" s="32">
        <f>C4*[1]R3_Hydro_MEFA!L18*1000*(C11-C10)/1000</f>
        <v>1237668.9459446205</v>
      </c>
      <c r="D16" s="12" t="s">
        <v>141</v>
      </c>
    </row>
    <row r="17" spans="1:5" x14ac:dyDescent="0.35">
      <c r="A17" s="30"/>
      <c r="B17" s="21" t="s">
        <v>142</v>
      </c>
      <c r="C17" s="33">
        <f>C4*[1]R3_Hydro_MEFA!L116*1000*(C11-C10)/1000</f>
        <v>0</v>
      </c>
      <c r="D17" s="12" t="s">
        <v>141</v>
      </c>
    </row>
    <row r="18" spans="1:5" ht="15" thickBot="1" x14ac:dyDescent="0.4">
      <c r="A18" s="34"/>
      <c r="B18" s="25"/>
      <c r="C18" s="16"/>
      <c r="D18" s="17"/>
    </row>
    <row r="19" spans="1:5" x14ac:dyDescent="0.35">
      <c r="A19" s="35" t="s">
        <v>144</v>
      </c>
      <c r="B19" s="36" t="s">
        <v>145</v>
      </c>
      <c r="C19" s="37">
        <f>[1]R1_Hydro_MEFA!$L$93*1000*C7/1000</f>
        <v>127355309.0675528</v>
      </c>
      <c r="D19" s="38" t="s">
        <v>141</v>
      </c>
    </row>
    <row r="20" spans="1:5" x14ac:dyDescent="0.35">
      <c r="A20" s="39"/>
      <c r="B20" s="21" t="s">
        <v>146</v>
      </c>
      <c r="C20" s="33">
        <f>[1]R1_Hydro_MEFA!$L$99*1000*C7/1000</f>
        <v>8160013.4143529711</v>
      </c>
      <c r="D20" s="23" t="s">
        <v>141</v>
      </c>
    </row>
    <row r="21" spans="1:5" x14ac:dyDescent="0.35">
      <c r="A21" s="39"/>
      <c r="B21" s="21" t="s">
        <v>147</v>
      </c>
      <c r="C21" s="33">
        <f>[1]R1_Hydro_MEFA!$L$186*1000*C7/1000</f>
        <v>0</v>
      </c>
      <c r="D21" s="23" t="s">
        <v>141</v>
      </c>
    </row>
    <row r="22" spans="1:5" x14ac:dyDescent="0.35">
      <c r="A22" s="39"/>
      <c r="B22" s="21" t="s">
        <v>148</v>
      </c>
      <c r="C22" s="33">
        <f>[1]R2_Hydro_MEFA!$L$137*1000*C7/1000</f>
        <v>10101409.081293471</v>
      </c>
      <c r="D22" s="23" t="s">
        <v>141</v>
      </c>
    </row>
    <row r="23" spans="1:5" x14ac:dyDescent="0.35">
      <c r="A23" s="39"/>
      <c r="B23" s="21" t="s">
        <v>149</v>
      </c>
      <c r="C23" s="33">
        <f>[1]R2_Hydro_MEFA!$L$143*1000*C7/1000</f>
        <v>6667447.6349832732</v>
      </c>
      <c r="D23" s="23" t="s">
        <v>141</v>
      </c>
    </row>
    <row r="24" spans="1:5" x14ac:dyDescent="0.35">
      <c r="A24" s="39"/>
      <c r="B24" s="21" t="s">
        <v>150</v>
      </c>
      <c r="C24" s="33">
        <f>[1]R2_Hydro_MEFA!$L$173*1000*C7/1000</f>
        <v>4273688.788231818</v>
      </c>
      <c r="D24" s="23" t="s">
        <v>141</v>
      </c>
    </row>
    <row r="25" spans="1:5" x14ac:dyDescent="0.35">
      <c r="A25" s="39"/>
      <c r="B25" s="21" t="s">
        <v>151</v>
      </c>
      <c r="C25" s="33">
        <f>[1]R3_Hydro_MEFA!L93*1000*C7/1000</f>
        <v>42367098.788712494</v>
      </c>
      <c r="D25" s="23" t="s">
        <v>141</v>
      </c>
    </row>
    <row r="26" spans="1:5" x14ac:dyDescent="0.35">
      <c r="A26" s="39"/>
      <c r="B26" s="21" t="s">
        <v>152</v>
      </c>
      <c r="C26" s="33">
        <f>[1]R3_Hydro_MEFA!L99*1000*C7/1000</f>
        <v>8095724.3678159658</v>
      </c>
      <c r="D26" s="23" t="s">
        <v>141</v>
      </c>
    </row>
    <row r="27" spans="1:5" x14ac:dyDescent="0.35">
      <c r="A27" s="39"/>
      <c r="B27" s="21" t="s">
        <v>153</v>
      </c>
      <c r="C27" s="33">
        <f>[1]R3_Hydro_MEFA!L186*1000*C7/1000</f>
        <v>0</v>
      </c>
      <c r="D27" s="23" t="s">
        <v>141</v>
      </c>
    </row>
    <row r="28" spans="1:5" ht="15" thickBot="1" x14ac:dyDescent="0.4">
      <c r="A28" s="40"/>
      <c r="B28" s="25"/>
      <c r="C28" s="16"/>
      <c r="D28" s="17"/>
    </row>
    <row r="29" spans="1:5" x14ac:dyDescent="0.35">
      <c r="A29" s="26" t="s">
        <v>154</v>
      </c>
      <c r="B29" s="36" t="s">
        <v>142</v>
      </c>
      <c r="C29" s="41">
        <f>[1]R1_Hydro_MEFA!$L$193*1000*C7/1000</f>
        <v>0</v>
      </c>
      <c r="D29" s="23" t="s">
        <v>141</v>
      </c>
    </row>
    <row r="30" spans="1:5" x14ac:dyDescent="0.35">
      <c r="A30" s="13"/>
      <c r="B30" s="21" t="s">
        <v>143</v>
      </c>
      <c r="C30" s="33">
        <f>[1]R2_Hydro_MEFA!$L$181*1000*C7/1000</f>
        <v>34728295.977779433</v>
      </c>
      <c r="D30" s="23" t="s">
        <v>141</v>
      </c>
    </row>
    <row r="31" spans="1:5" x14ac:dyDescent="0.35">
      <c r="A31" s="13"/>
      <c r="B31" s="21" t="s">
        <v>155</v>
      </c>
      <c r="C31" s="33">
        <v>0</v>
      </c>
      <c r="D31" s="23" t="s">
        <v>141</v>
      </c>
      <c r="E31" t="s">
        <v>156</v>
      </c>
    </row>
    <row r="32" spans="1:5" ht="15" thickBot="1" x14ac:dyDescent="0.4">
      <c r="A32" s="24"/>
      <c r="B32" s="25"/>
      <c r="C32" s="16"/>
      <c r="D32" s="17"/>
    </row>
    <row r="33" spans="1:4" x14ac:dyDescent="0.35">
      <c r="A33" s="26" t="s">
        <v>157</v>
      </c>
      <c r="B33" s="36" t="s">
        <v>142</v>
      </c>
      <c r="C33" s="41">
        <f>[1]R1_Hydro_MEFA!$L$215*1000*C7/1000</f>
        <v>0</v>
      </c>
      <c r="D33" s="42" t="s">
        <v>141</v>
      </c>
    </row>
    <row r="34" spans="1:4" x14ac:dyDescent="0.35">
      <c r="A34" s="13"/>
      <c r="B34" s="21" t="s">
        <v>143</v>
      </c>
      <c r="C34" s="33">
        <f>[1]R2_Hydro_MEFA!$L$203*1000*C7/1000</f>
        <v>0</v>
      </c>
      <c r="D34" s="23" t="s">
        <v>141</v>
      </c>
    </row>
    <row r="35" spans="1:4" x14ac:dyDescent="0.35">
      <c r="A35" s="13"/>
      <c r="B35" s="22" t="s">
        <v>155</v>
      </c>
      <c r="C35" s="33">
        <f>[1]R3_Hydro_MEFA!L208*1000*C7/1000</f>
        <v>0</v>
      </c>
      <c r="D35" s="23" t="s">
        <v>141</v>
      </c>
    </row>
    <row r="36" spans="1:4" ht="15" thickBot="1" x14ac:dyDescent="0.4">
      <c r="A36" s="13"/>
      <c r="B36" s="43"/>
      <c r="C36" s="44"/>
      <c r="D36" s="45"/>
    </row>
    <row r="37" spans="1:4" ht="43.5" x14ac:dyDescent="0.35">
      <c r="A37" s="46" t="s">
        <v>158</v>
      </c>
      <c r="B37" s="47"/>
      <c r="C37" s="47"/>
      <c r="D37" s="42"/>
    </row>
    <row r="38" spans="1:4" x14ac:dyDescent="0.35">
      <c r="A38" s="13" t="s">
        <v>159</v>
      </c>
      <c r="B38" s="22"/>
      <c r="C38" s="22"/>
      <c r="D38" s="23"/>
    </row>
    <row r="39" spans="1:4" x14ac:dyDescent="0.35">
      <c r="A39" s="30"/>
      <c r="B39" s="22" t="s">
        <v>160</v>
      </c>
      <c r="C39" s="48">
        <v>140</v>
      </c>
      <c r="D39" s="23" t="s">
        <v>138</v>
      </c>
    </row>
    <row r="40" spans="1:4" x14ac:dyDescent="0.35">
      <c r="A40" s="30"/>
      <c r="B40" s="22" t="s">
        <v>161</v>
      </c>
      <c r="C40" s="48">
        <v>40</v>
      </c>
      <c r="D40" s="23" t="s">
        <v>138</v>
      </c>
    </row>
    <row r="41" spans="1:4" ht="58" x14ac:dyDescent="0.35">
      <c r="A41" s="30"/>
      <c r="B41" s="49" t="s">
        <v>162</v>
      </c>
      <c r="C41" s="50">
        <f>50.09-0.9298*(C39+273)/1000-65.19*((C39+273)/1000)^2</f>
        <v>38.586599490000005</v>
      </c>
      <c r="D41" s="23" t="s">
        <v>163</v>
      </c>
    </row>
    <row r="42" spans="1:4" x14ac:dyDescent="0.35">
      <c r="A42" s="30"/>
      <c r="B42" s="22" t="s">
        <v>164</v>
      </c>
      <c r="C42" s="22">
        <f>18.02/1000</f>
        <v>1.8020000000000001E-2</v>
      </c>
      <c r="D42" s="23" t="s">
        <v>165</v>
      </c>
    </row>
    <row r="43" spans="1:4" ht="58" x14ac:dyDescent="0.35">
      <c r="A43" s="30"/>
      <c r="B43" s="49" t="s">
        <v>166</v>
      </c>
      <c r="C43" s="22">
        <f>C41/C42</f>
        <v>2141.3207264150947</v>
      </c>
      <c r="D43" s="23" t="s">
        <v>167</v>
      </c>
    </row>
    <row r="44" spans="1:4" ht="58" x14ac:dyDescent="0.35">
      <c r="A44" s="30"/>
      <c r="B44" s="49" t="s">
        <v>168</v>
      </c>
      <c r="C44" s="22">
        <f>(50.09-0.9298*(C40+273)/1000-65.19*((C40+273)/1000)^2)/C42</f>
        <v>2409.1217253052168</v>
      </c>
      <c r="D44" s="23" t="s">
        <v>167</v>
      </c>
    </row>
    <row r="45" spans="1:4" ht="58" x14ac:dyDescent="0.35">
      <c r="A45" s="30"/>
      <c r="B45" s="49" t="s">
        <v>169</v>
      </c>
      <c r="C45" s="22">
        <f>[1]R2_MEFA!C52</f>
        <v>0</v>
      </c>
      <c r="D45" s="23" t="s">
        <v>170</v>
      </c>
    </row>
    <row r="46" spans="1:4" x14ac:dyDescent="0.35">
      <c r="A46" s="30"/>
      <c r="B46" s="22" t="s">
        <v>171</v>
      </c>
      <c r="C46" s="22">
        <f>C45*1000*(C44-C43)</f>
        <v>0</v>
      </c>
      <c r="D46" s="23" t="s">
        <v>130</v>
      </c>
    </row>
    <row r="47" spans="1:4" x14ac:dyDescent="0.35">
      <c r="A47" s="30"/>
      <c r="B47" s="22"/>
      <c r="C47" s="22">
        <f>C46/1000</f>
        <v>0</v>
      </c>
      <c r="D47" s="23" t="s">
        <v>172</v>
      </c>
    </row>
    <row r="48" spans="1:4" x14ac:dyDescent="0.35">
      <c r="A48" s="30"/>
      <c r="B48" s="22"/>
      <c r="C48" s="22">
        <f>C47/3.6</f>
        <v>0</v>
      </c>
      <c r="D48" s="23" t="s">
        <v>173</v>
      </c>
    </row>
    <row r="49" spans="1:4" x14ac:dyDescent="0.35">
      <c r="A49" s="30"/>
      <c r="B49" s="49" t="s">
        <v>174</v>
      </c>
      <c r="C49" s="48">
        <v>0.6</v>
      </c>
      <c r="D49" s="23"/>
    </row>
    <row r="50" spans="1:4" ht="15" thickBot="1" x14ac:dyDescent="0.4">
      <c r="A50" s="34"/>
      <c r="B50" s="22"/>
      <c r="C50" s="51">
        <f>C48/C49</f>
        <v>0</v>
      </c>
      <c r="D50" s="23" t="s">
        <v>173</v>
      </c>
    </row>
  </sheetData>
  <mergeCells count="6">
    <mergeCell ref="A33:A36"/>
    <mergeCell ref="A38:A50"/>
    <mergeCell ref="A4:A9"/>
    <mergeCell ref="A10:A18"/>
    <mergeCell ref="A19:A28"/>
    <mergeCell ref="A29:A3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>TU Braunschweig IWF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Haupt</dc:creator>
  <cp:lastModifiedBy>Johanna Haupt</cp:lastModifiedBy>
  <dcterms:created xsi:type="dcterms:W3CDTF">2024-10-09T08:13:16Z</dcterms:created>
  <dcterms:modified xsi:type="dcterms:W3CDTF">2024-10-09T08:41:24Z</dcterms:modified>
</cp:coreProperties>
</file>