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DieseArbeitsmappe"/>
  <mc:AlternateContent xmlns:mc="http://schemas.openxmlformats.org/markup-compatibility/2006">
    <mc:Choice Requires="x15">
      <x15ac:absPath xmlns:x15ac="http://schemas.microsoft.com/office/spreadsheetml/2010/11/ac" url="C:\Users\bloemeke\Desktop\"/>
    </mc:Choice>
  </mc:AlternateContent>
  <xr:revisionPtr revIDLastSave="0" documentId="13_ncr:1_{5E8ECB35-EB31-407D-8E91-DB1391D5D5AF}" xr6:coauthVersionLast="47" xr6:coauthVersionMax="47" xr10:uidLastSave="{00000000-0000-0000-0000-000000000000}"/>
  <bookViews>
    <workbookView xWindow="-108" yWindow="-108" windowWidth="23256" windowHeight="12576" xr2:uid="{00000000-000D-0000-FFFF-FFFF00000000}"/>
  </bookViews>
  <sheets>
    <sheet name="ReadMe" sheetId="43" r:id="rId1"/>
    <sheet name="Macro" sheetId="1" r:id="rId2"/>
    <sheet name="R1_Detail" sheetId="10" r:id="rId3"/>
    <sheet name="R2_Detail" sheetId="15" r:id="rId4"/>
    <sheet name="R3_Detail" sheetId="37" r:id="rId5"/>
    <sheet name="Evaluation" sheetId="9" r:id="rId6"/>
    <sheet name="Battery" sheetId="16" r:id="rId7"/>
    <sheet name="R1_MEFA" sheetId="17" r:id="rId8"/>
    <sheet name="R1_Hydro_MEFA" sheetId="18" r:id="rId9"/>
    <sheet name="R1_Econ." sheetId="27" r:id="rId10"/>
    <sheet name="R2_MEFA" sheetId="19" r:id="rId11"/>
    <sheet name="R2_Hydro_MEFA" sheetId="20" r:id="rId12"/>
    <sheet name="R2_Econ." sheetId="29" r:id="rId13"/>
    <sheet name="R3_MEFA" sheetId="40" r:id="rId14"/>
    <sheet name="R3_Hydro_MEFA" sheetId="41" r:id="rId15"/>
    <sheet name="R3_Econ." sheetId="42" r:id="rId16"/>
    <sheet name="Energy" sheetId="39" r:id="rId17"/>
    <sheet name="Stoichiometry" sheetId="38" r:id="rId18"/>
    <sheet name="CO2-Eq." sheetId="44" r:id="rId19"/>
    <sheet name="CO2-Eq. invisble" sheetId="33" state="veryHidden" r:id="rId20"/>
    <sheet name="Efficiencies" sheetId="30" r:id="rId21"/>
    <sheet name="Substitution" sheetId="31" r:id="rId22"/>
    <sheet name="Dropdown" sheetId="2" state="hidden" r:id="rId23"/>
  </sheets>
  <definedNames>
    <definedName name="DemonSchichten">Dropdown!$D$2:$D$4</definedName>
    <definedName name="Kapazitäten">Dropdown!$B$2:$B$4</definedName>
    <definedName name="Preisszenario">Dropdown!$A$2:$A$5</definedName>
    <definedName name="Schichten">Dropdown!$C$2:$C$4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6" i="9" l="1"/>
  <c r="T35" i="9"/>
  <c r="T42" i="9"/>
  <c r="T45" i="9"/>
  <c r="T47" i="9"/>
  <c r="T53" i="9"/>
  <c r="T55" i="9"/>
  <c r="T56" i="9"/>
  <c r="T63" i="9"/>
  <c r="T59" i="9"/>
  <c r="V59" i="9"/>
  <c r="T58" i="9"/>
  <c r="T52" i="9"/>
  <c r="T51" i="9"/>
  <c r="V31" i="9" l="1"/>
  <c r="V30" i="9"/>
  <c r="V63" i="9"/>
  <c r="W63" i="9" s="1"/>
  <c r="V62" i="9"/>
  <c r="W62" i="9" s="1"/>
  <c r="U62" i="9"/>
  <c r="V61" i="9"/>
  <c r="U61" i="9" s="1"/>
  <c r="W60" i="9"/>
  <c r="V60" i="9"/>
  <c r="U60" i="9"/>
  <c r="W59" i="9"/>
  <c r="W58" i="9"/>
  <c r="V58" i="9"/>
  <c r="U58" i="9" s="1"/>
  <c r="V57" i="9"/>
  <c r="W57" i="9" s="1"/>
  <c r="V56" i="9"/>
  <c r="W56" i="9" s="1"/>
  <c r="V55" i="9"/>
  <c r="W55" i="9" s="1"/>
  <c r="W54" i="9"/>
  <c r="V54" i="9"/>
  <c r="U54" i="9"/>
  <c r="V53" i="9"/>
  <c r="U53" i="9" s="1"/>
  <c r="V52" i="9"/>
  <c r="W52" i="9" s="1"/>
  <c r="V51" i="9"/>
  <c r="W51" i="9" s="1"/>
  <c r="W50" i="9"/>
  <c r="V50" i="9"/>
  <c r="U50" i="9"/>
  <c r="V49" i="9"/>
  <c r="W49" i="9" s="1"/>
  <c r="W48" i="9"/>
  <c r="V48" i="9"/>
  <c r="U48" i="9"/>
  <c r="V47" i="9"/>
  <c r="W47" i="9" s="1"/>
  <c r="W46" i="9"/>
  <c r="V46" i="9"/>
  <c r="U46" i="9"/>
  <c r="V45" i="9"/>
  <c r="U45" i="9" s="1"/>
  <c r="W44" i="9"/>
  <c r="V44" i="9"/>
  <c r="U44" i="9"/>
  <c r="V43" i="9"/>
  <c r="W43" i="9" s="1"/>
  <c r="W42" i="9"/>
  <c r="V42" i="9"/>
  <c r="U42" i="9" s="1"/>
  <c r="V40" i="9"/>
  <c r="W40" i="9" s="1"/>
  <c r="W39" i="9"/>
  <c r="V39" i="9"/>
  <c r="U39" i="9"/>
  <c r="V38" i="9"/>
  <c r="W38" i="9" s="1"/>
  <c r="W37" i="9"/>
  <c r="V37" i="9"/>
  <c r="U37" i="9"/>
  <c r="V36" i="9"/>
  <c r="U36" i="9" s="1"/>
  <c r="V35" i="9"/>
  <c r="U35" i="9" s="1"/>
  <c r="V34" i="9"/>
  <c r="W34" i="9" s="1"/>
  <c r="W33" i="9"/>
  <c r="V33" i="9"/>
  <c r="U33" i="9" s="1"/>
  <c r="V32" i="9"/>
  <c r="W32" i="9" s="1"/>
  <c r="W31" i="9"/>
  <c r="U31" i="9"/>
  <c r="W30" i="9"/>
  <c r="U30" i="9"/>
  <c r="W29" i="9"/>
  <c r="V29" i="9"/>
  <c r="U29" i="9"/>
  <c r="T48" i="9"/>
  <c r="T46" i="9"/>
  <c r="T44" i="9"/>
  <c r="T40" i="9"/>
  <c r="T39" i="9"/>
  <c r="T37" i="9"/>
  <c r="T34" i="9"/>
  <c r="T33" i="9"/>
  <c r="T29" i="9"/>
  <c r="W35" i="9" l="1"/>
  <c r="U56" i="9"/>
  <c r="U52" i="9"/>
  <c r="U34" i="9"/>
  <c r="W36" i="9"/>
  <c r="U43" i="9"/>
  <c r="W45" i="9"/>
  <c r="U51" i="9"/>
  <c r="W53" i="9"/>
  <c r="U59" i="9"/>
  <c r="W61" i="9"/>
  <c r="U32" i="9"/>
  <c r="U40" i="9"/>
  <c r="U49" i="9"/>
  <c r="U57" i="9"/>
  <c r="U38" i="9"/>
  <c r="U47" i="9"/>
  <c r="U55" i="9"/>
  <c r="U63" i="9"/>
  <c r="D198" i="9" l="1"/>
  <c r="E163" i="9"/>
  <c r="C163" i="9"/>
  <c r="I23" i="9"/>
  <c r="D205" i="9" s="1"/>
  <c r="D206" i="9" l="1"/>
  <c r="E164" i="9"/>
  <c r="C164" i="9"/>
  <c r="H11" i="37"/>
  <c r="D15" i="15"/>
  <c r="H13" i="15"/>
  <c r="H11" i="15"/>
  <c r="D13" i="10"/>
  <c r="H13" i="10"/>
  <c r="H11" i="10"/>
  <c r="O41" i="9"/>
  <c r="C44" i="33" l="1"/>
  <c r="C45" i="44" l="1"/>
  <c r="E40" i="44" s="1"/>
  <c r="E22" i="1"/>
  <c r="C45" i="33" l="1"/>
  <c r="F40" i="33" s="1"/>
  <c r="H22" i="42" l="1"/>
  <c r="H24" i="42"/>
  <c r="H23" i="42"/>
  <c r="H29" i="42"/>
  <c r="H28" i="42"/>
  <c r="H27" i="42"/>
  <c r="H26" i="42"/>
  <c r="H25" i="42"/>
  <c r="H21" i="42"/>
  <c r="H20" i="42"/>
  <c r="H19" i="42"/>
  <c r="H18" i="42"/>
  <c r="N13" i="42"/>
  <c r="N13" i="29"/>
  <c r="N24" i="29"/>
  <c r="G40" i="33" l="1"/>
  <c r="G22" i="33"/>
  <c r="Q21" i="39"/>
  <c r="Q20" i="39"/>
  <c r="Q58" i="39"/>
  <c r="Q59" i="39"/>
  <c r="Q60" i="39"/>
  <c r="Q61" i="39"/>
  <c r="Q62" i="39"/>
  <c r="Q63" i="39"/>
  <c r="Q64" i="39"/>
  <c r="Q65" i="39"/>
  <c r="Q67" i="39"/>
  <c r="Q68" i="39"/>
  <c r="Q69" i="39"/>
  <c r="Q70" i="39"/>
  <c r="Q71" i="39"/>
  <c r="Q72" i="39"/>
  <c r="Q75" i="39"/>
  <c r="Q76" i="39"/>
  <c r="Q77" i="39"/>
  <c r="Q80" i="39"/>
  <c r="Q81" i="39"/>
  <c r="C61" i="42"/>
  <c r="C60" i="42"/>
  <c r="C56" i="42"/>
  <c r="C57" i="42"/>
  <c r="Q109" i="39"/>
  <c r="Q110" i="39"/>
  <c r="Q108" i="39"/>
  <c r="Q106" i="39"/>
  <c r="Q19" i="39"/>
  <c r="Q22" i="39"/>
  <c r="Q23" i="39"/>
  <c r="O31" i="9" l="1"/>
  <c r="D34" i="16"/>
  <c r="D36" i="16" l="1"/>
  <c r="D28" i="16"/>
  <c r="D27" i="16"/>
  <c r="D26" i="16"/>
  <c r="D24" i="16" s="1"/>
  <c r="D25" i="16"/>
  <c r="D21" i="16"/>
  <c r="D19" i="16"/>
  <c r="D18" i="16"/>
  <c r="D16" i="16"/>
  <c r="D15" i="16"/>
  <c r="D13" i="16"/>
  <c r="D12" i="16"/>
  <c r="D11" i="16"/>
  <c r="D10" i="16"/>
  <c r="D9" i="16"/>
  <c r="H12" i="9"/>
  <c r="H23" i="9" s="1"/>
  <c r="D199" i="9" s="1"/>
  <c r="F15" i="42" l="1"/>
  <c r="F14" i="42"/>
  <c r="F13" i="42"/>
  <c r="F12" i="42"/>
  <c r="C62" i="42"/>
  <c r="C58" i="42"/>
  <c r="C57" i="29"/>
  <c r="C55" i="29"/>
  <c r="T123" i="41"/>
  <c r="E9" i="27"/>
  <c r="G50" i="27" s="1"/>
  <c r="T193" i="18"/>
  <c r="E14" i="42" l="1"/>
  <c r="E15" i="42"/>
  <c r="Q43" i="42"/>
  <c r="H43" i="42"/>
  <c r="Q42" i="42"/>
  <c r="H42" i="42"/>
  <c r="Q41" i="42"/>
  <c r="H41" i="42"/>
  <c r="O118" i="39"/>
  <c r="I118" i="39"/>
  <c r="O117" i="39"/>
  <c r="I117" i="39"/>
  <c r="O116" i="39"/>
  <c r="I116" i="39"/>
  <c r="Q50" i="42" l="1"/>
  <c r="Q49" i="42"/>
  <c r="Q48" i="42"/>
  <c r="Q47" i="42"/>
  <c r="Q46" i="42"/>
  <c r="Q45" i="42"/>
  <c r="Q44" i="42"/>
  <c r="Q40" i="42"/>
  <c r="Q39" i="42"/>
  <c r="Q38" i="42"/>
  <c r="Q37" i="42"/>
  <c r="Q36" i="42"/>
  <c r="Q35" i="42"/>
  <c r="Q34" i="42"/>
  <c r="Q33" i="42"/>
  <c r="Q32" i="42"/>
  <c r="Q31" i="42"/>
  <c r="Q30" i="42"/>
  <c r="Q29" i="42"/>
  <c r="Q28" i="42"/>
  <c r="Q27" i="42"/>
  <c r="Q26" i="42"/>
  <c r="Q25" i="42"/>
  <c r="Q24" i="42"/>
  <c r="Q23" i="42"/>
  <c r="Q22" i="42"/>
  <c r="Q21" i="42"/>
  <c r="Q20" i="42"/>
  <c r="Q19" i="42"/>
  <c r="Q18" i="42"/>
  <c r="Q17" i="42"/>
  <c r="Q16" i="42"/>
  <c r="Q15" i="42"/>
  <c r="Q14" i="42"/>
  <c r="Q13" i="42"/>
  <c r="Q12" i="42"/>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42" i="1"/>
  <c r="H14" i="42"/>
  <c r="H15" i="42"/>
  <c r="H13" i="42"/>
  <c r="H12" i="42"/>
  <c r="H17" i="42"/>
  <c r="H16" i="42"/>
  <c r="H50" i="42"/>
  <c r="H49" i="42"/>
  <c r="H48" i="42"/>
  <c r="H47" i="42"/>
  <c r="H46" i="42"/>
  <c r="H45" i="42"/>
  <c r="H44" i="42"/>
  <c r="H39" i="42"/>
  <c r="H38" i="42"/>
  <c r="H37" i="42"/>
  <c r="H36" i="42"/>
  <c r="H35" i="42"/>
  <c r="H34" i="42"/>
  <c r="H33" i="42"/>
  <c r="H32" i="42"/>
  <c r="H31" i="42"/>
  <c r="H30" i="42"/>
  <c r="T180" i="20"/>
  <c r="R13" i="42" l="1"/>
  <c r="P13" i="42"/>
  <c r="I113" i="39" l="1"/>
  <c r="I101" i="39"/>
  <c r="I14" i="39"/>
  <c r="I26" i="39"/>
  <c r="I58" i="39"/>
  <c r="I91" i="39"/>
  <c r="O124" i="39"/>
  <c r="I124" i="39"/>
  <c r="M124" i="39" s="1"/>
  <c r="O123" i="39"/>
  <c r="I123" i="39"/>
  <c r="M123" i="39" s="1"/>
  <c r="O121" i="39"/>
  <c r="I121" i="39"/>
  <c r="O120" i="39"/>
  <c r="I120" i="39"/>
  <c r="O119" i="39"/>
  <c r="I119" i="39"/>
  <c r="O115" i="39"/>
  <c r="I115" i="39"/>
  <c r="O114" i="39"/>
  <c r="I114" i="39"/>
  <c r="O113" i="39"/>
  <c r="O110" i="39"/>
  <c r="I110" i="39"/>
  <c r="O109" i="39"/>
  <c r="I109" i="39"/>
  <c r="O108" i="39"/>
  <c r="I108" i="39"/>
  <c r="Q107" i="39"/>
  <c r="O107" i="39"/>
  <c r="I107" i="39"/>
  <c r="O106" i="39"/>
  <c r="I106" i="39"/>
  <c r="Q105" i="39"/>
  <c r="O105" i="39"/>
  <c r="I105" i="39"/>
  <c r="Q104" i="39"/>
  <c r="O104" i="39"/>
  <c r="I104" i="39"/>
  <c r="Q103" i="39"/>
  <c r="O103" i="39"/>
  <c r="I103" i="39"/>
  <c r="Q102" i="39"/>
  <c r="O102" i="39"/>
  <c r="I102" i="39"/>
  <c r="Q101" i="39"/>
  <c r="O101" i="39"/>
  <c r="I29" i="39"/>
  <c r="O29" i="39"/>
  <c r="I30" i="39"/>
  <c r="O30" i="39"/>
  <c r="I31" i="39"/>
  <c r="O31" i="39"/>
  <c r="O100" i="39"/>
  <c r="I100" i="39"/>
  <c r="O99" i="39"/>
  <c r="I99" i="39"/>
  <c r="O98" i="39"/>
  <c r="I98" i="39"/>
  <c r="O93" i="39"/>
  <c r="E76" i="30"/>
  <c r="E77" i="30"/>
  <c r="E78" i="30"/>
  <c r="P123" i="39" l="1"/>
  <c r="I191" i="41" s="1"/>
  <c r="P124" i="39"/>
  <c r="I197" i="41" s="1"/>
  <c r="E97" i="30"/>
  <c r="C112" i="30" s="1"/>
  <c r="E112" i="30" s="1"/>
  <c r="E89" i="30"/>
  <c r="E90" i="30"/>
  <c r="C102" i="30" s="1"/>
  <c r="E102" i="30" s="1"/>
  <c r="E91" i="30"/>
  <c r="C103" i="30" s="1"/>
  <c r="E103" i="30" s="1"/>
  <c r="E88" i="30"/>
  <c r="E9" i="30"/>
  <c r="E46" i="30"/>
  <c r="E115" i="40"/>
  <c r="E114" i="40"/>
  <c r="E113" i="40"/>
  <c r="D95" i="30"/>
  <c r="D16" i="30"/>
  <c r="E99" i="30"/>
  <c r="C111" i="30" s="1"/>
  <c r="E111" i="30" s="1"/>
  <c r="E98" i="30"/>
  <c r="C110" i="30" s="1"/>
  <c r="E110" i="30" s="1"/>
  <c r="G141" i="38"/>
  <c r="D116" i="38"/>
  <c r="V124" i="41"/>
  <c r="V124" i="18"/>
  <c r="B5" i="41"/>
  <c r="E85" i="30"/>
  <c r="E84" i="30"/>
  <c r="E83" i="30"/>
  <c r="E75" i="30"/>
  <c r="E74" i="30"/>
  <c r="E72" i="30"/>
  <c r="D113" i="40"/>
  <c r="B113" i="40"/>
  <c r="I67" i="40"/>
  <c r="O96" i="39"/>
  <c r="I96" i="39"/>
  <c r="O95" i="39"/>
  <c r="I95" i="39"/>
  <c r="O94" i="39"/>
  <c r="I94" i="39"/>
  <c r="Q91" i="39"/>
  <c r="O91" i="39"/>
  <c r="O92" i="39"/>
  <c r="I92" i="39"/>
  <c r="C104" i="30" l="1"/>
  <c r="E104" i="30" s="1"/>
  <c r="C95" i="30"/>
  <c r="E95" i="30" s="1"/>
  <c r="C116" i="30" s="1"/>
  <c r="E116" i="30" s="1"/>
  <c r="C94" i="30"/>
  <c r="E94" i="30" s="1"/>
  <c r="C96" i="30"/>
  <c r="E96" i="30" s="1"/>
  <c r="C113" i="30" s="1"/>
  <c r="E113" i="30" s="1"/>
  <c r="T112" i="41"/>
  <c r="C63" i="42"/>
  <c r="C59" i="42"/>
  <c r="E9" i="42"/>
  <c r="E5" i="42"/>
  <c r="H113" i="40"/>
  <c r="G8" i="40"/>
  <c r="G7" i="40"/>
  <c r="C5" i="40"/>
  <c r="L80" i="40" l="1"/>
  <c r="L74" i="40"/>
  <c r="N21" i="42"/>
  <c r="N20" i="42"/>
  <c r="N19" i="42"/>
  <c r="N18" i="42"/>
  <c r="N17" i="42"/>
  <c r="N24" i="42"/>
  <c r="N23" i="42"/>
  <c r="N25" i="42"/>
  <c r="G61" i="42"/>
  <c r="H61" i="42" s="1"/>
  <c r="G60" i="42"/>
  <c r="H60" i="42" s="1"/>
  <c r="G55" i="42"/>
  <c r="H55" i="42" s="1"/>
  <c r="I55" i="42" s="1"/>
  <c r="G57" i="42"/>
  <c r="H57" i="42" s="1"/>
  <c r="G56" i="42"/>
  <c r="H56" i="42" s="1"/>
  <c r="C114" i="30"/>
  <c r="E114" i="30" s="1"/>
  <c r="C115" i="30" s="1"/>
  <c r="E115" i="30" s="1"/>
  <c r="C107" i="30"/>
  <c r="E107" i="30" s="1"/>
  <c r="C105" i="30"/>
  <c r="E105" i="30" s="1"/>
  <c r="C106" i="30" s="1"/>
  <c r="E106" i="30" s="1"/>
  <c r="C28" i="40"/>
  <c r="C32" i="40" s="1"/>
  <c r="L18" i="9"/>
  <c r="G59" i="42"/>
  <c r="H59" i="42" s="1"/>
  <c r="G54" i="42"/>
  <c r="H54" i="42" s="1"/>
  <c r="G63" i="42"/>
  <c r="H63" i="42" s="1"/>
  <c r="G58" i="42"/>
  <c r="H58" i="42" s="1"/>
  <c r="G62" i="42"/>
  <c r="H62" i="42" s="1"/>
  <c r="C87" i="40" l="1"/>
  <c r="I60" i="42"/>
  <c r="J60" i="42"/>
  <c r="J61" i="42"/>
  <c r="I61" i="42"/>
  <c r="I56" i="42"/>
  <c r="J56" i="42"/>
  <c r="J57" i="42"/>
  <c r="I57" i="42"/>
  <c r="P24" i="42"/>
  <c r="R24" i="42"/>
  <c r="P21" i="42"/>
  <c r="R21" i="42"/>
  <c r="P23" i="42"/>
  <c r="R23" i="42"/>
  <c r="P18" i="42"/>
  <c r="R18" i="42"/>
  <c r="P17" i="42"/>
  <c r="R17" i="42"/>
  <c r="R19" i="42"/>
  <c r="P19" i="42"/>
  <c r="R25" i="42"/>
  <c r="P25" i="42"/>
  <c r="P20" i="42"/>
  <c r="R20" i="42"/>
  <c r="C113" i="40"/>
  <c r="J63" i="42"/>
  <c r="I63" i="42"/>
  <c r="J58" i="42"/>
  <c r="I58" i="42"/>
  <c r="I54" i="42"/>
  <c r="J62" i="42"/>
  <c r="I62" i="42"/>
  <c r="J59" i="42"/>
  <c r="I59" i="42"/>
  <c r="D21" i="37" l="1"/>
  <c r="E21" i="37" s="1"/>
  <c r="D21" i="15"/>
  <c r="E21" i="15" s="1"/>
  <c r="D19" i="10"/>
  <c r="E19" i="10" s="1"/>
  <c r="E9" i="29" l="1"/>
  <c r="G54" i="29" s="1"/>
  <c r="H54" i="29" s="1"/>
  <c r="C58" i="29"/>
  <c r="C56" i="29"/>
  <c r="C51" i="27"/>
  <c r="C56" i="27"/>
  <c r="C55" i="27"/>
  <c r="C54" i="27"/>
  <c r="C53" i="27"/>
  <c r="C52" i="27"/>
  <c r="H50" i="27"/>
  <c r="Q46" i="29"/>
  <c r="Q47" i="29"/>
  <c r="Q48" i="29"/>
  <c r="Q49" i="29"/>
  <c r="Q13" i="29"/>
  <c r="Q14" i="29"/>
  <c r="Q15" i="29"/>
  <c r="Q16" i="29"/>
  <c r="Q17" i="29"/>
  <c r="Q18" i="29"/>
  <c r="Q19" i="29"/>
  <c r="Q20" i="29"/>
  <c r="Q21" i="29"/>
  <c r="Q22" i="29"/>
  <c r="Q23" i="29"/>
  <c r="Q24" i="29"/>
  <c r="Q25" i="29"/>
  <c r="Q26" i="29"/>
  <c r="Q27" i="29"/>
  <c r="Q28" i="29"/>
  <c r="Q29" i="29"/>
  <c r="Q30" i="29"/>
  <c r="Q31" i="29"/>
  <c r="Q32" i="29"/>
  <c r="Q33" i="29"/>
  <c r="Q34" i="29"/>
  <c r="Q35" i="29"/>
  <c r="Q36" i="29"/>
  <c r="Q37" i="29"/>
  <c r="Q38" i="29"/>
  <c r="Q39" i="29"/>
  <c r="Q40" i="29"/>
  <c r="Q41" i="29"/>
  <c r="Q42" i="29"/>
  <c r="Q43" i="29"/>
  <c r="Q44" i="29"/>
  <c r="Q45" i="29"/>
  <c r="Q12" i="29"/>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12" i="27"/>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7" i="1"/>
  <c r="G53" i="29" l="1"/>
  <c r="H53" i="29" s="1"/>
  <c r="G58" i="29"/>
  <c r="H58" i="29" s="1"/>
  <c r="G57" i="29"/>
  <c r="H57" i="29" s="1"/>
  <c r="G56" i="29"/>
  <c r="H56" i="29" s="1"/>
  <c r="G55" i="29"/>
  <c r="H55" i="29" s="1"/>
  <c r="G49" i="27"/>
  <c r="H49" i="27" s="1"/>
  <c r="G56" i="27"/>
  <c r="H56" i="27" s="1"/>
  <c r="G55" i="27"/>
  <c r="H55" i="27" s="1"/>
  <c r="G54" i="27"/>
  <c r="H54" i="27" s="1"/>
  <c r="G53" i="27"/>
  <c r="H53" i="27" s="1"/>
  <c r="G52" i="27"/>
  <c r="H52" i="27" s="1"/>
  <c r="G51" i="27"/>
  <c r="H51" i="27" s="1"/>
  <c r="I13" i="39" l="1"/>
  <c r="I11" i="39" l="1"/>
  <c r="E15" i="27" l="1"/>
  <c r="J56" i="27"/>
  <c r="I49" i="27"/>
  <c r="O30" i="9"/>
  <c r="O33" i="9"/>
  <c r="O38" i="9"/>
  <c r="O39" i="9"/>
  <c r="O40" i="9"/>
  <c r="O42" i="9"/>
  <c r="O43" i="9"/>
  <c r="O44" i="9"/>
  <c r="O46" i="9"/>
  <c r="O48" i="9"/>
  <c r="O49" i="9"/>
  <c r="O53" i="9"/>
  <c r="O54" i="9"/>
  <c r="O55" i="9"/>
  <c r="O57" i="9"/>
  <c r="O58" i="9"/>
  <c r="O59" i="9"/>
  <c r="O60" i="9"/>
  <c r="O61" i="9"/>
  <c r="O62" i="9"/>
  <c r="O63" i="9"/>
  <c r="O29" i="9"/>
  <c r="O51" i="39" l="1"/>
  <c r="I51" i="39"/>
  <c r="O11" i="39"/>
  <c r="O13" i="39"/>
  <c r="H18" i="29" l="1"/>
  <c r="Q16" i="39" l="1"/>
  <c r="Q18" i="39"/>
  <c r="Q17" i="39"/>
  <c r="Q15" i="39"/>
  <c r="Q14" i="39"/>
  <c r="O14" i="39" l="1"/>
  <c r="O26" i="39"/>
  <c r="O58" i="39"/>
  <c r="O81" i="39"/>
  <c r="O80" i="39"/>
  <c r="O77" i="39"/>
  <c r="O76" i="39"/>
  <c r="O75" i="39"/>
  <c r="O72" i="39"/>
  <c r="O71" i="39"/>
  <c r="O70" i="39"/>
  <c r="O69" i="39"/>
  <c r="O68" i="39"/>
  <c r="O67" i="39"/>
  <c r="O66" i="39"/>
  <c r="O65" i="39"/>
  <c r="O64" i="39"/>
  <c r="O63" i="39"/>
  <c r="O62" i="39"/>
  <c r="O61" i="39"/>
  <c r="O60" i="39"/>
  <c r="O59" i="39"/>
  <c r="C169" i="39"/>
  <c r="C171" i="39" s="1"/>
  <c r="C168" i="39"/>
  <c r="O56" i="39"/>
  <c r="O55" i="39"/>
  <c r="O54" i="39"/>
  <c r="O53" i="39"/>
  <c r="O52" i="39"/>
  <c r="O50" i="39"/>
  <c r="O49" i="39"/>
  <c r="O12" i="39"/>
  <c r="I61" i="39"/>
  <c r="O38" i="39"/>
  <c r="O37" i="39"/>
  <c r="O34" i="39"/>
  <c r="O33" i="39"/>
  <c r="O32" i="39"/>
  <c r="O28" i="39"/>
  <c r="O27" i="39"/>
  <c r="O23" i="39"/>
  <c r="O22" i="39"/>
  <c r="O21" i="39"/>
  <c r="O20" i="39"/>
  <c r="O19" i="39"/>
  <c r="O18" i="39"/>
  <c r="O17" i="39"/>
  <c r="O16" i="39"/>
  <c r="O15" i="39"/>
  <c r="E15" i="29"/>
  <c r="C170" i="39" l="1"/>
  <c r="C5" i="19" l="1"/>
  <c r="L86" i="19" s="1"/>
  <c r="G8" i="19"/>
  <c r="G7" i="19"/>
  <c r="L17" i="9" l="1"/>
  <c r="I12" i="39"/>
  <c r="I37" i="39"/>
  <c r="M37" i="39" s="1"/>
  <c r="P37" i="39" s="1"/>
  <c r="I198" i="18" s="1"/>
  <c r="I28" i="39"/>
  <c r="I38" i="39"/>
  <c r="M38" i="39" s="1"/>
  <c r="P38" i="39" s="1"/>
  <c r="I204" i="18" s="1"/>
  <c r="I34" i="39"/>
  <c r="I33" i="39"/>
  <c r="I32" i="39"/>
  <c r="I27" i="39"/>
  <c r="I81" i="39"/>
  <c r="I80" i="39"/>
  <c r="I77" i="39"/>
  <c r="I76" i="39"/>
  <c r="I75" i="39"/>
  <c r="I72" i="39"/>
  <c r="I71" i="39"/>
  <c r="I70" i="39"/>
  <c r="I69" i="39"/>
  <c r="I68" i="39"/>
  <c r="I67" i="39"/>
  <c r="I66" i="39"/>
  <c r="I65" i="39"/>
  <c r="I64" i="39"/>
  <c r="I63" i="39"/>
  <c r="I62" i="39"/>
  <c r="I60" i="39"/>
  <c r="I59" i="39"/>
  <c r="I50" i="39"/>
  <c r="I49" i="39"/>
  <c r="I52" i="39"/>
  <c r="I53" i="39"/>
  <c r="I55" i="39"/>
  <c r="I56" i="39"/>
  <c r="I15" i="39"/>
  <c r="I16" i="39"/>
  <c r="I17" i="39"/>
  <c r="I18" i="39"/>
  <c r="I19" i="39"/>
  <c r="I20" i="39"/>
  <c r="I21" i="39"/>
  <c r="I22" i="39"/>
  <c r="I23" i="39"/>
  <c r="G54" i="39"/>
  <c r="I54" i="39" l="1"/>
  <c r="G93" i="39"/>
  <c r="I93" i="39" s="1"/>
  <c r="H13" i="37"/>
  <c r="D15" i="37"/>
  <c r="D81" i="38" l="1"/>
  <c r="G39" i="38"/>
  <c r="D14" i="38"/>
  <c r="E65" i="30" l="1"/>
  <c r="E63" i="30"/>
  <c r="C64" i="30" s="1"/>
  <c r="E64" i="30" s="1"/>
  <c r="E59" i="30"/>
  <c r="C60" i="30" s="1"/>
  <c r="E60" i="30" s="1"/>
  <c r="C61" i="30" s="1"/>
  <c r="E61" i="30" s="1"/>
  <c r="E58" i="30"/>
  <c r="E57" i="30"/>
  <c r="E56" i="30"/>
  <c r="E55" i="30"/>
  <c r="C62" i="30" l="1"/>
  <c r="E62" i="30" s="1"/>
  <c r="H28" i="29" l="1"/>
  <c r="H29" i="29"/>
  <c r="H30" i="29"/>
  <c r="H31" i="29"/>
  <c r="H32" i="29"/>
  <c r="H33" i="29"/>
  <c r="H34" i="29"/>
  <c r="H35" i="29"/>
  <c r="H36" i="29"/>
  <c r="H37" i="29"/>
  <c r="H38" i="29"/>
  <c r="H39" i="29"/>
  <c r="H40" i="29"/>
  <c r="H41" i="29"/>
  <c r="H42" i="29"/>
  <c r="H43" i="29"/>
  <c r="H44" i="29"/>
  <c r="H45" i="29"/>
  <c r="H46" i="29"/>
  <c r="H47" i="29"/>
  <c r="H48" i="29"/>
  <c r="H49" i="29"/>
  <c r="H27" i="29"/>
  <c r="H22" i="29"/>
  <c r="F12" i="9" l="1"/>
  <c r="F23" i="9" s="1"/>
  <c r="D185" i="9" l="1"/>
  <c r="D184" i="9"/>
  <c r="E48" i="30"/>
  <c r="E49" i="30"/>
  <c r="E50" i="30"/>
  <c r="E51" i="30"/>
  <c r="E52" i="30"/>
  <c r="E53" i="30"/>
  <c r="E47" i="30"/>
  <c r="E16" i="30" l="1"/>
  <c r="E17" i="30"/>
  <c r="E18" i="30"/>
  <c r="E19" i="30"/>
  <c r="E20" i="30"/>
  <c r="E15" i="30"/>
  <c r="E10" i="30"/>
  <c r="E11" i="30"/>
  <c r="E12" i="30"/>
  <c r="C24" i="30" s="1"/>
  <c r="J57" i="29" l="1"/>
  <c r="J56" i="29"/>
  <c r="J55" i="29"/>
  <c r="I54" i="29"/>
  <c r="I53" i="29"/>
  <c r="J55" i="27"/>
  <c r="I53" i="27"/>
  <c r="I54" i="27"/>
  <c r="I55" i="27"/>
  <c r="I56" i="27"/>
  <c r="J52" i="27"/>
  <c r="I52" i="27"/>
  <c r="I51" i="27"/>
  <c r="I50" i="27"/>
  <c r="E14" i="29"/>
  <c r="E14" i="27"/>
  <c r="I58" i="29" l="1"/>
  <c r="J58" i="29"/>
  <c r="J53" i="27"/>
  <c r="J51" i="27"/>
  <c r="J54" i="27"/>
  <c r="I55" i="29"/>
  <c r="I57" i="29"/>
  <c r="I56" i="29"/>
  <c r="I94" i="19" l="1"/>
  <c r="H93" i="19"/>
  <c r="G93" i="19"/>
  <c r="D93" i="19"/>
  <c r="B93" i="19"/>
  <c r="J66" i="17"/>
  <c r="J67" i="17"/>
  <c r="K68" i="17"/>
  <c r="K66" i="17"/>
  <c r="H67" i="17"/>
  <c r="H66" i="17"/>
  <c r="E68" i="17"/>
  <c r="E67" i="17"/>
  <c r="E66" i="17"/>
  <c r="D66" i="17"/>
  <c r="B66" i="17"/>
  <c r="H45" i="27"/>
  <c r="E5" i="29"/>
  <c r="C4" i="20"/>
  <c r="E5" i="27"/>
  <c r="B5" i="18"/>
  <c r="T112" i="18" s="1"/>
  <c r="C5" i="17"/>
  <c r="N19" i="27" l="1"/>
  <c r="N18" i="27"/>
  <c r="N18" i="29"/>
  <c r="N22" i="29"/>
  <c r="L16" i="9"/>
  <c r="O36" i="9"/>
  <c r="O37" i="9"/>
  <c r="O35" i="9"/>
  <c r="O56" i="9"/>
  <c r="O45" i="9"/>
  <c r="O50" i="9"/>
  <c r="O52" i="9"/>
  <c r="O51" i="9"/>
  <c r="O32" i="9"/>
  <c r="E44" i="9"/>
  <c r="T123" i="18"/>
  <c r="V123" i="18" s="1"/>
  <c r="C25" i="17"/>
  <c r="I6" i="20"/>
  <c r="I5" i="20"/>
  <c r="I4" i="20"/>
  <c r="N199" i="20"/>
  <c r="C15" i="19"/>
  <c r="C37" i="30"/>
  <c r="E226" i="9" l="1"/>
  <c r="D226" i="9"/>
  <c r="C226" i="9"/>
  <c r="E230" i="9"/>
  <c r="D230" i="9"/>
  <c r="C230" i="9"/>
  <c r="C242" i="9"/>
  <c r="D242" i="9"/>
  <c r="E242" i="9"/>
  <c r="E250" i="9"/>
  <c r="D250" i="9"/>
  <c r="C250" i="9"/>
  <c r="E234" i="9"/>
  <c r="D234" i="9"/>
  <c r="C234" i="9"/>
  <c r="E238" i="9"/>
  <c r="D238" i="9"/>
  <c r="C238" i="9"/>
  <c r="P18" i="29"/>
  <c r="R18" i="29"/>
  <c r="C19" i="19"/>
  <c r="C93" i="19"/>
  <c r="C29" i="17"/>
  <c r="C66" i="17"/>
  <c r="C35" i="30" l="1"/>
  <c r="E35" i="30" s="1"/>
  <c r="C36" i="30" s="1"/>
  <c r="E36" i="30" s="1"/>
  <c r="C34" i="30"/>
  <c r="E34" i="30" s="1"/>
  <c r="C33" i="30"/>
  <c r="E33" i="30" s="1"/>
  <c r="C32" i="30"/>
  <c r="E32" i="30" s="1"/>
  <c r="C31" i="30"/>
  <c r="E31" i="30" s="1"/>
  <c r="C25" i="30"/>
  <c r="E25" i="30" s="1"/>
  <c r="C28" i="30" s="1"/>
  <c r="E28" i="30" s="1"/>
  <c r="E24" i="30"/>
  <c r="C23" i="30"/>
  <c r="E23" i="30" s="1"/>
  <c r="E37" i="30"/>
  <c r="C26" i="30" l="1"/>
  <c r="E26" i="30" s="1"/>
  <c r="C27" i="30" s="1"/>
  <c r="E27" i="30" s="1"/>
  <c r="H26" i="29"/>
  <c r="H25" i="29"/>
  <c r="H23" i="29" l="1"/>
  <c r="R22" i="29"/>
  <c r="H21" i="29"/>
  <c r="H20" i="29"/>
  <c r="H19" i="29"/>
  <c r="H17" i="29"/>
  <c r="H24" i="29"/>
  <c r="R24" i="29" s="1"/>
  <c r="H16" i="29"/>
  <c r="N16" i="29" l="1"/>
  <c r="R16" i="29" s="1"/>
  <c r="N19" i="29"/>
  <c r="R19" i="29" s="1"/>
  <c r="N17" i="29"/>
  <c r="R17" i="29" s="1"/>
  <c r="N20" i="29"/>
  <c r="R20" i="29" s="1"/>
  <c r="N21" i="29"/>
  <c r="R21" i="29" s="1"/>
  <c r="N23" i="29"/>
  <c r="R23" i="29" s="1"/>
  <c r="H15" i="29"/>
  <c r="H14" i="29"/>
  <c r="H13" i="29"/>
  <c r="H12" i="29"/>
  <c r="H44" i="27"/>
  <c r="H37" i="27"/>
  <c r="H43" i="27"/>
  <c r="H40" i="27"/>
  <c r="H39" i="27"/>
  <c r="H38" i="27"/>
  <c r="H36" i="27"/>
  <c r="H35" i="27"/>
  <c r="H33" i="27"/>
  <c r="H32" i="27"/>
  <c r="H29" i="27"/>
  <c r="H28" i="27"/>
  <c r="H27" i="27"/>
  <c r="H25" i="27"/>
  <c r="H24" i="27"/>
  <c r="H22" i="27"/>
  <c r="P16" i="29" l="1"/>
  <c r="P17" i="29"/>
  <c r="P23" i="29"/>
  <c r="P24" i="29"/>
  <c r="P19" i="29"/>
  <c r="P21" i="29"/>
  <c r="P22" i="29"/>
  <c r="P20" i="29"/>
  <c r="P13" i="29" l="1"/>
  <c r="R13" i="29"/>
  <c r="H17" i="27" l="1"/>
  <c r="N17" i="27" s="1"/>
  <c r="H18" i="27"/>
  <c r="H19" i="27"/>
  <c r="H20" i="27"/>
  <c r="H21" i="27"/>
  <c r="H23" i="27"/>
  <c r="H26" i="27"/>
  <c r="H30" i="27"/>
  <c r="H31" i="27"/>
  <c r="H41" i="27"/>
  <c r="H42" i="27"/>
  <c r="R19" i="27" l="1"/>
  <c r="R18" i="27"/>
  <c r="R17" i="27"/>
  <c r="P17" i="27"/>
  <c r="P18" i="27"/>
  <c r="P19" i="27" l="1"/>
  <c r="H16" i="27"/>
  <c r="H12" i="27" l="1"/>
  <c r="H13" i="27"/>
  <c r="H14" i="27"/>
  <c r="H15" i="27"/>
  <c r="N13" i="27" l="1"/>
  <c r="R13" i="27" s="1"/>
  <c r="P13" i="27"/>
  <c r="G12" i="9"/>
  <c r="C11" i="9"/>
  <c r="E12" i="9"/>
  <c r="D12" i="9"/>
  <c r="C10" i="9" l="1"/>
  <c r="C9" i="9" s="1"/>
  <c r="D33" i="16"/>
  <c r="D8" i="16"/>
  <c r="D43" i="16" l="1"/>
  <c r="C3" i="16" s="1"/>
  <c r="C6" i="40" l="1"/>
  <c r="E6" i="42"/>
  <c r="C6" i="19"/>
  <c r="C6" i="17"/>
  <c r="E6" i="29"/>
  <c r="E6" i="27"/>
  <c r="E28" i="16"/>
  <c r="L43" i="40" s="1"/>
  <c r="E9" i="16"/>
  <c r="E37" i="16"/>
  <c r="E13" i="16"/>
  <c r="T116" i="41" s="1"/>
  <c r="E31" i="16"/>
  <c r="E30" i="16"/>
  <c r="E15" i="16"/>
  <c r="E16" i="16"/>
  <c r="C18" i="9" s="1"/>
  <c r="C6" i="9" s="1"/>
  <c r="E35" i="16"/>
  <c r="L34" i="40" s="1"/>
  <c r="E23" i="16"/>
  <c r="E38" i="16"/>
  <c r="E21" i="16"/>
  <c r="E39" i="16"/>
  <c r="L38" i="40" s="1"/>
  <c r="E10" i="16"/>
  <c r="E18" i="9" s="1"/>
  <c r="E18" i="16"/>
  <c r="E25" i="16"/>
  <c r="E40" i="16"/>
  <c r="L39" i="40" s="1"/>
  <c r="X75" i="9" s="1"/>
  <c r="E32" i="16"/>
  <c r="E19" i="16"/>
  <c r="E26" i="16"/>
  <c r="E41" i="16"/>
  <c r="E17" i="16"/>
  <c r="E12" i="16"/>
  <c r="T115" i="41" s="1"/>
  <c r="E137" i="38" s="1"/>
  <c r="E20" i="16"/>
  <c r="B10" i="41" s="1"/>
  <c r="E110" i="38" s="1"/>
  <c r="E27" i="16"/>
  <c r="L42" i="40" s="1"/>
  <c r="E11" i="16"/>
  <c r="D18" i="9" s="1"/>
  <c r="E34" i="16"/>
  <c r="L33" i="40" s="1"/>
  <c r="E42" i="16"/>
  <c r="E14" i="16"/>
  <c r="E22" i="16"/>
  <c r="E29" i="16"/>
  <c r="L69" i="19" s="1"/>
  <c r="E36" i="16"/>
  <c r="L35" i="40" s="1"/>
  <c r="Y71" i="9" s="1"/>
  <c r="L36" i="40"/>
  <c r="L117" i="40" s="1"/>
  <c r="L37" i="40"/>
  <c r="F18" i="9"/>
  <c r="L34" i="17"/>
  <c r="O73" i="9" s="1"/>
  <c r="L24" i="19"/>
  <c r="W73" i="9" s="1"/>
  <c r="B8" i="18"/>
  <c r="E6" i="38" s="1"/>
  <c r="L87" i="19"/>
  <c r="L23" i="19"/>
  <c r="V72" i="9" s="1"/>
  <c r="L33" i="17"/>
  <c r="L35" i="17"/>
  <c r="U74" i="9" s="1"/>
  <c r="L25" i="19"/>
  <c r="W74" i="9" s="1"/>
  <c r="L42" i="19"/>
  <c r="C52" i="19" s="1"/>
  <c r="D16" i="9" l="1"/>
  <c r="C8" i="20"/>
  <c r="E69" i="38" s="1"/>
  <c r="D17" i="9"/>
  <c r="L26" i="19"/>
  <c r="V75" i="9" s="1"/>
  <c r="C50" i="27"/>
  <c r="J50" i="27" s="1"/>
  <c r="C49" i="27"/>
  <c r="J49" i="27" s="1"/>
  <c r="J57" i="27" s="1"/>
  <c r="E8" i="27"/>
  <c r="E7" i="27"/>
  <c r="C53" i="29"/>
  <c r="J53" i="29" s="1"/>
  <c r="E8" i="29"/>
  <c r="E7" i="29"/>
  <c r="N15" i="29" s="1"/>
  <c r="C54" i="29"/>
  <c r="J54" i="29" s="1"/>
  <c r="N11" i="39"/>
  <c r="J11" i="39" s="1"/>
  <c r="L26" i="17"/>
  <c r="N51" i="39"/>
  <c r="L16" i="19"/>
  <c r="F73" i="9" s="1"/>
  <c r="C54" i="42"/>
  <c r="J54" i="42" s="1"/>
  <c r="C55" i="42"/>
  <c r="J55" i="42" s="1"/>
  <c r="E7" i="42"/>
  <c r="E8" i="42"/>
  <c r="L29" i="40"/>
  <c r="N92" i="39"/>
  <c r="J92" i="39" s="1"/>
  <c r="N98" i="39"/>
  <c r="B9" i="41"/>
  <c r="L38" i="41" s="1"/>
  <c r="B9" i="18"/>
  <c r="E7" i="38" s="1"/>
  <c r="L40" i="40"/>
  <c r="L66" i="19"/>
  <c r="C10" i="20"/>
  <c r="E71" i="38" s="1"/>
  <c r="F17" i="9"/>
  <c r="T116" i="18"/>
  <c r="F16" i="9"/>
  <c r="C12" i="20"/>
  <c r="G87" i="38" s="1"/>
  <c r="C16" i="9"/>
  <c r="C4" i="9" s="1"/>
  <c r="L41" i="40"/>
  <c r="Y70" i="9" s="1"/>
  <c r="K18" i="9"/>
  <c r="K17" i="9"/>
  <c r="K16" i="9"/>
  <c r="J18" i="9"/>
  <c r="J6" i="9" s="1"/>
  <c r="J16" i="9"/>
  <c r="T115" i="18"/>
  <c r="E35" i="38" s="1"/>
  <c r="G35" i="38" s="1"/>
  <c r="G16" i="9"/>
  <c r="C9" i="20"/>
  <c r="E70" i="38" s="1"/>
  <c r="G70" i="38" s="1"/>
  <c r="C11" i="20"/>
  <c r="E72" i="38" s="1"/>
  <c r="Y74" i="9"/>
  <c r="L31" i="17"/>
  <c r="L21" i="19"/>
  <c r="W70" i="9" s="1"/>
  <c r="L68" i="19"/>
  <c r="L97" i="19" s="1"/>
  <c r="F43" i="9" s="1"/>
  <c r="B7" i="18"/>
  <c r="E5" i="38" s="1"/>
  <c r="G5" i="38" s="1"/>
  <c r="C7" i="20"/>
  <c r="E68" i="38" s="1"/>
  <c r="G68" i="38" s="1"/>
  <c r="E16" i="9"/>
  <c r="B7" i="41"/>
  <c r="E107" i="38" s="1"/>
  <c r="X72" i="9"/>
  <c r="E8" i="16"/>
  <c r="T117" i="18"/>
  <c r="E37" i="38" s="1"/>
  <c r="E49" i="38" s="1"/>
  <c r="L36" i="17"/>
  <c r="O75" i="9" s="1"/>
  <c r="L60" i="19"/>
  <c r="L81" i="40"/>
  <c r="H93" i="9" s="1"/>
  <c r="G18" i="9"/>
  <c r="C13" i="20"/>
  <c r="E73" i="38" s="1"/>
  <c r="F83" i="9"/>
  <c r="C6" i="20"/>
  <c r="E67" i="38" s="1"/>
  <c r="H16" i="9"/>
  <c r="F86" i="9"/>
  <c r="C17" i="9"/>
  <c r="L80" i="19"/>
  <c r="T114" i="18"/>
  <c r="E34" i="38" s="1"/>
  <c r="E46" i="38" s="1"/>
  <c r="E24" i="16"/>
  <c r="B10" i="18"/>
  <c r="E8" i="38" s="1"/>
  <c r="L67" i="19"/>
  <c r="T114" i="41"/>
  <c r="E136" i="38" s="1"/>
  <c r="E17" i="9"/>
  <c r="G17" i="9"/>
  <c r="T117" i="41"/>
  <c r="E139" i="38" s="1"/>
  <c r="G139" i="38" s="1"/>
  <c r="L152" i="41" s="1"/>
  <c r="L32" i="17"/>
  <c r="L22" i="19"/>
  <c r="I16" i="9"/>
  <c r="H18" i="9"/>
  <c r="L59" i="19"/>
  <c r="F82" i="9" s="1"/>
  <c r="L68" i="40"/>
  <c r="H91" i="9" s="1"/>
  <c r="I17" i="9"/>
  <c r="E33" i="16"/>
  <c r="L51" i="40"/>
  <c r="C54" i="40" s="1"/>
  <c r="L56" i="40" s="1"/>
  <c r="L30" i="17"/>
  <c r="U69" i="9" s="1"/>
  <c r="L20" i="19"/>
  <c r="L44" i="19"/>
  <c r="C47" i="19" s="1"/>
  <c r="L49" i="19" s="1"/>
  <c r="H17" i="9"/>
  <c r="J17" i="9"/>
  <c r="I18" i="9"/>
  <c r="B8" i="41"/>
  <c r="E108" i="38" s="1"/>
  <c r="G108" i="38" s="1"/>
  <c r="X73" i="9"/>
  <c r="Y73" i="9"/>
  <c r="L118" i="40"/>
  <c r="E36" i="38"/>
  <c r="G36" i="38" s="1"/>
  <c r="T190" i="18" s="1"/>
  <c r="T204" i="18"/>
  <c r="V204" i="18" s="1"/>
  <c r="T200" i="18"/>
  <c r="V200" i="18" s="1"/>
  <c r="X200" i="18" s="1"/>
  <c r="Z200" i="18" s="1"/>
  <c r="AA200" i="18" s="1"/>
  <c r="E149" i="38"/>
  <c r="G137" i="38"/>
  <c r="G110" i="38"/>
  <c r="E119" i="38"/>
  <c r="T203" i="41"/>
  <c r="V203" i="41" s="1"/>
  <c r="T199" i="41"/>
  <c r="V199" i="41" s="1"/>
  <c r="X199" i="41" s="1"/>
  <c r="Z199" i="41" s="1"/>
  <c r="AA199" i="41" s="1"/>
  <c r="E138" i="38"/>
  <c r="G69" i="38"/>
  <c r="E82" i="38"/>
  <c r="L68" i="17"/>
  <c r="U70" i="9"/>
  <c r="L70" i="17"/>
  <c r="D43" i="9" s="1"/>
  <c r="O72" i="9"/>
  <c r="F30" i="18"/>
  <c r="F71" i="17" s="1"/>
  <c r="L38" i="18"/>
  <c r="D101" i="9" s="1"/>
  <c r="E15" i="38"/>
  <c r="G6" i="38"/>
  <c r="L98" i="19"/>
  <c r="F46" i="9" s="1"/>
  <c r="V73" i="9"/>
  <c r="L54" i="19"/>
  <c r="L100" i="19" s="1"/>
  <c r="C172" i="39"/>
  <c r="C173" i="39" s="1"/>
  <c r="C174" i="39" s="1"/>
  <c r="C175" i="39" s="1"/>
  <c r="C177" i="39" s="1"/>
  <c r="P57" i="39" s="1"/>
  <c r="L71" i="17"/>
  <c r="D46" i="9" s="1"/>
  <c r="U73" i="9"/>
  <c r="L113" i="40" l="1"/>
  <c r="H41" i="9" s="1"/>
  <c r="H73" i="9"/>
  <c r="N14" i="42"/>
  <c r="N12" i="42"/>
  <c r="N15" i="42"/>
  <c r="Y69" i="9"/>
  <c r="H74" i="9" s="1"/>
  <c r="L114" i="40"/>
  <c r="N15" i="27"/>
  <c r="N14" i="27"/>
  <c r="N12" i="27"/>
  <c r="L115" i="40"/>
  <c r="N12" i="29"/>
  <c r="N14" i="29"/>
  <c r="E47" i="38"/>
  <c r="F30" i="41"/>
  <c r="E109" i="38"/>
  <c r="L55" i="20"/>
  <c r="F119" i="9" s="1"/>
  <c r="L35" i="20"/>
  <c r="C39" i="20" s="1"/>
  <c r="L42" i="20" s="1"/>
  <c r="N28" i="29" s="1"/>
  <c r="F47" i="20"/>
  <c r="F96" i="19" s="1"/>
  <c r="E39" i="9" s="1"/>
  <c r="T187" i="20"/>
  <c r="V187" i="20" s="1"/>
  <c r="X187" i="20" s="1"/>
  <c r="Z187" i="20" s="1"/>
  <c r="AA187" i="20" s="1"/>
  <c r="X191" i="20" s="1"/>
  <c r="J59" i="29"/>
  <c r="H32" i="9"/>
  <c r="T191" i="20"/>
  <c r="V191" i="20" s="1"/>
  <c r="L93" i="19"/>
  <c r="F41" i="9" s="1"/>
  <c r="E83" i="38"/>
  <c r="E102" i="38" s="1"/>
  <c r="G102" i="38" s="1"/>
  <c r="J98" i="39"/>
  <c r="S98" i="39" s="1"/>
  <c r="J51" i="39"/>
  <c r="S51" i="39" s="1"/>
  <c r="J64" i="42"/>
  <c r="C48" i="40"/>
  <c r="L50" i="40" s="1"/>
  <c r="C61" i="40" s="1"/>
  <c r="S92" i="39"/>
  <c r="P92" i="39"/>
  <c r="I55" i="40" s="1"/>
  <c r="G89" i="9" s="1"/>
  <c r="M92" i="39"/>
  <c r="D73" i="9"/>
  <c r="L66" i="17"/>
  <c r="D41" i="9" s="1"/>
  <c r="S11" i="39"/>
  <c r="M11" i="39"/>
  <c r="P11" i="39"/>
  <c r="I51" i="17" s="1"/>
  <c r="C76" i="9" s="1"/>
  <c r="W71" i="9"/>
  <c r="L96" i="19"/>
  <c r="I5" i="9" s="1"/>
  <c r="W69" i="9"/>
  <c r="C31" i="19"/>
  <c r="G37" i="38"/>
  <c r="L152" i="18" s="1"/>
  <c r="L67" i="17"/>
  <c r="D32" i="9" s="1"/>
  <c r="L72" i="17"/>
  <c r="C29" i="9" s="1"/>
  <c r="L95" i="19"/>
  <c r="F60" i="9" s="1"/>
  <c r="D60" i="9"/>
  <c r="B11" i="18"/>
  <c r="C15" i="18" s="1"/>
  <c r="E81" i="38"/>
  <c r="E100" i="38" s="1"/>
  <c r="G100" i="38" s="1"/>
  <c r="L80" i="20"/>
  <c r="L108" i="19" s="1"/>
  <c r="F33" i="9" s="1"/>
  <c r="C14" i="20"/>
  <c r="C19" i="20" s="1"/>
  <c r="C40" i="17"/>
  <c r="E151" i="38"/>
  <c r="G151" i="38" s="1"/>
  <c r="G34" i="38"/>
  <c r="L153" i="18" s="1"/>
  <c r="U71" i="9"/>
  <c r="D74" i="9" s="1"/>
  <c r="E43" i="16"/>
  <c r="N49" i="39"/>
  <c r="J49" i="39" s="1"/>
  <c r="M49" i="39" s="1"/>
  <c r="E117" i="38"/>
  <c r="E131" i="38" s="1"/>
  <c r="G131" i="38" s="1"/>
  <c r="L94" i="19"/>
  <c r="F32" i="9" s="1"/>
  <c r="B11" i="41"/>
  <c r="L93" i="40" s="1"/>
  <c r="N91" i="39"/>
  <c r="J91" i="39" s="1"/>
  <c r="M91" i="39" s="1"/>
  <c r="P91" i="39" s="1"/>
  <c r="H46" i="9"/>
  <c r="H43" i="9"/>
  <c r="F42" i="9"/>
  <c r="F87" i="9"/>
  <c r="E48" i="38"/>
  <c r="G48" i="38" s="1"/>
  <c r="C39" i="9"/>
  <c r="L116" i="40"/>
  <c r="H133" i="9"/>
  <c r="E150" i="38"/>
  <c r="G150" i="38" s="1"/>
  <c r="G138" i="38"/>
  <c r="F185" i="20"/>
  <c r="AB188" i="20"/>
  <c r="L193" i="20" s="1"/>
  <c r="E116" i="38"/>
  <c r="G107" i="38"/>
  <c r="E113" i="38"/>
  <c r="G113" i="38" s="1"/>
  <c r="G114" i="38" s="1"/>
  <c r="F16" i="41" s="1"/>
  <c r="F52" i="41" s="1"/>
  <c r="E112" i="38"/>
  <c r="E118" i="38"/>
  <c r="G118" i="38" s="1"/>
  <c r="G109" i="38"/>
  <c r="L62" i="41"/>
  <c r="F118" i="40"/>
  <c r="AB200" i="41"/>
  <c r="L198" i="41" s="1"/>
  <c r="H146" i="9" s="1"/>
  <c r="X203" i="41"/>
  <c r="F190" i="41" s="1"/>
  <c r="AB201" i="18"/>
  <c r="L205" i="18" s="1"/>
  <c r="X204" i="18"/>
  <c r="G119" i="38"/>
  <c r="E126" i="38"/>
  <c r="G126" i="38" s="1"/>
  <c r="E148" i="38"/>
  <c r="G136" i="38"/>
  <c r="L153" i="41" s="1"/>
  <c r="L128" i="40" s="1"/>
  <c r="T194" i="18"/>
  <c r="L192" i="18" s="1"/>
  <c r="E164" i="38"/>
  <c r="G164" i="38" s="1"/>
  <c r="G149" i="38"/>
  <c r="L69" i="17"/>
  <c r="I22" i="9" s="1"/>
  <c r="C205" i="9" s="1"/>
  <c r="G7" i="38"/>
  <c r="E16" i="38"/>
  <c r="G16" i="38" s="1"/>
  <c r="G82" i="38"/>
  <c r="E101" i="38"/>
  <c r="G101" i="38" s="1"/>
  <c r="L81" i="17"/>
  <c r="F121" i="18"/>
  <c r="G46" i="38"/>
  <c r="E84" i="38"/>
  <c r="G84" i="38" s="1"/>
  <c r="G71" i="38"/>
  <c r="T177" i="20" s="1"/>
  <c r="G67" i="38"/>
  <c r="E77" i="38"/>
  <c r="G77" i="38" s="1"/>
  <c r="G78" i="38" s="1"/>
  <c r="E80" i="38"/>
  <c r="G80" i="38" s="1"/>
  <c r="E76" i="38"/>
  <c r="E85" i="38"/>
  <c r="G85" i="38" s="1"/>
  <c r="G72" i="38"/>
  <c r="I53" i="19"/>
  <c r="E87" i="9" s="1"/>
  <c r="G15" i="38"/>
  <c r="E29" i="38"/>
  <c r="G29" i="38" s="1"/>
  <c r="L79" i="20"/>
  <c r="J23" i="9"/>
  <c r="E11" i="38"/>
  <c r="G11" i="38" s="1"/>
  <c r="G12" i="38" s="1"/>
  <c r="E14" i="38"/>
  <c r="E10" i="38"/>
  <c r="G47" i="38"/>
  <c r="E62" i="38"/>
  <c r="G62" i="38" s="1"/>
  <c r="G73" i="38"/>
  <c r="E86" i="38"/>
  <c r="L62" i="18"/>
  <c r="D103" i="9" s="1"/>
  <c r="G8" i="38"/>
  <c r="E17" i="38"/>
  <c r="E24" i="38" s="1"/>
  <c r="G24" i="38" s="1"/>
  <c r="G49" i="38"/>
  <c r="H24" i="9" l="1"/>
  <c r="E198" i="9"/>
  <c r="C198" i="9"/>
  <c r="H22" i="9"/>
  <c r="I4" i="9"/>
  <c r="C206" i="9"/>
  <c r="F42" i="17"/>
  <c r="F67" i="17" s="1"/>
  <c r="H143" i="9"/>
  <c r="F40" i="20"/>
  <c r="F74" i="9"/>
  <c r="P49" i="39"/>
  <c r="I34" i="19" s="1"/>
  <c r="R14" i="29"/>
  <c r="P14" i="29"/>
  <c r="R12" i="29"/>
  <c r="P12" i="29"/>
  <c r="R12" i="27"/>
  <c r="P12" i="27"/>
  <c r="R12" i="42"/>
  <c r="P12" i="42"/>
  <c r="G81" i="38"/>
  <c r="R15" i="27"/>
  <c r="P15" i="27"/>
  <c r="P15" i="42"/>
  <c r="R15" i="42"/>
  <c r="G83" i="38"/>
  <c r="R14" i="27"/>
  <c r="P14" i="27"/>
  <c r="M51" i="39"/>
  <c r="P51" i="39"/>
  <c r="I48" i="19" s="1"/>
  <c r="E81" i="9" s="1"/>
  <c r="R14" i="42"/>
  <c r="P14" i="42"/>
  <c r="M98" i="39"/>
  <c r="P98" i="39"/>
  <c r="I98" i="40" s="1"/>
  <c r="G95" i="9" s="1"/>
  <c r="R15" i="29"/>
  <c r="P15" i="29"/>
  <c r="C66" i="40"/>
  <c r="L46" i="17"/>
  <c r="C54" i="17" s="1"/>
  <c r="D111" i="9"/>
  <c r="F121" i="9"/>
  <c r="H60" i="9"/>
  <c r="J5" i="9"/>
  <c r="F41" i="17"/>
  <c r="N16" i="27" s="1"/>
  <c r="C15" i="41"/>
  <c r="G5" i="19"/>
  <c r="G6" i="19" s="1"/>
  <c r="L35" i="19"/>
  <c r="C38" i="19" s="1"/>
  <c r="L43" i="19" s="1"/>
  <c r="C57" i="19" s="1"/>
  <c r="N52" i="39" s="1"/>
  <c r="J52" i="39" s="1"/>
  <c r="M52" i="39" s="1"/>
  <c r="F32" i="19"/>
  <c r="E61" i="9" s="1"/>
  <c r="G117" i="38"/>
  <c r="H5" i="9"/>
  <c r="F197" i="18"/>
  <c r="C115" i="9" s="1"/>
  <c r="L131" i="40"/>
  <c r="H50" i="9"/>
  <c r="G39" i="9"/>
  <c r="L120" i="40"/>
  <c r="K24" i="9" s="1"/>
  <c r="H135" i="9"/>
  <c r="I24" i="9"/>
  <c r="E205" i="9" s="1"/>
  <c r="I49" i="40"/>
  <c r="G88" i="9" s="1"/>
  <c r="F121" i="41"/>
  <c r="L185" i="41"/>
  <c r="H145" i="9" s="1"/>
  <c r="F124" i="40"/>
  <c r="G146" i="9"/>
  <c r="S91" i="39"/>
  <c r="G148" i="38"/>
  <c r="E130" i="38"/>
  <c r="G130" i="38" s="1"/>
  <c r="G116" i="38"/>
  <c r="E121" i="38"/>
  <c r="T181" i="20"/>
  <c r="L180" i="20" s="1"/>
  <c r="L179" i="20" s="1"/>
  <c r="N46" i="29" s="1"/>
  <c r="L69" i="40"/>
  <c r="C72" i="40" s="1"/>
  <c r="L75" i="40" s="1"/>
  <c r="N94" i="39"/>
  <c r="J94" i="39" s="1"/>
  <c r="M94" i="39" s="1"/>
  <c r="N93" i="39"/>
  <c r="L63" i="40"/>
  <c r="G5" i="40"/>
  <c r="G6" i="40" s="1"/>
  <c r="N99" i="39"/>
  <c r="J99" i="39" s="1"/>
  <c r="C101" i="40"/>
  <c r="L103" i="40" s="1"/>
  <c r="L98" i="41"/>
  <c r="H138" i="9" s="1"/>
  <c r="F50" i="9"/>
  <c r="D33" i="9"/>
  <c r="F16" i="18"/>
  <c r="F52" i="18" s="1"/>
  <c r="D50" i="9"/>
  <c r="L172" i="20"/>
  <c r="F20" i="20"/>
  <c r="L185" i="18"/>
  <c r="D113" i="9" s="1"/>
  <c r="E89" i="38"/>
  <c r="L136" i="20"/>
  <c r="N40" i="29" s="1"/>
  <c r="L73" i="17"/>
  <c r="K22" i="9" s="1"/>
  <c r="L43" i="20"/>
  <c r="N61" i="39" s="1"/>
  <c r="F118" i="9"/>
  <c r="L107" i="19"/>
  <c r="L142" i="20"/>
  <c r="G86" i="38"/>
  <c r="E94" i="38"/>
  <c r="G94" i="38" s="1"/>
  <c r="L56" i="17"/>
  <c r="N12" i="39"/>
  <c r="J12" i="39" s="1"/>
  <c r="L191" i="18"/>
  <c r="C196" i="18" s="1"/>
  <c r="E19" i="38"/>
  <c r="G14" i="38"/>
  <c r="E28" i="38"/>
  <c r="G28" i="38" s="1"/>
  <c r="G17" i="38"/>
  <c r="T118" i="18"/>
  <c r="C57" i="9"/>
  <c r="L101" i="19"/>
  <c r="L98" i="18"/>
  <c r="D106" i="9" s="1"/>
  <c r="M12" i="9"/>
  <c r="M22" i="9" s="1"/>
  <c r="K6" i="9" l="1"/>
  <c r="E212" i="9"/>
  <c r="C212" i="9"/>
  <c r="I6" i="9"/>
  <c r="E206" i="9"/>
  <c r="H4" i="9"/>
  <c r="C199" i="9"/>
  <c r="H6" i="9"/>
  <c r="E199" i="9"/>
  <c r="E79" i="9"/>
  <c r="R16" i="27"/>
  <c r="P16" i="27"/>
  <c r="F127" i="9"/>
  <c r="N45" i="29"/>
  <c r="R45" i="29" s="1"/>
  <c r="F125" i="9"/>
  <c r="N41" i="29"/>
  <c r="G7" i="17"/>
  <c r="G8" i="17" s="1"/>
  <c r="I45" i="17" s="1"/>
  <c r="I66" i="17" s="1"/>
  <c r="T119" i="18"/>
  <c r="N50" i="39"/>
  <c r="J50" i="39" s="1"/>
  <c r="M50" i="39" s="1"/>
  <c r="P50" i="39" s="1"/>
  <c r="I41" i="19" s="1"/>
  <c r="F66" i="17"/>
  <c r="C47" i="9" s="1"/>
  <c r="F33" i="19"/>
  <c r="F93" i="19" s="1"/>
  <c r="F40" i="9"/>
  <c r="K23" i="9"/>
  <c r="D40" i="9"/>
  <c r="K4" i="9"/>
  <c r="L61" i="19"/>
  <c r="C64" i="19" s="1"/>
  <c r="N53" i="39" s="1"/>
  <c r="J53" i="39" s="1"/>
  <c r="M53" i="39" s="1"/>
  <c r="P53" i="39" s="1"/>
  <c r="H51" i="9"/>
  <c r="F24" i="9"/>
  <c r="E184" i="9" s="1"/>
  <c r="H40" i="9"/>
  <c r="G53" i="9"/>
  <c r="L130" i="40"/>
  <c r="F69" i="20"/>
  <c r="F98" i="19" s="1"/>
  <c r="E55" i="9" s="1"/>
  <c r="J93" i="39"/>
  <c r="M93" i="39" s="1"/>
  <c r="P93" i="39" s="1"/>
  <c r="I62" i="40" s="1"/>
  <c r="G90" i="9" s="1"/>
  <c r="L124" i="40"/>
  <c r="L110" i="19"/>
  <c r="F52" i="9" s="1"/>
  <c r="F22" i="38"/>
  <c r="L92" i="41"/>
  <c r="H137" i="9" s="1"/>
  <c r="F23" i="41"/>
  <c r="F124" i="38"/>
  <c r="G121" i="38"/>
  <c r="L18" i="41" s="1"/>
  <c r="C78" i="40"/>
  <c r="L82" i="40" s="1"/>
  <c r="L119" i="40" s="1"/>
  <c r="N95" i="39"/>
  <c r="J95" i="39" s="1"/>
  <c r="P99" i="39"/>
  <c r="I102" i="40" s="1"/>
  <c r="G96" i="9" s="1"/>
  <c r="M99" i="39"/>
  <c r="G89" i="38"/>
  <c r="C89" i="38" s="1"/>
  <c r="F27" i="20"/>
  <c r="C184" i="20"/>
  <c r="L187" i="20" s="1"/>
  <c r="R46" i="29"/>
  <c r="E40" i="38"/>
  <c r="G40" i="38" s="1"/>
  <c r="G51" i="38"/>
  <c r="T120" i="18"/>
  <c r="E38" i="38"/>
  <c r="P28" i="29"/>
  <c r="R28" i="29"/>
  <c r="L199" i="18"/>
  <c r="C23" i="9"/>
  <c r="F45" i="9"/>
  <c r="D115" i="9"/>
  <c r="L84" i="17"/>
  <c r="L106" i="19"/>
  <c r="J61" i="39"/>
  <c r="M61" i="39" s="1"/>
  <c r="P61" i="39" s="1"/>
  <c r="L83" i="17"/>
  <c r="F77" i="17"/>
  <c r="C53" i="9" s="1"/>
  <c r="L77" i="17"/>
  <c r="D22" i="9" s="1"/>
  <c r="C170" i="9" s="1"/>
  <c r="M12" i="39"/>
  <c r="P12" i="39"/>
  <c r="I55" i="17" s="1"/>
  <c r="C77" i="9" s="1"/>
  <c r="L48" i="17"/>
  <c r="F23" i="18"/>
  <c r="G19" i="38"/>
  <c r="L92" i="18"/>
  <c r="F103" i="19"/>
  <c r="E53" i="9" s="1"/>
  <c r="F124" i="9"/>
  <c r="L105" i="19"/>
  <c r="L111" i="19"/>
  <c r="F129" i="9"/>
  <c r="E80" i="9"/>
  <c r="K5" i="9" l="1"/>
  <c r="D212" i="9"/>
  <c r="D163" i="9"/>
  <c r="D164" i="9"/>
  <c r="C171" i="9"/>
  <c r="F6" i="9"/>
  <c r="E185" i="9"/>
  <c r="F44" i="17"/>
  <c r="N47" i="29"/>
  <c r="N48" i="29"/>
  <c r="C75" i="9"/>
  <c r="F68" i="17"/>
  <c r="L70" i="19"/>
  <c r="C73" i="19" s="1"/>
  <c r="L75" i="19" s="1"/>
  <c r="C78" i="19" s="1"/>
  <c r="L81" i="19" s="1"/>
  <c r="C84" i="19" s="1"/>
  <c r="L88" i="19" s="1"/>
  <c r="G24" i="9"/>
  <c r="E191" i="9" s="1"/>
  <c r="H35" i="9"/>
  <c r="F70" i="17"/>
  <c r="F117" i="40"/>
  <c r="F95" i="19"/>
  <c r="H52" i="9"/>
  <c r="P45" i="29"/>
  <c r="G23" i="9"/>
  <c r="D191" i="9" s="1"/>
  <c r="L76" i="17"/>
  <c r="E22" i="9" s="1"/>
  <c r="D105" i="9"/>
  <c r="M95" i="39"/>
  <c r="P95" i="39" s="1"/>
  <c r="I73" i="40" s="1"/>
  <c r="G92" i="9" s="1"/>
  <c r="D24" i="9"/>
  <c r="E170" i="9" s="1"/>
  <c r="D89" i="38"/>
  <c r="L123" i="40"/>
  <c r="D121" i="38"/>
  <c r="C121" i="38"/>
  <c r="N96" i="39"/>
  <c r="J96" i="39" s="1"/>
  <c r="C143" i="39"/>
  <c r="C22" i="41"/>
  <c r="L25" i="41" s="1"/>
  <c r="L22" i="20"/>
  <c r="C142" i="39" s="1"/>
  <c r="S61" i="39"/>
  <c r="D19" i="38"/>
  <c r="L130" i="18"/>
  <c r="D109" i="9" s="1"/>
  <c r="I41" i="20"/>
  <c r="I65" i="19"/>
  <c r="E83" i="9" s="1"/>
  <c r="F151" i="9"/>
  <c r="N23" i="20"/>
  <c r="P46" i="29"/>
  <c r="F5" i="9"/>
  <c r="F51" i="9"/>
  <c r="F43" i="17"/>
  <c r="C44" i="9"/>
  <c r="F35" i="9"/>
  <c r="D23" i="9"/>
  <c r="D170" i="9" s="1"/>
  <c r="D52" i="9"/>
  <c r="G22" i="9"/>
  <c r="C191" i="9" s="1"/>
  <c r="D51" i="9"/>
  <c r="F22" i="9"/>
  <c r="C184" i="9" s="1"/>
  <c r="E50" i="38"/>
  <c r="G38" i="38"/>
  <c r="E42" i="38"/>
  <c r="E43" i="38"/>
  <c r="G43" i="38" s="1"/>
  <c r="G44" i="38" s="1"/>
  <c r="D35" i="9"/>
  <c r="L47" i="17"/>
  <c r="L49" i="17" s="1"/>
  <c r="C113" i="18"/>
  <c r="R40" i="29"/>
  <c r="P40" i="29"/>
  <c r="C19" i="38"/>
  <c r="L18" i="18"/>
  <c r="F56" i="9"/>
  <c r="E23" i="9"/>
  <c r="D177" i="9" s="1"/>
  <c r="L188" i="20"/>
  <c r="C191" i="20"/>
  <c r="R48" i="29"/>
  <c r="C5" i="9"/>
  <c r="R41" i="29"/>
  <c r="P41" i="29"/>
  <c r="C203" i="18"/>
  <c r="L207" i="18" s="1"/>
  <c r="L78" i="17" s="1"/>
  <c r="C149" i="9" s="1"/>
  <c r="L200" i="18"/>
  <c r="E82" i="9"/>
  <c r="C177" i="9" l="1"/>
  <c r="D160" i="9"/>
  <c r="C160" i="9"/>
  <c r="C214" i="9" s="1"/>
  <c r="C185" i="9"/>
  <c r="E171" i="9"/>
  <c r="G5" i="9"/>
  <c r="D192" i="9"/>
  <c r="G4" i="9"/>
  <c r="C192" i="9"/>
  <c r="E5" i="9"/>
  <c r="D178" i="9"/>
  <c r="G6" i="9"/>
  <c r="E192" i="9"/>
  <c r="D5" i="9"/>
  <c r="D171" i="9"/>
  <c r="N44" i="27"/>
  <c r="N43" i="27"/>
  <c r="R43" i="27" s="1"/>
  <c r="C31" i="9"/>
  <c r="N55" i="39"/>
  <c r="J55" i="39" s="1"/>
  <c r="M55" i="39" s="1"/>
  <c r="P55" i="39" s="1"/>
  <c r="I79" i="19" s="1"/>
  <c r="N54" i="39"/>
  <c r="J54" i="39" s="1"/>
  <c r="M54" i="39" s="1"/>
  <c r="P54" i="39" s="1"/>
  <c r="I74" i="19" s="1"/>
  <c r="E84" i="9" s="1"/>
  <c r="L23" i="9"/>
  <c r="D213" i="9" s="1"/>
  <c r="D6" i="9"/>
  <c r="L80" i="17"/>
  <c r="D57" i="9" s="1"/>
  <c r="H56" i="9"/>
  <c r="L84" i="40"/>
  <c r="M96" i="39"/>
  <c r="P96" i="39" s="1"/>
  <c r="I79" i="40" s="1"/>
  <c r="G93" i="9" s="1"/>
  <c r="N19" i="41"/>
  <c r="L19" i="41" s="1"/>
  <c r="N26" i="42" s="1"/>
  <c r="C26" i="20"/>
  <c r="L29" i="20" s="1"/>
  <c r="C33" i="20" s="1"/>
  <c r="L36" i="20" s="1"/>
  <c r="C46" i="20" s="1"/>
  <c r="L49" i="20" s="1"/>
  <c r="E24" i="9"/>
  <c r="L195" i="20"/>
  <c r="L114" i="19" s="1"/>
  <c r="L23" i="20"/>
  <c r="F114" i="18"/>
  <c r="F144" i="18" s="1"/>
  <c r="F73" i="17" s="1"/>
  <c r="N19" i="18"/>
  <c r="L19" i="18" s="1"/>
  <c r="N20" i="27" s="1"/>
  <c r="N26" i="41"/>
  <c r="N33" i="41" s="1"/>
  <c r="N43" i="41" s="1"/>
  <c r="P48" i="29"/>
  <c r="C22" i="18"/>
  <c r="C140" i="39"/>
  <c r="G50" i="38"/>
  <c r="E53" i="38"/>
  <c r="E59" i="38"/>
  <c r="G59" i="38" s="1"/>
  <c r="C59" i="17"/>
  <c r="C50" i="17"/>
  <c r="L52" i="17" s="1"/>
  <c r="D151" i="9"/>
  <c r="F64" i="9"/>
  <c r="D224" i="9" s="1"/>
  <c r="D56" i="9"/>
  <c r="C178" i="9"/>
  <c r="R47" i="29"/>
  <c r="P47" i="29"/>
  <c r="D4" i="9"/>
  <c r="N38" i="39"/>
  <c r="J38" i="39" s="1"/>
  <c r="S38" i="39" s="1"/>
  <c r="N37" i="39"/>
  <c r="C58" i="9"/>
  <c r="C210" i="18"/>
  <c r="N45" i="27" s="1"/>
  <c r="N81" i="39"/>
  <c r="N80" i="39"/>
  <c r="N56" i="39"/>
  <c r="J56" i="39" s="1"/>
  <c r="M56" i="39" s="1"/>
  <c r="P56" i="39" s="1"/>
  <c r="I85" i="19" s="1"/>
  <c r="F4" i="9"/>
  <c r="D193" i="9" l="1"/>
  <c r="D200" i="9"/>
  <c r="D207" i="9"/>
  <c r="D214" i="9"/>
  <c r="C186" i="9"/>
  <c r="C207" i="9"/>
  <c r="C200" i="9"/>
  <c r="C193" i="9"/>
  <c r="E160" i="9"/>
  <c r="E214" i="9" s="1"/>
  <c r="E177" i="9"/>
  <c r="D165" i="9"/>
  <c r="D186" i="9"/>
  <c r="C179" i="9"/>
  <c r="D179" i="9"/>
  <c r="C165" i="9"/>
  <c r="C172" i="9"/>
  <c r="D172" i="9"/>
  <c r="D227" i="9"/>
  <c r="D239" i="9"/>
  <c r="D243" i="9"/>
  <c r="D251" i="9"/>
  <c r="D235" i="9"/>
  <c r="D231" i="9"/>
  <c r="D247" i="9"/>
  <c r="E178" i="9"/>
  <c r="L5" i="9"/>
  <c r="D161" i="9"/>
  <c r="N58" i="39"/>
  <c r="N25" i="29"/>
  <c r="E31" i="9"/>
  <c r="E149" i="9"/>
  <c r="E4" i="9"/>
  <c r="L22" i="9"/>
  <c r="L24" i="9"/>
  <c r="E213" i="9" s="1"/>
  <c r="Q9" i="9"/>
  <c r="G29" i="9"/>
  <c r="F89" i="40"/>
  <c r="F88" i="40"/>
  <c r="N22" i="42" s="1"/>
  <c r="N30" i="20"/>
  <c r="N50" i="20" s="1"/>
  <c r="N60" i="20" s="1"/>
  <c r="C198" i="20"/>
  <c r="R25" i="29"/>
  <c r="E6" i="9"/>
  <c r="N101" i="39"/>
  <c r="J101" i="39" s="1"/>
  <c r="M101" i="39" s="1"/>
  <c r="P101" i="39" s="1"/>
  <c r="I17" i="41" s="1"/>
  <c r="G130" i="9" s="1"/>
  <c r="N16" i="42"/>
  <c r="R26" i="42"/>
  <c r="J37" i="39"/>
  <c r="S37" i="39" s="1"/>
  <c r="C55" i="9"/>
  <c r="C29" i="41"/>
  <c r="L32" i="41" s="1"/>
  <c r="L26" i="41"/>
  <c r="N27" i="42" s="1"/>
  <c r="N13" i="39"/>
  <c r="J13" i="39" s="1"/>
  <c r="L61" i="17"/>
  <c r="N14" i="39"/>
  <c r="J81" i="39"/>
  <c r="M81" i="39" s="1"/>
  <c r="P81" i="39" s="1"/>
  <c r="L25" i="18"/>
  <c r="N26" i="18" s="1"/>
  <c r="N33" i="18" s="1"/>
  <c r="N43" i="18" s="1"/>
  <c r="L216" i="18"/>
  <c r="L86" i="17" s="1"/>
  <c r="C49" i="9" s="1"/>
  <c r="C211" i="18"/>
  <c r="C212" i="18" s="1"/>
  <c r="C213" i="18" s="1"/>
  <c r="P44" i="27"/>
  <c r="R44" i="27"/>
  <c r="G53" i="38"/>
  <c r="L129" i="18"/>
  <c r="L79" i="17" s="1"/>
  <c r="D34" i="9" s="1"/>
  <c r="D64" i="9" s="1"/>
  <c r="C224" i="9" s="1"/>
  <c r="C235" i="9" s="1"/>
  <c r="C53" i="20"/>
  <c r="L56" i="20" s="1"/>
  <c r="C59" i="20" s="1"/>
  <c r="J80" i="39"/>
  <c r="M80" i="39" s="1"/>
  <c r="P80" i="39" s="1"/>
  <c r="J58" i="39"/>
  <c r="M58" i="39" s="1"/>
  <c r="P58" i="39" s="1"/>
  <c r="E85" i="9"/>
  <c r="E193" i="9" l="1"/>
  <c r="E207" i="9"/>
  <c r="E200" i="9"/>
  <c r="C161" i="9"/>
  <c r="E172" i="9"/>
  <c r="E179" i="9"/>
  <c r="E165" i="9"/>
  <c r="E186" i="9"/>
  <c r="C251" i="9"/>
  <c r="C227" i="9"/>
  <c r="E247" i="9"/>
  <c r="C247" i="9"/>
  <c r="C231" i="9"/>
  <c r="C239" i="9"/>
  <c r="C243" i="9"/>
  <c r="D194" i="9"/>
  <c r="D208" i="9"/>
  <c r="D201" i="9"/>
  <c r="D215" i="9"/>
  <c r="C213" i="9"/>
  <c r="D180" i="9"/>
  <c r="D187" i="9"/>
  <c r="D166" i="9"/>
  <c r="D173" i="9"/>
  <c r="L4" i="9"/>
  <c r="L6" i="9"/>
  <c r="E161" i="9"/>
  <c r="E215" i="9" s="1"/>
  <c r="R22" i="42"/>
  <c r="P22" i="42"/>
  <c r="C199" i="20"/>
  <c r="C200" i="20" s="1"/>
  <c r="C201" i="20" s="1"/>
  <c r="N49" i="29"/>
  <c r="R49" i="29" s="1"/>
  <c r="J14" i="39"/>
  <c r="S14" i="39" s="1"/>
  <c r="C34" i="15"/>
  <c r="L50" i="20"/>
  <c r="P9" i="9"/>
  <c r="L30" i="20"/>
  <c r="K7" i="40"/>
  <c r="L95" i="40" s="1"/>
  <c r="F113" i="40"/>
  <c r="T119" i="41"/>
  <c r="E140" i="38" s="1"/>
  <c r="T118" i="41"/>
  <c r="F114" i="40"/>
  <c r="P25" i="29"/>
  <c r="L204" i="20"/>
  <c r="L113" i="19" s="1"/>
  <c r="E49" i="9" s="1"/>
  <c r="R16" i="42"/>
  <c r="S101" i="39"/>
  <c r="L99" i="19"/>
  <c r="E29" i="9" s="1"/>
  <c r="E86" i="9"/>
  <c r="P16" i="42"/>
  <c r="P26" i="42"/>
  <c r="N102" i="39"/>
  <c r="J102" i="39" s="1"/>
  <c r="M102" i="39" s="1"/>
  <c r="P102" i="39" s="1"/>
  <c r="I24" i="41" s="1"/>
  <c r="G131" i="9" s="1"/>
  <c r="L33" i="41"/>
  <c r="C36" i="41"/>
  <c r="L39" i="41" s="1"/>
  <c r="L215" i="18"/>
  <c r="I21" i="20"/>
  <c r="E116" i="9" s="1"/>
  <c r="S80" i="39"/>
  <c r="I186" i="20"/>
  <c r="I192" i="20"/>
  <c r="S58" i="39"/>
  <c r="R20" i="27"/>
  <c r="P20" i="27"/>
  <c r="C29" i="18"/>
  <c r="L32" i="18" s="1"/>
  <c r="L26" i="18"/>
  <c r="N21" i="27" s="1"/>
  <c r="M13" i="39"/>
  <c r="P13" i="39"/>
  <c r="I60" i="17" s="1"/>
  <c r="L116" i="18"/>
  <c r="C53" i="38"/>
  <c r="D53" i="38"/>
  <c r="S81" i="39"/>
  <c r="C60" i="20"/>
  <c r="P43" i="27"/>
  <c r="E208" i="9" l="1"/>
  <c r="E201" i="9"/>
  <c r="C215" i="9"/>
  <c r="C208" i="9"/>
  <c r="C201" i="9"/>
  <c r="E194" i="9"/>
  <c r="E180" i="9"/>
  <c r="C180" i="9"/>
  <c r="C194" i="9"/>
  <c r="C187" i="9"/>
  <c r="C166" i="9"/>
  <c r="C173" i="9"/>
  <c r="E187" i="9"/>
  <c r="E166" i="9"/>
  <c r="E173" i="9"/>
  <c r="N29" i="29"/>
  <c r="N30" i="29"/>
  <c r="R30" i="29" s="1"/>
  <c r="M14" i="39"/>
  <c r="P14" i="39" s="1"/>
  <c r="N29" i="42"/>
  <c r="R29" i="42" s="1"/>
  <c r="N28" i="42"/>
  <c r="P28" i="42" s="1"/>
  <c r="N27" i="29"/>
  <c r="P27" i="29" s="1"/>
  <c r="N26" i="29"/>
  <c r="R26" i="29" s="1"/>
  <c r="N59" i="39"/>
  <c r="J59" i="39" s="1"/>
  <c r="M59" i="39" s="1"/>
  <c r="P59" i="39" s="1"/>
  <c r="I28" i="20" s="1"/>
  <c r="E117" i="9" s="1"/>
  <c r="N60" i="39"/>
  <c r="J60" i="39" s="1"/>
  <c r="M60" i="39" s="1"/>
  <c r="P60" i="39" s="1"/>
  <c r="I34" i="20" s="1"/>
  <c r="E118" i="9" s="1"/>
  <c r="N63" i="39"/>
  <c r="J63" i="39" s="1"/>
  <c r="M63" i="39" s="1"/>
  <c r="P63" i="39" s="1"/>
  <c r="N62" i="39"/>
  <c r="J62" i="39" s="1"/>
  <c r="M62" i="39" s="1"/>
  <c r="P62" i="39" s="1"/>
  <c r="R29" i="29"/>
  <c r="C32" i="10"/>
  <c r="G57" i="9"/>
  <c r="G47" i="9"/>
  <c r="K8" i="40"/>
  <c r="F90" i="40" s="1"/>
  <c r="F91" i="40" s="1"/>
  <c r="F115" i="40" s="1"/>
  <c r="P49" i="29"/>
  <c r="E145" i="38"/>
  <c r="G145" i="38" s="1"/>
  <c r="G146" i="38" s="1"/>
  <c r="F114" i="41" s="1"/>
  <c r="F144" i="41" s="1"/>
  <c r="F120" i="40" s="1"/>
  <c r="E152" i="38"/>
  <c r="G140" i="38"/>
  <c r="E144" i="38"/>
  <c r="G153" i="38"/>
  <c r="T120" i="41"/>
  <c r="E142" i="38"/>
  <c r="G142" i="38" s="1"/>
  <c r="L130" i="41" s="1"/>
  <c r="L203" i="20"/>
  <c r="C161" i="39" s="1"/>
  <c r="P82" i="39" s="1"/>
  <c r="I202" i="20" s="1"/>
  <c r="P29" i="42"/>
  <c r="S102" i="39"/>
  <c r="P27" i="42"/>
  <c r="R27" i="42"/>
  <c r="N104" i="39"/>
  <c r="N103" i="39"/>
  <c r="P45" i="27"/>
  <c r="C160" i="39"/>
  <c r="P39" i="39" s="1"/>
  <c r="I214" i="18" s="1"/>
  <c r="C42" i="41"/>
  <c r="I17" i="18"/>
  <c r="C98" i="9" s="1"/>
  <c r="P30" i="29"/>
  <c r="E129" i="9"/>
  <c r="C120" i="18"/>
  <c r="L123" i="18" s="1"/>
  <c r="C127" i="18" s="1"/>
  <c r="L131" i="18" s="1"/>
  <c r="C141" i="39"/>
  <c r="L117" i="18"/>
  <c r="N32" i="27" s="1"/>
  <c r="C78" i="9"/>
  <c r="N15" i="39"/>
  <c r="F62" i="20"/>
  <c r="F61" i="20" s="1"/>
  <c r="F97" i="19" s="1"/>
  <c r="C36" i="18"/>
  <c r="L39" i="18" s="1"/>
  <c r="L33" i="18"/>
  <c r="S59" i="39" l="1"/>
  <c r="R27" i="29"/>
  <c r="N124" i="18"/>
  <c r="L124" i="18" s="1"/>
  <c r="N23" i="27"/>
  <c r="N22" i="27"/>
  <c r="R28" i="42"/>
  <c r="J15" i="39"/>
  <c r="S15" i="39" s="1"/>
  <c r="P26" i="29"/>
  <c r="S60" i="39"/>
  <c r="P29" i="29"/>
  <c r="I92" i="40"/>
  <c r="I114" i="40" s="1"/>
  <c r="G44" i="9" s="1"/>
  <c r="G55" i="9"/>
  <c r="L127" i="40"/>
  <c r="H141" i="9"/>
  <c r="H151" i="9" s="1"/>
  <c r="L94" i="40"/>
  <c r="C113" i="41"/>
  <c r="G152" i="38"/>
  <c r="E155" i="38"/>
  <c r="E161" i="38"/>
  <c r="G161" i="38" s="1"/>
  <c r="J103" i="39"/>
  <c r="M103" i="39" s="1"/>
  <c r="P103" i="39" s="1"/>
  <c r="I31" i="41" s="1"/>
  <c r="G132" i="9" s="1"/>
  <c r="J104" i="39"/>
  <c r="M104" i="39" s="1"/>
  <c r="P104" i="39" s="1"/>
  <c r="I37" i="41" s="1"/>
  <c r="G133" i="9" s="1"/>
  <c r="R45" i="27"/>
  <c r="C43" i="41"/>
  <c r="S62" i="39"/>
  <c r="I48" i="20"/>
  <c r="I54" i="20"/>
  <c r="S63" i="39"/>
  <c r="R21" i="27"/>
  <c r="P21" i="27"/>
  <c r="N16" i="39"/>
  <c r="N17" i="39"/>
  <c r="N26" i="39"/>
  <c r="C42" i="18"/>
  <c r="C135" i="18"/>
  <c r="L132" i="18"/>
  <c r="E63" i="9"/>
  <c r="L64" i="20"/>
  <c r="C68" i="20" s="1"/>
  <c r="L65" i="20"/>
  <c r="N31" i="29" s="1"/>
  <c r="M15" i="39" l="1"/>
  <c r="P15" i="39" s="1"/>
  <c r="N34" i="27"/>
  <c r="R34" i="27" s="1"/>
  <c r="N33" i="27"/>
  <c r="P33" i="27" s="1"/>
  <c r="J17" i="39"/>
  <c r="S17" i="39"/>
  <c r="J16" i="39"/>
  <c r="S16" i="39"/>
  <c r="G94" i="9"/>
  <c r="G58" i="9"/>
  <c r="H57" i="9"/>
  <c r="L129" i="41"/>
  <c r="L126" i="40" s="1"/>
  <c r="G155" i="38"/>
  <c r="L96" i="40"/>
  <c r="C97" i="40" s="1"/>
  <c r="L99" i="40" s="1"/>
  <c r="C106" i="40"/>
  <c r="L108" i="40" s="1"/>
  <c r="N100" i="39"/>
  <c r="J100" i="39" s="1"/>
  <c r="S104" i="39"/>
  <c r="S103" i="39"/>
  <c r="N27" i="39"/>
  <c r="J27" i="39" s="1"/>
  <c r="M27" i="39" s="1"/>
  <c r="P27" i="39" s="1"/>
  <c r="F44" i="41"/>
  <c r="N28" i="39"/>
  <c r="J28" i="39" s="1"/>
  <c r="M28" i="39" s="1"/>
  <c r="P28" i="39" s="1"/>
  <c r="I24" i="18"/>
  <c r="C99" i="9" s="1"/>
  <c r="E119" i="9"/>
  <c r="M17" i="39"/>
  <c r="P17" i="39" s="1"/>
  <c r="M16" i="39"/>
  <c r="P16" i="39" s="1"/>
  <c r="N64" i="39"/>
  <c r="P31" i="29"/>
  <c r="R22" i="27"/>
  <c r="P22" i="27"/>
  <c r="R23" i="27"/>
  <c r="P23" i="27"/>
  <c r="C43" i="18"/>
  <c r="F44" i="18" s="1"/>
  <c r="F136" i="18"/>
  <c r="F137" i="18" s="1"/>
  <c r="R32" i="27"/>
  <c r="P32" i="27"/>
  <c r="L71" i="20"/>
  <c r="C75" i="20" s="1"/>
  <c r="L77" i="20" s="1"/>
  <c r="J26" i="39"/>
  <c r="M26" i="39" s="1"/>
  <c r="P26" i="39" s="1"/>
  <c r="L139" i="18" l="1"/>
  <c r="H34" i="9"/>
  <c r="H64" i="9" s="1"/>
  <c r="E224" i="9" s="1"/>
  <c r="P100" i="39"/>
  <c r="I107" i="40" s="1"/>
  <c r="G97" i="9" s="1"/>
  <c r="M100" i="39"/>
  <c r="L116" i="41"/>
  <c r="C155" i="38"/>
  <c r="D155" i="38"/>
  <c r="F45" i="41"/>
  <c r="L47" i="41" s="1"/>
  <c r="C51" i="41" s="1"/>
  <c r="L54" i="41" s="1"/>
  <c r="S27" i="39"/>
  <c r="L48" i="41"/>
  <c r="N30" i="42" s="1"/>
  <c r="S28" i="39"/>
  <c r="N72" i="20"/>
  <c r="L72" i="20" s="1"/>
  <c r="P34" i="27"/>
  <c r="R33" i="27"/>
  <c r="I128" i="18"/>
  <c r="C109" i="9" s="1"/>
  <c r="I37" i="18"/>
  <c r="C101" i="9" s="1"/>
  <c r="I115" i="18"/>
  <c r="C107" i="9" s="1"/>
  <c r="I122" i="18"/>
  <c r="C108" i="9" s="1"/>
  <c r="I31" i="18"/>
  <c r="C100" i="9" s="1"/>
  <c r="C143" i="18"/>
  <c r="L146" i="18" s="1"/>
  <c r="L140" i="18"/>
  <c r="S26" i="39"/>
  <c r="L48" i="18"/>
  <c r="N24" i="27" s="1"/>
  <c r="F45" i="18"/>
  <c r="F72" i="17" s="1"/>
  <c r="C63" i="9" s="1"/>
  <c r="J64" i="39"/>
  <c r="M64" i="39" s="1"/>
  <c r="P64" i="39" s="1"/>
  <c r="R31" i="29"/>
  <c r="L78" i="20"/>
  <c r="N67" i="39" s="1"/>
  <c r="C83" i="20"/>
  <c r="E227" i="9" l="1"/>
  <c r="E251" i="9"/>
  <c r="E239" i="9"/>
  <c r="E243" i="9"/>
  <c r="E231" i="9"/>
  <c r="E235" i="9"/>
  <c r="N65" i="39"/>
  <c r="N32" i="29"/>
  <c r="N33" i="29"/>
  <c r="R33" i="29" s="1"/>
  <c r="N29" i="39"/>
  <c r="J29" i="39" s="1"/>
  <c r="M29" i="39" s="1"/>
  <c r="P29" i="39" s="1"/>
  <c r="N35" i="27"/>
  <c r="R9" i="9"/>
  <c r="L117" i="41"/>
  <c r="N38" i="42" s="1"/>
  <c r="C144" i="39"/>
  <c r="C120" i="41"/>
  <c r="N105" i="39"/>
  <c r="J105" i="39" s="1"/>
  <c r="M105" i="39" s="1"/>
  <c r="P105" i="39" s="1"/>
  <c r="I46" i="41" s="1"/>
  <c r="G134" i="9" s="1"/>
  <c r="N66" i="39"/>
  <c r="J66" i="39" s="1"/>
  <c r="M66" i="39" s="1"/>
  <c r="P66" i="39" s="1"/>
  <c r="I76" i="20" s="1"/>
  <c r="P32" i="29"/>
  <c r="C58" i="41"/>
  <c r="L60" i="41" s="1"/>
  <c r="N55" i="41"/>
  <c r="L55" i="41" s="1"/>
  <c r="S64" i="39"/>
  <c r="I63" i="20"/>
  <c r="E120" i="9" s="1"/>
  <c r="L47" i="18"/>
  <c r="C51" i="18" s="1"/>
  <c r="N18" i="39"/>
  <c r="J65" i="39"/>
  <c r="M65" i="39" s="1"/>
  <c r="P65" i="39" s="1"/>
  <c r="J67" i="39"/>
  <c r="M67" i="39" s="1"/>
  <c r="P67" i="39" s="1"/>
  <c r="L147" i="18"/>
  <c r="C150" i="18"/>
  <c r="L154" i="18" s="1"/>
  <c r="N32" i="42" l="1"/>
  <c r="N31" i="42"/>
  <c r="N36" i="27"/>
  <c r="N37" i="27"/>
  <c r="J18" i="39"/>
  <c r="S18" i="39" s="1"/>
  <c r="L61" i="41"/>
  <c r="N33" i="42" s="1"/>
  <c r="C65" i="41"/>
  <c r="C34" i="37"/>
  <c r="L123" i="41"/>
  <c r="C127" i="41" s="1"/>
  <c r="L131" i="41" s="1"/>
  <c r="N113" i="39"/>
  <c r="R32" i="29"/>
  <c r="P31" i="42"/>
  <c r="R31" i="42"/>
  <c r="R30" i="42"/>
  <c r="P30" i="42"/>
  <c r="S105" i="39"/>
  <c r="S29" i="39"/>
  <c r="N30" i="39"/>
  <c r="N31" i="39"/>
  <c r="N107" i="39"/>
  <c r="N106" i="39"/>
  <c r="J106" i="39" s="1"/>
  <c r="I87" i="20"/>
  <c r="I70" i="20"/>
  <c r="E121" i="9" s="1"/>
  <c r="L54" i="18"/>
  <c r="C58" i="18" s="1"/>
  <c r="L60" i="18" s="1"/>
  <c r="C158" i="18"/>
  <c r="L155" i="18"/>
  <c r="N38" i="27" s="1"/>
  <c r="R24" i="27"/>
  <c r="P24" i="27"/>
  <c r="S65" i="39"/>
  <c r="M18" i="39"/>
  <c r="P18" i="39" s="1"/>
  <c r="R35" i="27"/>
  <c r="P35" i="27"/>
  <c r="S67" i="39"/>
  <c r="P33" i="29"/>
  <c r="N108" i="39" l="1"/>
  <c r="J108" i="39" s="1"/>
  <c r="M108" i="39" s="1"/>
  <c r="P108" i="39" s="1"/>
  <c r="I69" i="41" s="1"/>
  <c r="N124" i="41"/>
  <c r="L124" i="41" s="1"/>
  <c r="J113" i="39"/>
  <c r="M113" i="39" s="1"/>
  <c r="P113" i="39" s="1"/>
  <c r="I115" i="41" s="1"/>
  <c r="G139" i="9" s="1"/>
  <c r="P38" i="42"/>
  <c r="R38" i="42"/>
  <c r="C135" i="41"/>
  <c r="L132" i="41"/>
  <c r="S108" i="39"/>
  <c r="O65" i="41" s="1"/>
  <c r="F66" i="41" s="1"/>
  <c r="R32" i="42"/>
  <c r="P32" i="42"/>
  <c r="S106" i="39"/>
  <c r="M106" i="39"/>
  <c r="P106" i="39" s="1"/>
  <c r="I53" i="41" s="1"/>
  <c r="J107" i="39"/>
  <c r="M107" i="39" s="1"/>
  <c r="P107" i="39" s="1"/>
  <c r="I59" i="41" s="1"/>
  <c r="N32" i="39"/>
  <c r="J32" i="39" s="1"/>
  <c r="M32" i="39" s="1"/>
  <c r="P32" i="39" s="1"/>
  <c r="J31" i="39"/>
  <c r="M31" i="39" s="1"/>
  <c r="P31" i="39" s="1"/>
  <c r="J30" i="39"/>
  <c r="M30" i="39" s="1"/>
  <c r="P30" i="39" s="1"/>
  <c r="I46" i="18"/>
  <c r="C102" i="9" s="1"/>
  <c r="I138" i="18"/>
  <c r="C110" i="9" s="1"/>
  <c r="O83" i="20"/>
  <c r="F85" i="20" s="1"/>
  <c r="N55" i="18"/>
  <c r="L55" i="18" s="1"/>
  <c r="L61" i="18"/>
  <c r="C65" i="18"/>
  <c r="R36" i="27"/>
  <c r="P36" i="27"/>
  <c r="R37" i="27"/>
  <c r="P37" i="27"/>
  <c r="N25" i="27" l="1"/>
  <c r="N26" i="27"/>
  <c r="N21" i="39"/>
  <c r="J21" i="39" s="1"/>
  <c r="N27" i="27"/>
  <c r="N40" i="42"/>
  <c r="N39" i="42"/>
  <c r="R39" i="42" s="1"/>
  <c r="N114" i="39"/>
  <c r="J114" i="39" s="1"/>
  <c r="M114" i="39" s="1"/>
  <c r="P114" i="39" s="1"/>
  <c r="S113" i="39"/>
  <c r="F136" i="41"/>
  <c r="N115" i="39"/>
  <c r="S107" i="39"/>
  <c r="G135" i="9"/>
  <c r="S31" i="39"/>
  <c r="F84" i="20"/>
  <c r="L88" i="20" s="1"/>
  <c r="S30" i="39"/>
  <c r="I162" i="18"/>
  <c r="I151" i="18"/>
  <c r="I145" i="18"/>
  <c r="S32" i="39"/>
  <c r="O158" i="18" s="1"/>
  <c r="S21" i="39"/>
  <c r="M21" i="39"/>
  <c r="P21" i="39" s="1"/>
  <c r="N19" i="39"/>
  <c r="J19" i="39" s="1"/>
  <c r="N20" i="39"/>
  <c r="J20" i="39" s="1"/>
  <c r="F86" i="20"/>
  <c r="L105" i="20"/>
  <c r="L104" i="19" s="1"/>
  <c r="G96" i="38"/>
  <c r="E96" i="38" s="1"/>
  <c r="P39" i="42" l="1"/>
  <c r="I122" i="41"/>
  <c r="G140" i="9" s="1"/>
  <c r="S114" i="39"/>
  <c r="J115" i="39"/>
  <c r="M115" i="39" s="1"/>
  <c r="P115" i="39" s="1"/>
  <c r="I128" i="41" s="1"/>
  <c r="G141" i="9" s="1"/>
  <c r="P40" i="42"/>
  <c r="R40" i="42"/>
  <c r="F137" i="41"/>
  <c r="L106" i="20"/>
  <c r="F101" i="19"/>
  <c r="E37" i="9" s="1"/>
  <c r="C111" i="9"/>
  <c r="F159" i="18"/>
  <c r="O65" i="18"/>
  <c r="F67" i="18" s="1"/>
  <c r="F68" i="18" s="1"/>
  <c r="F75" i="17" s="1"/>
  <c r="I69" i="18"/>
  <c r="F101" i="20"/>
  <c r="R26" i="27"/>
  <c r="P26" i="27"/>
  <c r="M19" i="39"/>
  <c r="P19" i="39" s="1"/>
  <c r="L90" i="20"/>
  <c r="N34" i="29" s="1"/>
  <c r="C94" i="20"/>
  <c r="L97" i="20" s="1"/>
  <c r="N35" i="29" s="1"/>
  <c r="L89" i="20"/>
  <c r="M20" i="39"/>
  <c r="P20" i="39" s="1"/>
  <c r="R25" i="27"/>
  <c r="P25" i="27"/>
  <c r="L139" i="41" l="1"/>
  <c r="F119" i="40"/>
  <c r="G63" i="9" s="1"/>
  <c r="S115" i="39"/>
  <c r="L140" i="41"/>
  <c r="N41" i="42" s="1"/>
  <c r="C143" i="41"/>
  <c r="L146" i="41" s="1"/>
  <c r="L86" i="18"/>
  <c r="L75" i="17" s="1"/>
  <c r="G26" i="38"/>
  <c r="E26" i="38" s="1"/>
  <c r="F82" i="18" s="1"/>
  <c r="F160" i="18"/>
  <c r="L163" i="18" s="1"/>
  <c r="F67" i="41"/>
  <c r="F66" i="18"/>
  <c r="L87" i="18" s="1"/>
  <c r="L74" i="17" s="1"/>
  <c r="I53" i="18"/>
  <c r="I59" i="18"/>
  <c r="L180" i="18"/>
  <c r="S20" i="39"/>
  <c r="L98" i="20"/>
  <c r="N68" i="39" s="1"/>
  <c r="C100" i="20"/>
  <c r="L103" i="20" s="1"/>
  <c r="C146" i="20"/>
  <c r="L91" i="20"/>
  <c r="N75" i="39" s="1"/>
  <c r="S19" i="39"/>
  <c r="F74" i="17" l="1"/>
  <c r="L147" i="41"/>
  <c r="C150" i="41"/>
  <c r="L154" i="41" s="1"/>
  <c r="N116" i="39"/>
  <c r="C36" i="9"/>
  <c r="C103" i="9"/>
  <c r="L70" i="18"/>
  <c r="C75" i="18" s="1"/>
  <c r="L78" i="18" s="1"/>
  <c r="L179" i="18"/>
  <c r="L82" i="17" s="1"/>
  <c r="F161" i="18"/>
  <c r="F76" i="17" s="1"/>
  <c r="G61" i="38"/>
  <c r="E61" i="38" s="1"/>
  <c r="F175" i="18" s="1"/>
  <c r="L70" i="41"/>
  <c r="L87" i="41"/>
  <c r="F68" i="41"/>
  <c r="F122" i="40" s="1"/>
  <c r="G128" i="38"/>
  <c r="E128" i="38" s="1"/>
  <c r="F82" i="41" s="1"/>
  <c r="L86" i="41"/>
  <c r="L122" i="40" s="1"/>
  <c r="C168" i="18"/>
  <c r="L171" i="18" s="1"/>
  <c r="L164" i="18"/>
  <c r="R35" i="29"/>
  <c r="P35" i="29"/>
  <c r="R34" i="29"/>
  <c r="P34" i="29"/>
  <c r="C109" i="20"/>
  <c r="L104" i="20"/>
  <c r="N36" i="29" s="1"/>
  <c r="J68" i="39"/>
  <c r="M68" i="39" s="1"/>
  <c r="P68" i="39" s="1"/>
  <c r="J75" i="39"/>
  <c r="M75" i="39" s="1"/>
  <c r="P75" i="39" s="1"/>
  <c r="N43" i="42" l="1"/>
  <c r="N42" i="42"/>
  <c r="C48" i="9"/>
  <c r="J116" i="39"/>
  <c r="M116" i="39" s="1"/>
  <c r="P116" i="39" s="1"/>
  <c r="I138" i="41" s="1"/>
  <c r="G142" i="9" s="1"/>
  <c r="C158" i="41"/>
  <c r="L155" i="41"/>
  <c r="P41" i="42"/>
  <c r="R41" i="42"/>
  <c r="N118" i="39"/>
  <c r="N117" i="39"/>
  <c r="C75" i="41"/>
  <c r="L78" i="41" s="1"/>
  <c r="L71" i="18"/>
  <c r="R27" i="27" s="1"/>
  <c r="C38" i="9"/>
  <c r="L71" i="41"/>
  <c r="C90" i="41" s="1"/>
  <c r="F69" i="17"/>
  <c r="C59" i="9" s="1"/>
  <c r="R38" i="27"/>
  <c r="P38" i="27"/>
  <c r="L165" i="18"/>
  <c r="C189" i="18"/>
  <c r="C174" i="18"/>
  <c r="L177" i="18" s="1"/>
  <c r="L172" i="18"/>
  <c r="N39" i="27" s="1"/>
  <c r="I150" i="20"/>
  <c r="I96" i="20"/>
  <c r="R36" i="29"/>
  <c r="P36" i="29"/>
  <c r="S75" i="39"/>
  <c r="N69" i="39"/>
  <c r="N70" i="39"/>
  <c r="L79" i="18"/>
  <c r="N28" i="27" s="1"/>
  <c r="C81" i="18"/>
  <c r="L84" i="18" s="1"/>
  <c r="S68" i="39"/>
  <c r="L93" i="41" l="1"/>
  <c r="N36" i="42"/>
  <c r="N119" i="39"/>
  <c r="N44" i="42"/>
  <c r="T191" i="18"/>
  <c r="N42" i="27"/>
  <c r="G36" i="9"/>
  <c r="S116" i="39"/>
  <c r="L79" i="41"/>
  <c r="J118" i="39"/>
  <c r="M118" i="39" s="1"/>
  <c r="P118" i="39" s="1"/>
  <c r="I151" i="41" s="1"/>
  <c r="J117" i="39"/>
  <c r="M117" i="39" s="1"/>
  <c r="P117" i="39" s="1"/>
  <c r="I145" i="41" s="1"/>
  <c r="R43" i="42"/>
  <c r="P43" i="42"/>
  <c r="P42" i="42"/>
  <c r="R42" i="42"/>
  <c r="R39" i="27"/>
  <c r="C81" i="41"/>
  <c r="L84" i="41" s="1"/>
  <c r="C96" i="41" s="1"/>
  <c r="N37" i="42" s="1"/>
  <c r="C152" i="39"/>
  <c r="P111" i="39" s="1"/>
  <c r="P27" i="27"/>
  <c r="L72" i="18"/>
  <c r="C90" i="18"/>
  <c r="N22" i="39"/>
  <c r="J22" i="39" s="1"/>
  <c r="N33" i="39"/>
  <c r="J33" i="39" s="1"/>
  <c r="M33" i="39" s="1"/>
  <c r="P33" i="39" s="1"/>
  <c r="I170" i="18" s="1"/>
  <c r="L72" i="41"/>
  <c r="L178" i="18"/>
  <c r="N40" i="27" s="1"/>
  <c r="C183" i="18"/>
  <c r="L193" i="18"/>
  <c r="C156" i="39" s="1"/>
  <c r="O109" i="20"/>
  <c r="F110" i="20" s="1"/>
  <c r="L131" i="20" s="1"/>
  <c r="O146" i="20"/>
  <c r="F148" i="20" s="1"/>
  <c r="L85" i="18"/>
  <c r="N29" i="27" s="1"/>
  <c r="C96" i="18"/>
  <c r="J70" i="39"/>
  <c r="M70" i="39" s="1"/>
  <c r="P70" i="39" s="1"/>
  <c r="R28" i="27"/>
  <c r="P28" i="27"/>
  <c r="J69" i="39"/>
  <c r="M69" i="39" s="1"/>
  <c r="P69" i="39" s="1"/>
  <c r="L93" i="18" l="1"/>
  <c r="C146" i="39" s="1"/>
  <c r="P24" i="39" s="1"/>
  <c r="I91" i="18" s="1"/>
  <c r="C105" i="9" s="1"/>
  <c r="N30" i="27"/>
  <c r="R36" i="42"/>
  <c r="P36" i="42"/>
  <c r="L99" i="18"/>
  <c r="N31" i="27"/>
  <c r="N46" i="27" s="1"/>
  <c r="P37" i="42"/>
  <c r="R37" i="42"/>
  <c r="N109" i="39"/>
  <c r="J109" i="39" s="1"/>
  <c r="M109" i="39" s="1"/>
  <c r="P109" i="39" s="1"/>
  <c r="I77" i="41" s="1"/>
  <c r="N34" i="42"/>
  <c r="L186" i="18"/>
  <c r="N41" i="27"/>
  <c r="G143" i="9"/>
  <c r="L85" i="17"/>
  <c r="F78" i="17" s="1"/>
  <c r="M22" i="39"/>
  <c r="P22" i="39" s="1"/>
  <c r="I77" i="18" s="1"/>
  <c r="S118" i="39"/>
  <c r="S117" i="39"/>
  <c r="L85" i="41"/>
  <c r="L99" i="41"/>
  <c r="C153" i="39" s="1"/>
  <c r="P112" i="39" s="1"/>
  <c r="I91" i="41"/>
  <c r="G137" i="9" s="1"/>
  <c r="C148" i="39"/>
  <c r="P35" i="39" s="1"/>
  <c r="I184" i="18" s="1"/>
  <c r="C113" i="9" s="1"/>
  <c r="P39" i="27"/>
  <c r="P33" i="42"/>
  <c r="R33" i="42"/>
  <c r="S109" i="39"/>
  <c r="S33" i="39"/>
  <c r="N23" i="39"/>
  <c r="J23" i="39" s="1"/>
  <c r="P29" i="27"/>
  <c r="P36" i="39"/>
  <c r="N34" i="39"/>
  <c r="S70" i="39"/>
  <c r="F147" i="20"/>
  <c r="F99" i="19" s="1"/>
  <c r="I113" i="20"/>
  <c r="F111" i="20"/>
  <c r="L130" i="20" s="1"/>
  <c r="L103" i="19" s="1"/>
  <c r="I102" i="20"/>
  <c r="E122" i="9" s="1"/>
  <c r="S69" i="39"/>
  <c r="C147" i="39"/>
  <c r="P25" i="39" s="1"/>
  <c r="S22" i="39"/>
  <c r="F149" i="20"/>
  <c r="G98" i="38"/>
  <c r="E98" i="38" s="1"/>
  <c r="L166" i="20"/>
  <c r="L109" i="19" s="1"/>
  <c r="R31" i="27" l="1"/>
  <c r="P31" i="27"/>
  <c r="N110" i="39"/>
  <c r="J110" i="39" s="1"/>
  <c r="M110" i="39" s="1"/>
  <c r="P110" i="39" s="1"/>
  <c r="I83" i="41" s="1"/>
  <c r="G136" i="9" s="1"/>
  <c r="N35" i="42"/>
  <c r="R35" i="42" s="1"/>
  <c r="R34" i="42"/>
  <c r="P34" i="42"/>
  <c r="R30" i="27"/>
  <c r="P30" i="27"/>
  <c r="R41" i="27"/>
  <c r="P41" i="27"/>
  <c r="M23" i="39"/>
  <c r="P23" i="39" s="1"/>
  <c r="I83" i="18" s="1"/>
  <c r="C104" i="9" s="1"/>
  <c r="C62" i="9"/>
  <c r="C147" i="9"/>
  <c r="L87" i="17"/>
  <c r="C148" i="9" s="1"/>
  <c r="I97" i="41"/>
  <c r="G138" i="9" s="1"/>
  <c r="F102" i="19"/>
  <c r="E38" i="9" s="1"/>
  <c r="I190" i="18"/>
  <c r="C114" i="9" s="1"/>
  <c r="P4" i="9"/>
  <c r="R29" i="27"/>
  <c r="I97" i="18"/>
  <c r="C106" i="9" s="1"/>
  <c r="R40" i="27"/>
  <c r="P40" i="27"/>
  <c r="J34" i="39"/>
  <c r="M34" i="39" s="1"/>
  <c r="P34" i="39" s="1"/>
  <c r="L114" i="20"/>
  <c r="G97" i="38"/>
  <c r="E97" i="38" s="1"/>
  <c r="F126" i="20" s="1"/>
  <c r="F94" i="19" s="1"/>
  <c r="E59" i="9" s="1"/>
  <c r="F112" i="20"/>
  <c r="R42" i="27"/>
  <c r="P42" i="27"/>
  <c r="L167" i="20"/>
  <c r="L102" i="19" s="1"/>
  <c r="E48" i="9" s="1"/>
  <c r="S23" i="39"/>
  <c r="F162" i="20"/>
  <c r="L151" i="20"/>
  <c r="P35" i="42" l="1"/>
  <c r="C155" i="20"/>
  <c r="L158" i="20" s="1"/>
  <c r="N43" i="29" s="1"/>
  <c r="C119" i="20"/>
  <c r="L122" i="20" s="1"/>
  <c r="S110" i="39"/>
  <c r="P46" i="27"/>
  <c r="C30" i="9"/>
  <c r="F100" i="19"/>
  <c r="E36" i="9" s="1"/>
  <c r="R46" i="27"/>
  <c r="P7" i="9" s="1"/>
  <c r="S34" i="39"/>
  <c r="I67" i="17"/>
  <c r="C41" i="9" s="1"/>
  <c r="C28" i="10"/>
  <c r="I176" i="18"/>
  <c r="C112" i="9" s="1"/>
  <c r="C151" i="9" s="1"/>
  <c r="L115" i="20"/>
  <c r="N37" i="29" s="1"/>
  <c r="C125" i="20"/>
  <c r="L128" i="20" s="1"/>
  <c r="L152" i="20"/>
  <c r="C176" i="20" s="1"/>
  <c r="C177" i="20" s="1"/>
  <c r="T178" i="20" s="1"/>
  <c r="L159" i="20"/>
  <c r="N76" i="39" s="1"/>
  <c r="C159" i="9" l="1"/>
  <c r="C216" i="9" s="1"/>
  <c r="C223" i="9"/>
  <c r="C161" i="20"/>
  <c r="L164" i="20" s="1"/>
  <c r="L129" i="20"/>
  <c r="N72" i="39" s="1"/>
  <c r="N39" i="29"/>
  <c r="R39" i="29" s="1"/>
  <c r="L123" i="20"/>
  <c r="N71" i="39" s="1"/>
  <c r="J71" i="39" s="1"/>
  <c r="M71" i="39" s="1"/>
  <c r="P71" i="39" s="1"/>
  <c r="N38" i="29"/>
  <c r="R38" i="29" s="1"/>
  <c r="N42" i="29"/>
  <c r="P42" i="29" s="1"/>
  <c r="C64" i="9"/>
  <c r="C152" i="9"/>
  <c r="L116" i="20"/>
  <c r="C134" i="20"/>
  <c r="L137" i="20" s="1"/>
  <c r="C149" i="39" s="1"/>
  <c r="P73" i="39" s="1"/>
  <c r="C140" i="20"/>
  <c r="L181" i="20"/>
  <c r="I121" i="20"/>
  <c r="J72" i="39"/>
  <c r="M72" i="39" s="1"/>
  <c r="P72" i="39" s="1"/>
  <c r="J76" i="39"/>
  <c r="M76" i="39" s="1"/>
  <c r="P76" i="39" s="1"/>
  <c r="R43" i="29"/>
  <c r="P43" i="29"/>
  <c r="R37" i="29"/>
  <c r="P37" i="29"/>
  <c r="C170" i="20"/>
  <c r="L173" i="20" s="1"/>
  <c r="C151" i="39" s="1"/>
  <c r="P78" i="39" s="1"/>
  <c r="L165" i="20"/>
  <c r="N77" i="39" s="1"/>
  <c r="C195" i="9" l="1"/>
  <c r="C209" i="9"/>
  <c r="C202" i="9"/>
  <c r="C181" i="9"/>
  <c r="C174" i="9"/>
  <c r="C188" i="9"/>
  <c r="C175" i="9"/>
  <c r="C167" i="9"/>
  <c r="C244" i="9"/>
  <c r="C248" i="9"/>
  <c r="C228" i="9"/>
  <c r="C240" i="9"/>
  <c r="C236" i="9"/>
  <c r="C252" i="9"/>
  <c r="C232" i="9"/>
  <c r="C203" i="9"/>
  <c r="C189" i="9"/>
  <c r="C182" i="9"/>
  <c r="C210" i="9"/>
  <c r="C168" i="9"/>
  <c r="C217" i="9"/>
  <c r="C196" i="9"/>
  <c r="S71" i="39"/>
  <c r="N44" i="29"/>
  <c r="P38" i="29"/>
  <c r="C157" i="39"/>
  <c r="P79" i="39" s="1"/>
  <c r="I178" i="20" s="1"/>
  <c r="E128" i="9" s="1"/>
  <c r="P6" i="9"/>
  <c r="P10" i="9"/>
  <c r="L143" i="20"/>
  <c r="C150" i="39" s="1"/>
  <c r="P74" i="39" s="1"/>
  <c r="I141" i="20" s="1"/>
  <c r="E125" i="9" s="1"/>
  <c r="L112" i="19"/>
  <c r="R42" i="29"/>
  <c r="P39" i="29"/>
  <c r="S76" i="39"/>
  <c r="I157" i="20"/>
  <c r="N50" i="29"/>
  <c r="I127" i="20"/>
  <c r="E123" i="9" s="1"/>
  <c r="I171" i="20"/>
  <c r="E127" i="9" s="1"/>
  <c r="I135" i="20"/>
  <c r="E124" i="9" s="1"/>
  <c r="J77" i="39"/>
  <c r="M77" i="39" s="1"/>
  <c r="P77" i="39" s="1"/>
  <c r="S72" i="39"/>
  <c r="C38" i="10" l="1"/>
  <c r="P8" i="9"/>
  <c r="P5" i="9"/>
  <c r="C34" i="10"/>
  <c r="C36" i="10" s="1"/>
  <c r="F104" i="19"/>
  <c r="E147" i="9" s="1"/>
  <c r="S77" i="39"/>
  <c r="P44" i="29"/>
  <c r="P50" i="29" s="1"/>
  <c r="R44" i="29"/>
  <c r="R50" i="29" s="1"/>
  <c r="Q7" i="9" s="1"/>
  <c r="I163" i="20"/>
  <c r="E126" i="9" s="1"/>
  <c r="Q4" i="9"/>
  <c r="C30" i="15"/>
  <c r="C30" i="10" l="1"/>
  <c r="L115" i="19"/>
  <c r="E148" i="9" s="1"/>
  <c r="E62" i="9"/>
  <c r="I93" i="19"/>
  <c r="E41" i="9" s="1"/>
  <c r="E151" i="9" l="1"/>
  <c r="E30" i="9"/>
  <c r="E64" i="9" s="1"/>
  <c r="Q6" i="9" s="1"/>
  <c r="D159" i="9" l="1"/>
  <c r="D216" i="9" s="1"/>
  <c r="D223" i="9"/>
  <c r="E152" i="9"/>
  <c r="Q10" i="9" s="1"/>
  <c r="Q5" i="9"/>
  <c r="Q8" i="9"/>
  <c r="J119" i="39"/>
  <c r="M119" i="39" s="1"/>
  <c r="P119" i="39" s="1"/>
  <c r="I162" i="41" s="1"/>
  <c r="D195" i="9" l="1"/>
  <c r="D209" i="9"/>
  <c r="D202" i="9"/>
  <c r="D188" i="9"/>
  <c r="D181" i="9"/>
  <c r="D167" i="9"/>
  <c r="D174" i="9"/>
  <c r="D240" i="9"/>
  <c r="D252" i="9"/>
  <c r="D228" i="9"/>
  <c r="D236" i="9"/>
  <c r="D232" i="9"/>
  <c r="D248" i="9"/>
  <c r="D244" i="9"/>
  <c r="D210" i="9"/>
  <c r="D182" i="9"/>
  <c r="D203" i="9"/>
  <c r="D175" i="9"/>
  <c r="D196" i="9"/>
  <c r="D189" i="9"/>
  <c r="D168" i="9"/>
  <c r="D217" i="9"/>
  <c r="C36" i="15"/>
  <c r="C38" i="15" s="1"/>
  <c r="C40" i="15"/>
  <c r="C32" i="15"/>
  <c r="S119" i="39"/>
  <c r="O158" i="41" s="1"/>
  <c r="F160" i="41" l="1"/>
  <c r="L179" i="41" s="1"/>
  <c r="L129" i="40" s="1"/>
  <c r="F159" i="41"/>
  <c r="L180" i="41" s="1"/>
  <c r="L121" i="40" s="1"/>
  <c r="F121" i="40" l="1"/>
  <c r="G163" i="38"/>
  <c r="E163" i="38" s="1"/>
  <c r="F175" i="41" s="1"/>
  <c r="F116" i="40" s="1"/>
  <c r="F161" i="41"/>
  <c r="F123" i="40" s="1"/>
  <c r="L163" i="41"/>
  <c r="L164" i="41" s="1"/>
  <c r="G48" i="9" l="1"/>
  <c r="G38" i="9"/>
  <c r="G59" i="9"/>
  <c r="C168" i="41"/>
  <c r="L171" i="41" s="1"/>
  <c r="L172" i="41" s="1"/>
  <c r="N45" i="42" s="1"/>
  <c r="R44" i="42"/>
  <c r="P44" i="42"/>
  <c r="L165" i="41"/>
  <c r="C189" i="41"/>
  <c r="L192" i="41" s="1"/>
  <c r="C174" i="41" l="1"/>
  <c r="L177" i="41" s="1"/>
  <c r="L178" i="41" s="1"/>
  <c r="N120" i="39"/>
  <c r="J120" i="39" s="1"/>
  <c r="C196" i="41"/>
  <c r="L200" i="41" s="1"/>
  <c r="L193" i="41"/>
  <c r="N49" i="42" l="1"/>
  <c r="N48" i="42"/>
  <c r="N121" i="39"/>
  <c r="J121" i="39" s="1"/>
  <c r="M121" i="39" s="1"/>
  <c r="P121" i="39" s="1"/>
  <c r="I176" i="41" s="1"/>
  <c r="N46" i="42"/>
  <c r="R46" i="42" s="1"/>
  <c r="L125" i="40"/>
  <c r="C203" i="41"/>
  <c r="N50" i="42" s="1"/>
  <c r="C183" i="41"/>
  <c r="R45" i="42"/>
  <c r="P45" i="42"/>
  <c r="S120" i="39"/>
  <c r="M120" i="39"/>
  <c r="P120" i="39" s="1"/>
  <c r="I170" i="41" s="1"/>
  <c r="N124" i="39"/>
  <c r="J124" i="39" s="1"/>
  <c r="S124" i="39" s="1"/>
  <c r="N123" i="39"/>
  <c r="J123" i="39" s="1"/>
  <c r="S123" i="39" s="1"/>
  <c r="L186" i="41" l="1"/>
  <c r="N47" i="42"/>
  <c r="G31" i="9"/>
  <c r="G149" i="9"/>
  <c r="L209" i="41"/>
  <c r="L133" i="40" s="1"/>
  <c r="G49" i="9" s="1"/>
  <c r="C204" i="41"/>
  <c r="C205" i="41" s="1"/>
  <c r="C206" i="41" s="1"/>
  <c r="C154" i="39"/>
  <c r="P122" i="39" s="1"/>
  <c r="I184" i="41" s="1"/>
  <c r="G145" i="9" s="1"/>
  <c r="P46" i="42"/>
  <c r="G144" i="9"/>
  <c r="S121" i="39"/>
  <c r="R48" i="42"/>
  <c r="P48" i="42"/>
  <c r="R49" i="42"/>
  <c r="P49" i="42"/>
  <c r="R47" i="42" l="1"/>
  <c r="P47" i="42"/>
  <c r="L208" i="41"/>
  <c r="L132" i="40" s="1"/>
  <c r="F125" i="40" s="1"/>
  <c r="G62" i="9" l="1"/>
  <c r="G147" i="9"/>
  <c r="P50" i="42"/>
  <c r="P51" i="42" s="1"/>
  <c r="C162" i="39"/>
  <c r="P125" i="39" s="1"/>
  <c r="I207" i="41" s="1"/>
  <c r="I113" i="40" s="1"/>
  <c r="G41" i="9" s="1"/>
  <c r="L134" i="40"/>
  <c r="G148" i="9" s="1"/>
  <c r="N51" i="42" l="1"/>
  <c r="C30" i="37" s="1"/>
  <c r="R50" i="42"/>
  <c r="R51" i="42" s="1"/>
  <c r="R7" i="9" s="1"/>
  <c r="G151" i="9"/>
  <c r="G30" i="9"/>
  <c r="G64" i="9" s="1"/>
  <c r="R6" i="9" s="1"/>
  <c r="E159" i="9" l="1"/>
  <c r="E216" i="9" s="1"/>
  <c r="E223" i="9"/>
  <c r="G152" i="9"/>
  <c r="R10" i="9" s="1"/>
  <c r="C40" i="37" s="1"/>
  <c r="R4" i="9"/>
  <c r="R5" i="9" s="1"/>
  <c r="R8" i="9"/>
  <c r="E195" i="9" l="1"/>
  <c r="E209" i="9"/>
  <c r="E202" i="9"/>
  <c r="E188" i="9"/>
  <c r="E181" i="9"/>
  <c r="E167" i="9"/>
  <c r="E174" i="9"/>
  <c r="E248" i="9"/>
  <c r="E228" i="9"/>
  <c r="E240" i="9"/>
  <c r="E236" i="9"/>
  <c r="E232" i="9"/>
  <c r="E252" i="9"/>
  <c r="E244" i="9"/>
  <c r="E217" i="9"/>
  <c r="E175" i="9"/>
  <c r="E189" i="9"/>
  <c r="E168" i="9"/>
  <c r="E196" i="9"/>
  <c r="E210" i="9"/>
  <c r="E203" i="9"/>
  <c r="E182" i="9"/>
  <c r="C36" i="37"/>
  <c r="C38" i="37" s="1"/>
  <c r="C32"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87" authorId="0" shapeId="0" xr:uid="{00000000-0006-0000-0500-000001000000}">
      <text>
        <r>
          <rPr>
            <b/>
            <sz val="9"/>
            <color indexed="81"/>
            <rFont val="Segoe UI"/>
            <family val="2"/>
          </rPr>
          <t>Autor:</t>
        </r>
        <r>
          <rPr>
            <sz val="9"/>
            <color indexed="81"/>
            <rFont val="Segoe UI"/>
            <family val="2"/>
          </rPr>
          <t xml:space="preserve">
replaces primary electrolyte 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70" authorId="0" shapeId="0" xr:uid="{00000000-0006-0000-0700-000001000000}">
      <text>
        <r>
          <rPr>
            <b/>
            <sz val="9"/>
            <color indexed="81"/>
            <rFont val="Segoe UI"/>
            <family val="2"/>
          </rPr>
          <t>Autor:</t>
        </r>
        <r>
          <rPr>
            <sz val="9"/>
            <color indexed="81"/>
            <rFont val="Segoe UI"/>
            <family val="2"/>
          </rPr>
          <t xml:space="preserve">
theoretic
</t>
        </r>
      </text>
    </comment>
  </commentList>
</comments>
</file>

<file path=xl/sharedStrings.xml><?xml version="1.0" encoding="utf-8"?>
<sst xmlns="http://schemas.openxmlformats.org/spreadsheetml/2006/main" count="5395" uniqueCount="1255">
  <si>
    <t xml:space="preserve"> </t>
  </si>
  <si>
    <t>by: Blömeke Steffen, Scheller Christian, Cerdas Felipe, Thies Christian, Herrmann Christoph, Spengler Thomas S.</t>
  </si>
  <si>
    <t>Technische Universität Braunschweig</t>
  </si>
  <si>
    <t>This work is licensed under a Creative Commons Attribution-NonCommercial-ShareAlike 4.0 International (CC BY-NC-SA 4.0).</t>
  </si>
  <si>
    <t>By: Institute of Machine Tools and Production Technology &amp; Institute of Automotive Management and Industrial Production</t>
  </si>
  <si>
    <t>https://creativecommons.org/licenses/by-nc-sa/4.0/</t>
  </si>
  <si>
    <t>This tool was developed to allow a modular economic and environmental assessment of three different recycling routes (Route 1-3) for Li-ion traction batteries with NMC-622 cathode</t>
  </si>
  <si>
    <t>How to start the assessment</t>
  </si>
  <si>
    <t>2. Customize your battery composition (only NMC chemistry) under investigation on the sheet 'Battery'</t>
  </si>
  <si>
    <t>Legend</t>
  </si>
  <si>
    <t>System boundaries</t>
  </si>
  <si>
    <t>Customizable value</t>
  </si>
  <si>
    <t xml:space="preserve">      Assessment tool for the recycling of Lithium-ion traction batteries</t>
  </si>
  <si>
    <t>Input</t>
  </si>
  <si>
    <t>Process design</t>
  </si>
  <si>
    <t>General conditions</t>
  </si>
  <si>
    <t>Description recycling routes</t>
  </si>
  <si>
    <t>Waste (incineration)</t>
  </si>
  <si>
    <t>Process capacity:</t>
  </si>
  <si>
    <t>t/ a</t>
  </si>
  <si>
    <t>Material costs:</t>
  </si>
  <si>
    <t>Route 1: Disassembly to module level - pyrometallurgy - hydrometallurgy</t>
  </si>
  <si>
    <t>Wastewater</t>
  </si>
  <si>
    <t>Aluminum scrap</t>
  </si>
  <si>
    <t>Lithium recovery:</t>
  </si>
  <si>
    <t>(only Route 1 &amp; 3)</t>
  </si>
  <si>
    <t>Electricity price:</t>
  </si>
  <si>
    <t>EUR-ct/ kWh</t>
  </si>
  <si>
    <t>Route 2: Disassembly to module level - mechanical separation - hydrometallurgy</t>
  </si>
  <si>
    <t>Aluminium hydroxide</t>
  </si>
  <si>
    <t>Calcium sulfate</t>
  </si>
  <si>
    <t>Graphite recovery:</t>
  </si>
  <si>
    <t>(only Route 2)</t>
  </si>
  <si>
    <r>
      <t>CO</t>
    </r>
    <r>
      <rPr>
        <vertAlign val="subscript"/>
        <sz val="11"/>
        <color theme="1"/>
        <rFont val="Arial"/>
        <family val="2"/>
      </rPr>
      <t>2</t>
    </r>
    <r>
      <rPr>
        <sz val="11"/>
        <color theme="1"/>
        <rFont val="Arial"/>
        <family val="2"/>
      </rPr>
      <t>-intensity electricity:</t>
    </r>
  </si>
  <si>
    <r>
      <t xml:space="preserve"> g CO</t>
    </r>
    <r>
      <rPr>
        <i/>
        <vertAlign val="subscript"/>
        <sz val="11"/>
        <color theme="1"/>
        <rFont val="Arial"/>
        <family val="2"/>
      </rPr>
      <t>2</t>
    </r>
    <r>
      <rPr>
        <i/>
        <sz val="11"/>
        <color theme="1"/>
        <rFont val="Arial"/>
        <family val="2"/>
      </rPr>
      <t>-eq./ kWh</t>
    </r>
  </si>
  <si>
    <t>Route 3: Disassembly to cell level - pyrolysis - mechanical separation - pyrometallurgy - hydrometallurgy</t>
  </si>
  <si>
    <t>CoSO4 * 7 H2O</t>
  </si>
  <si>
    <t>Cyanex 272</t>
  </si>
  <si>
    <t>Electrolyte recovery:</t>
  </si>
  <si>
    <t>Utilization time</t>
  </si>
  <si>
    <t>Cyanex 301GN</t>
  </si>
  <si>
    <t>D2EHPA</t>
  </si>
  <si>
    <t>Working days per year:</t>
  </si>
  <si>
    <t>330</t>
  </si>
  <si>
    <t xml:space="preserve"> d</t>
  </si>
  <si>
    <t>Iron</t>
  </si>
  <si>
    <t>Iron hydroxide Fe(OH)3</t>
  </si>
  <si>
    <t>Number of shifts - Disassembly</t>
  </si>
  <si>
    <t>Electricity</t>
  </si>
  <si>
    <t>see general conditions</t>
  </si>
  <si>
    <t>Electrolyte</t>
  </si>
  <si>
    <t>Number of shifts - Others</t>
  </si>
  <si>
    <t>Electronic waste</t>
  </si>
  <si>
    <t>Natural gas (CH4)</t>
  </si>
  <si>
    <t>Wastewater treatment:</t>
  </si>
  <si>
    <t>Graphite</t>
  </si>
  <si>
    <t>Cable</t>
  </si>
  <si>
    <t>Limestone (CaO)</t>
  </si>
  <si>
    <t>Assessment</t>
  </si>
  <si>
    <t>Kerosene</t>
  </si>
  <si>
    <t>conc. Wastewater</t>
  </si>
  <si>
    <t>Key indicators &amp; Assessment</t>
  </si>
  <si>
    <t>Copper scrap</t>
  </si>
  <si>
    <t>Li2CO3 (anhydrous)</t>
  </si>
  <si>
    <t>MnSO4 * 1 H2O</t>
  </si>
  <si>
    <t>Sodium carbonate</t>
  </si>
  <si>
    <t>Sodium hydroxide</t>
  </si>
  <si>
    <t>NiSO4 * 6 H2O</t>
  </si>
  <si>
    <t>Sand (SiO2)</t>
  </si>
  <si>
    <t>Oxygen</t>
  </si>
  <si>
    <t>Sulfuric acid (95%)</t>
  </si>
  <si>
    <t>Steel</t>
  </si>
  <si>
    <t>Nitrogen (N2)</t>
  </si>
  <si>
    <t>Water (Input)</t>
  </si>
  <si>
    <t>Hydrogen peroxide</t>
  </si>
  <si>
    <t>CO2-intensity electricity:</t>
  </si>
  <si>
    <r>
      <t>g CO</t>
    </r>
    <r>
      <rPr>
        <i/>
        <vertAlign val="subscript"/>
        <sz val="11"/>
        <color theme="1"/>
        <rFont val="Arial"/>
        <family val="2"/>
      </rPr>
      <t>2</t>
    </r>
    <r>
      <rPr>
        <i/>
        <sz val="11"/>
        <color theme="1"/>
        <rFont val="Arial"/>
        <family val="2"/>
      </rPr>
      <t>-eq./ kWh</t>
    </r>
  </si>
  <si>
    <t>Adjustments by 'Macro'</t>
  </si>
  <si>
    <t>Key figures &amp; evaluation</t>
  </si>
  <si>
    <t>Process</t>
  </si>
  <si>
    <t>Process step</t>
  </si>
  <si>
    <t>Investments:</t>
  </si>
  <si>
    <t>€</t>
  </si>
  <si>
    <t>Payback period:</t>
  </si>
  <si>
    <t>a</t>
  </si>
  <si>
    <t>Revenue/ t-battery:</t>
  </si>
  <si>
    <t>€/ t</t>
  </si>
  <si>
    <t>Costs/ t-battery:</t>
  </si>
  <si>
    <t>Recovery/ t-battery:</t>
  </si>
  <si>
    <t>CO2-eq./ t-Battery:</t>
  </si>
  <si>
    <t>kg</t>
  </si>
  <si>
    <t>:</t>
  </si>
  <si>
    <t>Key figures</t>
  </si>
  <si>
    <t>Cobalt</t>
  </si>
  <si>
    <t>Nickel</t>
  </si>
  <si>
    <t>Lithium</t>
  </si>
  <si>
    <t>Manganese</t>
  </si>
  <si>
    <t>Aluminium</t>
  </si>
  <si>
    <t>Copper</t>
  </si>
  <si>
    <t>Total</t>
  </si>
  <si>
    <t>Slag</t>
  </si>
  <si>
    <t>Route 1</t>
  </si>
  <si>
    <t>Route 2</t>
  </si>
  <si>
    <t>Route 3</t>
  </si>
  <si>
    <t>Investments</t>
  </si>
  <si>
    <t>Payback period</t>
  </si>
  <si>
    <t>Costs/t-Batterie (Amotization)</t>
  </si>
  <si>
    <t>Overhead rate (assumption)</t>
  </si>
  <si>
    <t>Depreciation/t-Battery</t>
  </si>
  <si>
    <t>Credit factors and material proportions</t>
  </si>
  <si>
    <t>Costs/t-Battery</t>
  </si>
  <si>
    <t>Crediting factor route 1</t>
  </si>
  <si>
    <t>Revenue/t-Battery</t>
  </si>
  <si>
    <t>Crediting factor route 2</t>
  </si>
  <si>
    <r>
      <t>kg CO</t>
    </r>
    <r>
      <rPr>
        <vertAlign val="subscript"/>
        <sz val="11"/>
        <color theme="1"/>
        <rFont val="Calibri"/>
        <family val="2"/>
        <scheme val="minor"/>
      </rPr>
      <t>2</t>
    </r>
    <r>
      <rPr>
        <sz val="11"/>
        <color theme="1"/>
        <rFont val="Calibri"/>
        <family val="2"/>
        <scheme val="minor"/>
      </rPr>
      <t>-eq./t-Battery</t>
    </r>
  </si>
  <si>
    <t>Crediting factor route 3</t>
  </si>
  <si>
    <t>Raw material part of intermediate product</t>
  </si>
  <si>
    <t>Input [t.p.a]</t>
  </si>
  <si>
    <t>Output [t.p.a]</t>
  </si>
  <si>
    <t>Revenues and costs per material flow [€ / kg]</t>
  </si>
  <si>
    <t xml:space="preserve">
Prices per ton [€ / t]</t>
  </si>
  <si>
    <t>Exchange rate $ to €</t>
  </si>
  <si>
    <t>Material</t>
  </si>
  <si>
    <t>Costs</t>
  </si>
  <si>
    <t>Revenues</t>
  </si>
  <si>
    <t>Selected price</t>
  </si>
  <si>
    <t>High</t>
  </si>
  <si>
    <t>Middle</t>
  </si>
  <si>
    <t>Low</t>
  </si>
  <si>
    <t>Sources:</t>
  </si>
  <si>
    <t>Waste (Incineration)</t>
  </si>
  <si>
    <t>https://de.statista.com/statistik/daten/studie/219745/umfrage/kosten-und-gebuehren-der-muellverbrennung-in-deutschland-nach-unternehmen/</t>
  </si>
  <si>
    <t>Wastewater (municipal)</t>
  </si>
  <si>
    <t>https://www.destatis.de/DE/Themen/Gesellschaft-Umwelt/Umwelt/Wasserwirtschaft/Tabellen/liste-laufende-aufwendungen-entgelte-tariftypen.html</t>
  </si>
  <si>
    <t>Wastewater (industrial)</t>
  </si>
  <si>
    <t>Assumption</t>
  </si>
  <si>
    <t>Aluminiumhydroxide</t>
  </si>
  <si>
    <t>https://german.alibaba.com/product-detail/aluminum-hydroxide-al-oh-3-price-60521118416.html</t>
  </si>
  <si>
    <t>https://german.alibaba.com/product-detail/low-price-calcium-sulfate-anhydrous-food-grade-1600251449963.html?spm=a2700.galleryofferlist.normal_offer.d_title.12013355tuSZkA</t>
  </si>
  <si>
    <r>
      <t>CoSO</t>
    </r>
    <r>
      <rPr>
        <vertAlign val="subscript"/>
        <sz val="11"/>
        <color theme="1"/>
        <rFont val="Calibri"/>
        <family val="2"/>
        <scheme val="minor"/>
      </rPr>
      <t>4</t>
    </r>
    <r>
      <rPr>
        <sz val="11"/>
        <color theme="1"/>
        <rFont val="Calibri"/>
        <family val="2"/>
        <scheme val="minor"/>
      </rPr>
      <t xml:space="preserve"> * 7 H</t>
    </r>
    <r>
      <rPr>
        <vertAlign val="subscript"/>
        <sz val="11"/>
        <color theme="1"/>
        <rFont val="Calibri"/>
        <family val="2"/>
        <scheme val="minor"/>
      </rPr>
      <t>2</t>
    </r>
    <r>
      <rPr>
        <sz val="11"/>
        <color theme="1"/>
        <rFont val="Calibri"/>
        <family val="2"/>
        <scheme val="minor"/>
      </rPr>
      <t>O</t>
    </r>
  </si>
  <si>
    <t>Reference offer</t>
  </si>
  <si>
    <t>https://www.wallstreet-online.de/rohstoffe/eisenerzpreis#t:1m||s:lines||a:abs||v:hour||ads:null</t>
  </si>
  <si>
    <t>Iron hydroxide Fe (OH) 3</t>
  </si>
  <si>
    <t>https://jbs-shop.eu/eisenhydroxid-20kg.html</t>
  </si>
  <si>
    <t>Electronic scrap (circuit board)</t>
  </si>
  <si>
    <t>https://www.scheideanstalt.de/was-wir-recyceln/elektronikschrott/elektronikschrott-preise-sortierkriterien/</t>
  </si>
  <si>
    <t>https://www.indexmundi.com/de/rohstoffpreise/?ware=kerosin&amp;monate=360</t>
  </si>
  <si>
    <t>concentrated wastewater</t>
  </si>
  <si>
    <r>
      <t>MnSO</t>
    </r>
    <r>
      <rPr>
        <vertAlign val="subscript"/>
        <sz val="11"/>
        <color theme="1"/>
        <rFont val="Calibri"/>
        <family val="2"/>
        <scheme val="minor"/>
      </rPr>
      <t>4</t>
    </r>
    <r>
      <rPr>
        <sz val="11"/>
        <color theme="1"/>
        <rFont val="Calibri"/>
        <family val="2"/>
        <scheme val="minor"/>
      </rPr>
      <t xml:space="preserve"> * 1 H</t>
    </r>
    <r>
      <rPr>
        <vertAlign val="subscript"/>
        <sz val="11"/>
        <color theme="1"/>
        <rFont val="Calibri"/>
        <family val="2"/>
        <scheme val="minor"/>
      </rPr>
      <t>2</t>
    </r>
    <r>
      <rPr>
        <sz val="11"/>
        <color theme="1"/>
        <rFont val="Calibri"/>
        <family val="2"/>
        <scheme val="minor"/>
      </rPr>
      <t>O</t>
    </r>
  </si>
  <si>
    <t>Sodium hydrogen carbonate</t>
  </si>
  <si>
    <t>https://german.alibaba.com/product-detail/sodium-hydrogen-carbonate-of-best-safety-for-food-additive-sodium-bicarbonate-60752287505.html?spm=a2700.galleryofferlist.normal_offer.d_title.194112c8lObxNk&amp;s=p</t>
  </si>
  <si>
    <r>
      <t>NiSO</t>
    </r>
    <r>
      <rPr>
        <vertAlign val="subscript"/>
        <sz val="11"/>
        <color theme="1"/>
        <rFont val="Calibri"/>
        <family val="2"/>
        <scheme val="minor"/>
      </rPr>
      <t>4</t>
    </r>
    <r>
      <rPr>
        <sz val="11"/>
        <color theme="1"/>
        <rFont val="Calibri"/>
        <family val="2"/>
        <scheme val="minor"/>
      </rPr>
      <t xml:space="preserve"> * 6 H</t>
    </r>
    <r>
      <rPr>
        <vertAlign val="subscript"/>
        <sz val="11"/>
        <color theme="1"/>
        <rFont val="Calibri"/>
        <family val="2"/>
        <scheme val="minor"/>
      </rPr>
      <t>2</t>
    </r>
    <r>
      <rPr>
        <sz val="11"/>
        <color theme="1"/>
        <rFont val="Calibri"/>
        <family val="2"/>
        <scheme val="minor"/>
      </rPr>
      <t>O</t>
    </r>
  </si>
  <si>
    <r>
      <t>Sand (SiO</t>
    </r>
    <r>
      <rPr>
        <vertAlign val="subscript"/>
        <sz val="11"/>
        <color theme="1"/>
        <rFont val="Calibri"/>
        <family val="2"/>
        <scheme val="minor"/>
      </rPr>
      <t>2</t>
    </r>
    <r>
      <rPr>
        <sz val="11"/>
        <color theme="1"/>
        <rFont val="Calibri"/>
        <family val="2"/>
        <scheme val="minor"/>
      </rPr>
      <t>)</t>
    </r>
  </si>
  <si>
    <t>Sand / Silicon (SiO2)</t>
  </si>
  <si>
    <t>Nitrogen</t>
  </si>
  <si>
    <t>https://www.linde-gas.de/shop/de/de-ig/gase-kaufen/schneid-und-schwei%C3%9Fgase/stickstoff/stickstoff-28-b%C3%BCndel-stickstoff-28-buendel</t>
  </si>
  <si>
    <t>Assumption: 10% fresh water for Route 1 (Circulation)</t>
  </si>
  <si>
    <t>https://www.destatis.de/DE/Themen/Gesellschaft-Umwelt/Umwelt/Wasserwirtschaft/Tabellen/tw-07-entgelt-trinkwasserversorgung-tarifgeb-nach-tariftypen-2017-2019-land-bund.html</t>
  </si>
  <si>
    <t>CO2 balance per process [kg CO2 equiv./ kg battery]</t>
  </si>
  <si>
    <t>CO2 balance dismantling (detail)</t>
  </si>
  <si>
    <t>Impacts</t>
  </si>
  <si>
    <t>Credits</t>
  </si>
  <si>
    <t>Pretreatment,
R1-R3</t>
  </si>
  <si>
    <t>Transport</t>
  </si>
  <si>
    <t>Storage</t>
  </si>
  <si>
    <t>Storage (defective)</t>
  </si>
  <si>
    <t>Electronic components</t>
  </si>
  <si>
    <t>Dismantling</t>
  </si>
  <si>
    <t>Plastics</t>
  </si>
  <si>
    <t xml:space="preserve">
Pyrometallurgy
Route 1</t>
  </si>
  <si>
    <t>Melting down</t>
  </si>
  <si>
    <t>other (elastomers)</t>
  </si>
  <si>
    <t>Exhaust gas treatment</t>
  </si>
  <si>
    <t>Mill (alloy)</t>
  </si>
  <si>
    <t>Mill (slag)</t>
  </si>
  <si>
    <t>Mech. Processing,
Route 2</t>
  </si>
  <si>
    <t>Shredder 1</t>
  </si>
  <si>
    <t>Drying</t>
  </si>
  <si>
    <t>Magnetic separation</t>
  </si>
  <si>
    <t>Zig-zag sighting 1</t>
  </si>
  <si>
    <t>Shredder 2</t>
  </si>
  <si>
    <t>Electrolyte recovery</t>
  </si>
  <si>
    <t>Pyrolysis,
Route 3</t>
  </si>
  <si>
    <t>Deactivation and evaporation</t>
  </si>
  <si>
    <t>-</t>
  </si>
  <si>
    <t>Exhaust gas cleaning</t>
  </si>
  <si>
    <t>Mech. Processing,
Route 3</t>
  </si>
  <si>
    <t>Shredder</t>
  </si>
  <si>
    <t>Zigzag sighting</t>
  </si>
  <si>
    <t>Pyrometallurgy
Route 3</t>
  </si>
  <si>
    <t>Melting</t>
  </si>
  <si>
    <t>Hydro Alloy,
Route 1</t>
  </si>
  <si>
    <t>Cu cementation</t>
  </si>
  <si>
    <t>Cu filtration</t>
  </si>
  <si>
    <t>Crystallization Ni</t>
  </si>
  <si>
    <t>Crystallization Co</t>
  </si>
  <si>
    <t>Hydro slag,
Route 1</t>
  </si>
  <si>
    <t>Filtration SiO2, CaSO4</t>
  </si>
  <si>
    <t>Oxidation Fe (slag)</t>
  </si>
  <si>
    <t>Precipitation, filtration Fe, Al (slag)</t>
  </si>
  <si>
    <t>Crystallization Mn</t>
  </si>
  <si>
    <t>Concentration Li</t>
  </si>
  <si>
    <t>Precipitation, Filtration Li</t>
  </si>
  <si>
    <t>Hydro,
Route 2</t>
  </si>
  <si>
    <t>Digestion</t>
  </si>
  <si>
    <t>Leaching</t>
  </si>
  <si>
    <t>Filtration, washing C</t>
  </si>
  <si>
    <t>Cementation, filtration Cu</t>
  </si>
  <si>
    <t>Oxidation</t>
  </si>
  <si>
    <t>Precipitation, filtration Al + Fe</t>
  </si>
  <si>
    <t>Hydro alloy,
Route 3</t>
  </si>
  <si>
    <t>Cementation Cu</t>
  </si>
  <si>
    <t>Filtration Cu</t>
  </si>
  <si>
    <t>Hydro slag,
Route 3</t>
  </si>
  <si>
    <t>Water</t>
  </si>
  <si>
    <t>Fresh water</t>
  </si>
  <si>
    <t>Assumption: Minimum 10% fresh process water</t>
  </si>
  <si>
    <t>Comment: condensed process water is feed into the municipal wastewater system as a low level of impurities can be assumed</t>
  </si>
  <si>
    <t>Recycling credit</t>
  </si>
  <si>
    <t>Battery system</t>
  </si>
  <si>
    <t>Total capacity</t>
  </si>
  <si>
    <t>kWh</t>
  </si>
  <si>
    <t>Weight</t>
  </si>
  <si>
    <t>Cell chemistry</t>
  </si>
  <si>
    <t>NMC622</t>
  </si>
  <si>
    <t>Number of cells per module</t>
  </si>
  <si>
    <t>piece</t>
  </si>
  <si>
    <t>Number of modules per battery</t>
  </si>
  <si>
    <t>Module</t>
  </si>
  <si>
    <t>Mass (kg)</t>
  </si>
  <si>
    <t>Total share</t>
  </si>
  <si>
    <t>Cells</t>
  </si>
  <si>
    <t xml:space="preserve">
Cathode</t>
  </si>
  <si>
    <t>Anode</t>
  </si>
  <si>
    <t>Copper foil</t>
  </si>
  <si>
    <t>Cell housing</t>
  </si>
  <si>
    <t>Separator</t>
  </si>
  <si>
    <t>Others</t>
  </si>
  <si>
    <t>Module (without cells)</t>
  </si>
  <si>
    <t>Module housings, sensors, cell holders</t>
  </si>
  <si>
    <t>System (without modules)</t>
  </si>
  <si>
    <t xml:space="preserve">
Housing, seal, HV connector, module holder, wiring harness, connections, cooling system, battery junction box</t>
  </si>
  <si>
    <t>Copper / Sn</t>
  </si>
  <si>
    <t>Cable (1.9kg) including plug / connectors</t>
  </si>
  <si>
    <t>other (gap filler, elastomer, seals, ..)</t>
  </si>
  <si>
    <t>TOTAL</t>
  </si>
  <si>
    <t>Material &amp; Energy Flow Analysis -  Route 1</t>
  </si>
  <si>
    <t>Variables:</t>
  </si>
  <si>
    <t>Disassembly</t>
  </si>
  <si>
    <t>Pyrometallurgy</t>
  </si>
  <si>
    <t>Variable</t>
  </si>
  <si>
    <t>Quantity</t>
  </si>
  <si>
    <t>Unit</t>
  </si>
  <si>
    <t>Throughput</t>
  </si>
  <si>
    <t>Tons p.a. from Makro</t>
  </si>
  <si>
    <t>Mass per batch</t>
  </si>
  <si>
    <t>Tons</t>
  </si>
  <si>
    <t>Number of battery systems</t>
  </si>
  <si>
    <t>Time per batch</t>
  </si>
  <si>
    <t>Hours</t>
  </si>
  <si>
    <t xml:space="preserve">
Residual energy</t>
  </si>
  <si>
    <t>kWh / Battery</t>
  </si>
  <si>
    <t>Input mass pyrometallurgy</t>
  </si>
  <si>
    <t>Tons p.a.</t>
  </si>
  <si>
    <t>Dismantling time</t>
  </si>
  <si>
    <t>h</t>
  </si>
  <si>
    <t>Number of batches p.a.</t>
  </si>
  <si>
    <t>Calorific value CH4</t>
  </si>
  <si>
    <t>kWh/ m³</t>
  </si>
  <si>
    <t>Density of oxygen</t>
  </si>
  <si>
    <t>kg/ m³</t>
  </si>
  <si>
    <t>Parameter</t>
  </si>
  <si>
    <t>Source: Verscheure et al. 2014</t>
  </si>
  <si>
    <t xml:space="preserve">
Battery module</t>
  </si>
  <si>
    <t>%</t>
  </si>
  <si>
    <t>Limestone</t>
  </si>
  <si>
    <t>Sand</t>
  </si>
  <si>
    <t>Nm³/ h</t>
  </si>
  <si>
    <t>Alloy</t>
  </si>
  <si>
    <t>Fly ash</t>
  </si>
  <si>
    <t>1. Disassembly</t>
  </si>
  <si>
    <t>Process / apparatus</t>
  </si>
  <si>
    <t>Resources</t>
  </si>
  <si>
    <t>Form of energy</t>
  </si>
  <si>
    <t>Outputs</t>
  </si>
  <si>
    <t>Annotation</t>
  </si>
  <si>
    <t>Discharge</t>
  </si>
  <si>
    <t>C-BEV-System</t>
  </si>
  <si>
    <t>t</t>
  </si>
  <si>
    <t>Aluminum (housing, junction box)</t>
  </si>
  <si>
    <t xml:space="preserve">
various alloys, steel</t>
  </si>
  <si>
    <t>Electronic components (system)</t>
  </si>
  <si>
    <t>Printed circuit boards</t>
  </si>
  <si>
    <t>Cable scrap including connector</t>
  </si>
  <si>
    <t>Recycling</t>
  </si>
  <si>
    <t>other (gap filer, elastomer, seals, ..)</t>
  </si>
  <si>
    <t>for incineration</t>
  </si>
  <si>
    <t xml:space="preserve">
2. Pyrometallurgy</t>
  </si>
  <si>
    <t>Value</t>
  </si>
  <si>
    <t>Battery modules</t>
  </si>
  <si>
    <t>Shaft furnace</t>
  </si>
  <si>
    <t>m³</t>
  </si>
  <si>
    <t>422 Nm³/h; 1,43 kg/m³</t>
  </si>
  <si>
    <t>Calorific value: 9.97 kWh / m³</t>
  </si>
  <si>
    <t>Mill (Ni, Co, Cu, Fe)</t>
  </si>
  <si>
    <t>Mill (Li, Mn, Fe, Al, Si, Ca)</t>
  </si>
  <si>
    <t>1.9% of input; Pocket filter (14% of Li total)</t>
  </si>
  <si>
    <t>Exhaust gases (mass difference)</t>
  </si>
  <si>
    <t>Afterburner, waste gas scrubbing (solvents, plastics, graphite)</t>
  </si>
  <si>
    <t>Exhaust gas</t>
  </si>
  <si>
    <t>Assumption density (CO2):</t>
  </si>
  <si>
    <t>Mill 1</t>
  </si>
  <si>
    <t>Mill 2</t>
  </si>
  <si>
    <t>Cumulative route 1 total</t>
  </si>
  <si>
    <t>partly circulated</t>
  </si>
  <si>
    <t xml:space="preserve">Cyanex 272 </t>
  </si>
  <si>
    <t>Net water requirement</t>
  </si>
  <si>
    <t>industrial</t>
  </si>
  <si>
    <t>Silicon</t>
  </si>
  <si>
    <t>municipal</t>
  </si>
  <si>
    <t>Wastewater net</t>
  </si>
  <si>
    <t>Material &amp; Energy Flow Analysis Hydrometallurgy Alloy Route 1</t>
  </si>
  <si>
    <t>Assumptions</t>
  </si>
  <si>
    <t>Impurities in the alloy in% of the initial mass</t>
  </si>
  <si>
    <t>Standard</t>
  </si>
  <si>
    <t>Battery systems</t>
  </si>
  <si>
    <t>t p.a.</t>
  </si>
  <si>
    <t>Iron (total)</t>
  </si>
  <si>
    <t>Copper foil and connectors</t>
  </si>
  <si>
    <t>Total alloy mass</t>
  </si>
  <si>
    <t>Output</t>
  </si>
  <si>
    <t>Density [t / m³]</t>
  </si>
  <si>
    <t>Chargenanzahl [-]</t>
  </si>
  <si>
    <t>Rotary kiln</t>
  </si>
  <si>
    <t>T = 140 °C</t>
  </si>
  <si>
    <t>Heating, losses not taken into account</t>
  </si>
  <si>
    <t>Solution</t>
  </si>
  <si>
    <t>Metal sulfates</t>
  </si>
  <si>
    <t>Stirred tank</t>
  </si>
  <si>
    <t>about solubility of sulfates; Safety factor</t>
  </si>
  <si>
    <t>Lye</t>
  </si>
  <si>
    <t xml:space="preserve">
Cementation Cu</t>
  </si>
  <si>
    <t>Basin</t>
  </si>
  <si>
    <t>Assumption: Mol Cu * ratio molar masses Fe / Cu; Iron wool or iron filings; Overstoichiometric</t>
  </si>
  <si>
    <r>
      <t xml:space="preserve">&lt; 50 </t>
    </r>
    <r>
      <rPr>
        <sz val="11"/>
        <color theme="1"/>
        <rFont val="Calibri"/>
        <family val="2"/>
      </rPr>
      <t>µ</t>
    </r>
    <r>
      <rPr>
        <sz val="9.9"/>
        <color theme="1"/>
        <rFont val="Calibri"/>
        <family val="2"/>
      </rPr>
      <t>m</t>
    </r>
  </si>
  <si>
    <t>Copper (elementary)</t>
  </si>
  <si>
    <t>Oxidation Fe</t>
  </si>
  <si>
    <t>Vol.-%</t>
  </si>
  <si>
    <t>50% solution; Ratio x NaOH: 1 H2SO4</t>
  </si>
  <si>
    <t>Filtration Fe</t>
  </si>
  <si>
    <r>
      <t xml:space="preserve">Filter &lt; 15 </t>
    </r>
    <r>
      <rPr>
        <sz val="11"/>
        <color theme="1"/>
        <rFont val="Calibri"/>
        <family val="2"/>
      </rPr>
      <t>µ</t>
    </r>
    <r>
      <rPr>
        <sz val="9.9"/>
        <color theme="1"/>
        <rFont val="Calibri"/>
        <family val="2"/>
      </rPr>
      <t>m</t>
    </r>
  </si>
  <si>
    <t>Mass Fe * (molar mass Fe (OH) 3 / Fe)</t>
  </si>
  <si>
    <t>Extraction co</t>
  </si>
  <si>
    <t>a: o = 3: 1; overstoichiometric 1.3; 70% kerosene</t>
  </si>
  <si>
    <t>Cyanex 272 (Circulation)</t>
  </si>
  <si>
    <t>t per Charge</t>
  </si>
  <si>
    <t>a: o = 3: 1; overstoichiometric 1.3; 30% Cyanex</t>
  </si>
  <si>
    <t>Cyanex 272 compensation loss</t>
  </si>
  <si>
    <t>Loss p.a.</t>
  </si>
  <si>
    <t>Co-Solution</t>
  </si>
  <si>
    <t>Assumption: kerosene + Cyanex + cobalt sulfate + water content cobalt sulfate (solubility)</t>
  </si>
  <si>
    <t>NiSO4-Solution</t>
  </si>
  <si>
    <t>Scrubbing Co</t>
  </si>
  <si>
    <t>Co-solution (circulation)</t>
  </si>
  <si>
    <t>neglected</t>
  </si>
  <si>
    <t>included in extraction</t>
  </si>
  <si>
    <t>Stripping Co</t>
  </si>
  <si>
    <t>dilute sulfuric acid (mol / l)</t>
  </si>
  <si>
    <t>Ratio x H2SO4: 1 Cyanex</t>
  </si>
  <si>
    <r>
      <t>CoSO</t>
    </r>
    <r>
      <rPr>
        <vertAlign val="subscript"/>
        <sz val="11"/>
        <color theme="1"/>
        <rFont val="Calibri"/>
        <family val="2"/>
        <scheme val="minor"/>
      </rPr>
      <t>4</t>
    </r>
    <r>
      <rPr>
        <sz val="11"/>
        <color theme="1"/>
        <rFont val="Calibri"/>
        <family val="2"/>
        <scheme val="minor"/>
      </rPr>
      <t>-Solution</t>
    </r>
  </si>
  <si>
    <t>Circulation</t>
  </si>
  <si>
    <t>Evaporation crystallization</t>
  </si>
  <si>
    <r>
      <t>NiSO</t>
    </r>
    <r>
      <rPr>
        <vertAlign val="subscript"/>
        <sz val="11"/>
        <color theme="1"/>
        <rFont val="Calibri"/>
        <family val="2"/>
        <scheme val="minor"/>
      </rPr>
      <t>4</t>
    </r>
    <r>
      <rPr>
        <sz val="11"/>
        <color theme="1"/>
        <rFont val="Calibri"/>
        <family val="2"/>
        <scheme val="minor"/>
      </rPr>
      <t>-Solution</t>
    </r>
  </si>
  <si>
    <t>required evaporation energy</t>
  </si>
  <si>
    <t>evaporates and possibly condenses again</t>
  </si>
  <si>
    <t>no wastewater treatment necessary as it already evaporates in evaporative crystallization</t>
  </si>
  <si>
    <t>Material &amp; Energy Flow Analysis Hydrometallurgy Slag Route 1</t>
  </si>
  <si>
    <t xml:space="preserve">
Battery systems</t>
  </si>
  <si>
    <t>Assumption: Electronic components (module) are completely burned</t>
  </si>
  <si>
    <t>Aluminium foil</t>
  </si>
  <si>
    <t>Losses not taken into account</t>
  </si>
  <si>
    <t>Metal sulfates + silicon</t>
  </si>
  <si>
    <r>
      <t>Silicon (SiO</t>
    </r>
    <r>
      <rPr>
        <vertAlign val="subscript"/>
        <sz val="11"/>
        <color theme="1"/>
        <rFont val="Calibri"/>
        <family val="2"/>
        <scheme val="minor"/>
      </rPr>
      <t>2</t>
    </r>
    <r>
      <rPr>
        <sz val="11"/>
        <color theme="1"/>
        <rFont val="Calibri"/>
        <family val="2"/>
        <scheme val="minor"/>
      </rPr>
      <t>)</t>
    </r>
  </si>
  <si>
    <t>Calcium (CaO)</t>
  </si>
  <si>
    <t>Total Slag</t>
  </si>
  <si>
    <t>Percentage of iron in slag</t>
  </si>
  <si>
    <t>Rest in Alloy</t>
  </si>
  <si>
    <t>Share of lithium in slag</t>
  </si>
  <si>
    <t>Rest in Fly ash</t>
  </si>
  <si>
    <t>Calcium sulfate (gypsum), has to be processed</t>
  </si>
  <si>
    <t>Sand (Mix with gypsum)</t>
  </si>
  <si>
    <t>Precipitation Fe, Al</t>
  </si>
  <si>
    <t>Filtration Fe, Al</t>
  </si>
  <si>
    <r>
      <t>Iron hydroxide Fe(OH)</t>
    </r>
    <r>
      <rPr>
        <vertAlign val="subscript"/>
        <sz val="11"/>
        <color theme="1"/>
        <rFont val="Calibri"/>
        <family val="2"/>
        <scheme val="minor"/>
      </rPr>
      <t>3</t>
    </r>
  </si>
  <si>
    <t>Extraction Mn</t>
  </si>
  <si>
    <t>D2EHPA (Circulation)</t>
  </si>
  <si>
    <t>a: o = 3: 1; overstoichiometric 1.3; 30% D2EHPA</t>
  </si>
  <si>
    <t>D2EHPA compensation loss p.a.)</t>
  </si>
  <si>
    <t>Mn-Solution</t>
  </si>
  <si>
    <t>Assumption: kerosene + extraction agent + manganese sulfate + water content MnSO4</t>
  </si>
  <si>
    <t>Scrubbing Mn</t>
  </si>
  <si>
    <t>Becken</t>
  </si>
  <si>
    <t>Mn solution (circulation)</t>
  </si>
  <si>
    <t>Stripping Mn</t>
  </si>
  <si>
    <t xml:space="preserve">
included in extraction</t>
  </si>
  <si>
    <t>MnSO4-Solution</t>
  </si>
  <si>
    <t>Evaporator</t>
  </si>
  <si>
    <t>Dissolved lithium</t>
  </si>
  <si>
    <t>Assumption: lye = water; Target concentration Li =</t>
  </si>
  <si>
    <t>Concentration Li beforehand</t>
  </si>
  <si>
    <t>g/l</t>
  </si>
  <si>
    <t>1 g/l = 0,001 t/m³</t>
  </si>
  <si>
    <t>Minimum concentration for precipitation (lower limit)</t>
  </si>
  <si>
    <t>Target concentration</t>
  </si>
  <si>
    <t>Target set solution</t>
  </si>
  <si>
    <t>Precipitation Li (90 ° C)</t>
  </si>
  <si>
    <t>Na2CO3 --&gt; Li2CO3</t>
  </si>
  <si>
    <t>Carbonate (CO3)</t>
  </si>
  <si>
    <t>Lithium carbonate (optimum)</t>
  </si>
  <si>
    <t>overstoichiometric, factor</t>
  </si>
  <si>
    <t>Mass [t]</t>
  </si>
  <si>
    <t>Molar mass [g/mol]</t>
  </si>
  <si>
    <t>Molar amount [mol]</t>
  </si>
  <si>
    <t>Rolation ofcarbonate to metall</t>
  </si>
  <si>
    <t>Li</t>
  </si>
  <si>
    <r>
      <t>Li</t>
    </r>
    <r>
      <rPr>
        <vertAlign val="subscript"/>
        <sz val="11"/>
        <color theme="1"/>
        <rFont val="Calibri"/>
        <family val="2"/>
        <scheme val="minor"/>
      </rPr>
      <t>2</t>
    </r>
    <r>
      <rPr>
        <sz val="11"/>
        <color theme="1"/>
        <rFont val="Calibri"/>
        <family val="2"/>
        <scheme val="minor"/>
      </rPr>
      <t>CO</t>
    </r>
    <r>
      <rPr>
        <vertAlign val="subscript"/>
        <sz val="11"/>
        <color theme="1"/>
        <rFont val="Calibri"/>
        <family val="2"/>
        <scheme val="minor"/>
      </rPr>
      <t>3</t>
    </r>
    <r>
      <rPr>
        <sz val="11"/>
        <color theme="1"/>
        <rFont val="Calibri"/>
        <family val="2"/>
        <scheme val="minor"/>
      </rPr>
      <t xml:space="preserve"> (Real, incl. Rec.efficiency) [t]</t>
    </r>
  </si>
  <si>
    <t>Filtration Li</t>
  </si>
  <si>
    <t>Filter</t>
  </si>
  <si>
    <t>including upstream efficiency (86%)</t>
  </si>
  <si>
    <t>Wastewater pretreatment</t>
  </si>
  <si>
    <t>m³/h</t>
  </si>
  <si>
    <t>Assumption: 3 shifts [h]</t>
  </si>
  <si>
    <t>l/ min</t>
  </si>
  <si>
    <t>evaporated and possibly condensed again</t>
  </si>
  <si>
    <t>Reduction of the amount of wastewater by a factor:</t>
  </si>
  <si>
    <t>Plants and aggregates Route 1</t>
  </si>
  <si>
    <t>Capacity</t>
  </si>
  <si>
    <t>Piece p.a</t>
  </si>
  <si>
    <t>Piece. p.h</t>
  </si>
  <si>
    <t>Rest</t>
  </si>
  <si>
    <t>Piece p.h</t>
  </si>
  <si>
    <t>Work days</t>
  </si>
  <si>
    <t>System</t>
  </si>
  <si>
    <t xml:space="preserve">
Capacity unit</t>
  </si>
  <si>
    <t>Price (net)</t>
  </si>
  <si>
    <t>Surcharge factor</t>
  </si>
  <si>
    <t>Scale factor</t>
  </si>
  <si>
    <t>Maintenance rate</t>
  </si>
  <si>
    <t>Depreciation
period</t>
  </si>
  <si>
    <t>Depreciation</t>
  </si>
  <si>
    <t>Data Source</t>
  </si>
  <si>
    <t>System container</t>
  </si>
  <si>
    <t xml:space="preserve">LithoRec2 </t>
  </si>
  <si>
    <t>Hazardous material container (F-90)</t>
  </si>
  <si>
    <t>LithoRec2</t>
  </si>
  <si>
    <t>at least one container</t>
  </si>
  <si>
    <t>Unloading place &amp; device</t>
  </si>
  <si>
    <t>8 kWh discharge</t>
  </si>
  <si>
    <t>Disassembly area including tools</t>
  </si>
  <si>
    <t>Pyro</t>
  </si>
  <si>
    <t>Plasma torch, pocket filter, gas scrubbing</t>
  </si>
  <si>
    <t>Granulator (alloy)</t>
  </si>
  <si>
    <t>Granulator (slag)</t>
  </si>
  <si>
    <t xml:space="preserve">
Hydro
alloy</t>
  </si>
  <si>
    <t>Exposure</t>
  </si>
  <si>
    <r>
      <t>m</t>
    </r>
    <r>
      <rPr>
        <vertAlign val="superscript"/>
        <sz val="11"/>
        <color theme="1"/>
        <rFont val="Calibri"/>
        <family val="2"/>
        <scheme val="minor"/>
      </rPr>
      <t>3</t>
    </r>
    <r>
      <rPr>
        <sz val="11"/>
        <color theme="1"/>
        <rFont val="Calibri"/>
        <family val="2"/>
        <scheme val="minor"/>
      </rPr>
      <t>/ h</t>
    </r>
  </si>
  <si>
    <t>Reactor</t>
  </si>
  <si>
    <t>Band filter &lt;50um</t>
  </si>
  <si>
    <t>Precipitation Fe</t>
  </si>
  <si>
    <t>Reaktor</t>
  </si>
  <si>
    <t>Band filter &lt;15um</t>
  </si>
  <si>
    <t>Extraction Co</t>
  </si>
  <si>
    <t xml:space="preserve">Reactor </t>
  </si>
  <si>
    <t>Scrubbing co</t>
  </si>
  <si>
    <t>Evaporation crystallizer</t>
  </si>
  <si>
    <t>t/ h</t>
  </si>
  <si>
    <t xml:space="preserve">
Hydro
slag</t>
  </si>
  <si>
    <t>Chamber filter press</t>
  </si>
  <si>
    <t>Band filter</t>
  </si>
  <si>
    <t>Employee route 1</t>
  </si>
  <si>
    <t xml:space="preserve">
Process step</t>
  </si>
  <si>
    <t>Type of staff</t>
  </si>
  <si>
    <t xml:space="preserve">
Quantity</t>
  </si>
  <si>
    <t xml:space="preserve">
Gross employee salary
[EUR / year]</t>
  </si>
  <si>
    <t xml:space="preserve">
Employer social security contributions [%]</t>
  </si>
  <si>
    <t>Administration surcharge [%]</t>
  </si>
  <si>
    <t>Weekend surcharge [%] from 250 days</t>
  </si>
  <si>
    <t xml:space="preserve">
Annual costs per person [EUR]</t>
  </si>
  <si>
    <t xml:space="preserve">
Annual costs personnel group EUR]</t>
  </si>
  <si>
    <t xml:space="preserve">
Cum. Costs per year [EUR / YEAR]</t>
  </si>
  <si>
    <t>Data source, explanation</t>
  </si>
  <si>
    <t>Dismantling specialist</t>
  </si>
  <si>
    <t>Qualified electrician</t>
  </si>
  <si>
    <t>Operating personnel</t>
  </si>
  <si>
    <t>Control room attendant</t>
  </si>
  <si>
    <t>Hydro Alloy</t>
  </si>
  <si>
    <t>Hydro Slag</t>
  </si>
  <si>
    <t>Material &amp; Energy Flow Analysis -  Route 2</t>
  </si>
  <si>
    <t>mechanical processing</t>
  </si>
  <si>
    <t>Contamination in BM in% of the starting mass</t>
  </si>
  <si>
    <t>Tonnen p.a.</t>
  </si>
  <si>
    <t>t/h</t>
  </si>
  <si>
    <t xml:space="preserve">
Aluminum foil</t>
  </si>
  <si>
    <t>Residual energy</t>
  </si>
  <si>
    <t>Working days</t>
  </si>
  <si>
    <t>Days in the year</t>
  </si>
  <si>
    <t xml:space="preserve">
Iron (cell)</t>
  </si>
  <si>
    <t>Working hours</t>
  </si>
  <si>
    <t>Hours per day</t>
  </si>
  <si>
    <t>Menge</t>
  </si>
  <si>
    <t xml:space="preserve">
various alloys, steel, paint</t>
  </si>
  <si>
    <t>2. mechanical processing</t>
  </si>
  <si>
    <t>Assumption: x kg inert gas per kg battery</t>
  </si>
  <si>
    <t>Density N2 [kg / m³]</t>
  </si>
  <si>
    <t>Shredded material</t>
  </si>
  <si>
    <t>Natural gas</t>
  </si>
  <si>
    <t>Electrolyte (g)</t>
  </si>
  <si>
    <t>Exhaust</t>
  </si>
  <si>
    <t>If there is no electrolyte condensation</t>
  </si>
  <si>
    <t>Assumption density (LiPF6):</t>
  </si>
  <si>
    <t>Electrolyte (l)</t>
  </si>
  <si>
    <t>Steel (module)</t>
  </si>
  <si>
    <t>Steel (cell)</t>
  </si>
  <si>
    <t>Impurity in BM</t>
  </si>
  <si>
    <t>Aluminium (module)</t>
  </si>
  <si>
    <t>Plastic (module)</t>
  </si>
  <si>
    <t>Incineration</t>
  </si>
  <si>
    <t>Assumption: plastic; unknown composition (combustion)</t>
  </si>
  <si>
    <t>Copper (module)</t>
  </si>
  <si>
    <t>Schredder 2</t>
  </si>
  <si>
    <t>Assumption: 50% shredder 1</t>
  </si>
  <si>
    <t>Electicity</t>
  </si>
  <si>
    <t>Active material</t>
  </si>
  <si>
    <t>including impurities of Cu, Al, Fe; Sieving efficiency taken into account</t>
  </si>
  <si>
    <t>Light fraction</t>
  </si>
  <si>
    <t>Foils</t>
  </si>
  <si>
    <t>Zig-zag sighting 2</t>
  </si>
  <si>
    <t>Aluminum foil</t>
  </si>
  <si>
    <t>Other (plastics; active material)</t>
  </si>
  <si>
    <t>Other (cell); for incineration</t>
  </si>
  <si>
    <t>Cumulative route 2 total</t>
  </si>
  <si>
    <r>
      <t>Li</t>
    </r>
    <r>
      <rPr>
        <vertAlign val="subscript"/>
        <sz val="11"/>
        <color theme="1"/>
        <rFont val="Calibri"/>
        <family val="2"/>
        <scheme val="minor"/>
      </rPr>
      <t>2</t>
    </r>
    <r>
      <rPr>
        <sz val="11"/>
        <color theme="1"/>
        <rFont val="Calibri"/>
        <family val="2"/>
        <scheme val="minor"/>
      </rPr>
      <t>CO</t>
    </r>
    <r>
      <rPr>
        <vertAlign val="subscript"/>
        <sz val="11"/>
        <color theme="1"/>
        <rFont val="Calibri"/>
        <family val="2"/>
        <scheme val="minor"/>
      </rPr>
      <t>3</t>
    </r>
    <r>
      <rPr>
        <sz val="11"/>
        <color theme="1"/>
        <rFont val="Calibri"/>
        <family val="2"/>
        <scheme val="minor"/>
      </rPr>
      <t xml:space="preserve"> (anhydrous)</t>
    </r>
  </si>
  <si>
    <t>Material &amp; Energy Flow Analysis - Hydrometallurgy Route 2</t>
  </si>
  <si>
    <t>Impurities in BM in% of the initial mass</t>
  </si>
  <si>
    <t>Iron (Cell)</t>
  </si>
  <si>
    <t xml:space="preserve">Copper Foil </t>
  </si>
  <si>
    <t>Total Black Mass</t>
  </si>
  <si>
    <t>Batch number [-]</t>
  </si>
  <si>
    <t>Black Mass</t>
  </si>
  <si>
    <t>Metal sulfates + graphite</t>
  </si>
  <si>
    <t>calculated using solubility of sulfates; Safety factor</t>
  </si>
  <si>
    <t>Filtration C</t>
  </si>
  <si>
    <r>
      <t xml:space="preserve">Filter &lt; 10 </t>
    </r>
    <r>
      <rPr>
        <sz val="11"/>
        <color theme="1"/>
        <rFont val="Calibri"/>
        <family val="2"/>
      </rPr>
      <t>µ</t>
    </r>
    <r>
      <rPr>
        <sz val="9.9"/>
        <color theme="1"/>
        <rFont val="Calibri"/>
        <family val="2"/>
      </rPr>
      <t>m</t>
    </r>
  </si>
  <si>
    <t>Graphit</t>
  </si>
  <si>
    <t>Washing C</t>
  </si>
  <si>
    <t>Circulation wash water</t>
  </si>
  <si>
    <t>For 1t graphite: Xt wash water</t>
  </si>
  <si>
    <t>Metal ion contamination &lt;10 mg / kg</t>
  </si>
  <si>
    <t>Assumption: Mol Cu * molar mass ratio Fe / Cu; Iron wool or iron filings; Overstoichiometric</t>
  </si>
  <si>
    <t>Copper (elemental)</t>
  </si>
  <si>
    <t>Precipitation Al + Fe</t>
  </si>
  <si>
    <t>Filtration Al+Fe</t>
  </si>
  <si>
    <t>Aluminum hydroxide Al(OH)3</t>
  </si>
  <si>
    <t>Mass Al * (molar mass Al (OH) 3 / Al)</t>
  </si>
  <si>
    <t>Extraction Co+Ni</t>
  </si>
  <si>
    <t xml:space="preserve">
Kerosene (circulation)</t>
  </si>
  <si>
    <t>a: o = 3: 1; overstoichiometric 1.3; 70% kerosene, Cyanex 301GN consists of 20% kerosene; Total kerosene share</t>
  </si>
  <si>
    <t>Cyanex 301GN (circulation)</t>
  </si>
  <si>
    <t>t per charge</t>
  </si>
  <si>
    <t>a: o = 3: 1; overstoichiometric 1.3; 30% Cyanex, Cyanex 301 GN consists of 80% Cyanex 301, total Cyanex:</t>
  </si>
  <si>
    <t>Cyanex 301GN compensation for loss p.a.</t>
  </si>
  <si>
    <t xml:space="preserve">
Loss p.a.</t>
  </si>
  <si>
    <t>Co-Ni-Solution</t>
  </si>
  <si>
    <t>Assumption: kerosene + Cyanex + cobalt sulfate + water content Co + nickel sulfate + water content Ni</t>
  </si>
  <si>
    <t>continue in Mn extraction</t>
  </si>
  <si>
    <t>Scrubbing Co+Ni</t>
  </si>
  <si>
    <t>Co-Ni solution (circulation)</t>
  </si>
  <si>
    <t>Stripping Co+Ni</t>
  </si>
  <si>
    <t xml:space="preserve">Circulation </t>
  </si>
  <si>
    <t>Kerosene (circulation)</t>
  </si>
  <si>
    <t>Cyanex 272 (circulation)</t>
  </si>
  <si>
    <t xml:space="preserve">
a: o = 3: 1; overstoichiometric 1.3; 30% Cyanex</t>
  </si>
  <si>
    <t>Cyanex 272 compensation loss p.a.</t>
  </si>
  <si>
    <t>Assumption: kerosene + Cyanex + cobalt sulfate + water content cobalt</t>
  </si>
  <si>
    <t>Input - Ni crystallization</t>
  </si>
  <si>
    <t>D2EHPA (circulation)</t>
  </si>
  <si>
    <t xml:space="preserve">
a: o = 3: 1; overstoichiometric 1.3; 30% D2EHPA</t>
  </si>
  <si>
    <t>D2EHPA compensation loss p.a.</t>
  </si>
  <si>
    <t>Assumption: kerosene + D2EHPA + manganese sulfate + water content manganese</t>
  </si>
  <si>
    <r>
      <t>MnSO</t>
    </r>
    <r>
      <rPr>
        <vertAlign val="subscript"/>
        <sz val="11"/>
        <color theme="1"/>
        <rFont val="Calibri"/>
        <family val="2"/>
        <scheme val="minor"/>
      </rPr>
      <t>4</t>
    </r>
    <r>
      <rPr>
        <sz val="11"/>
        <color theme="1"/>
        <rFont val="Calibri"/>
        <family val="2"/>
        <scheme val="minor"/>
      </rPr>
      <t>-Solution</t>
    </r>
  </si>
  <si>
    <t xml:space="preserve">
Concentration Li</t>
  </si>
  <si>
    <t>Amount of dissolved lithium</t>
  </si>
  <si>
    <t xml:space="preserve">
Assumption: lye = water; Target concentration Li =</t>
  </si>
  <si>
    <t>Molar mass [g / mol]</t>
  </si>
  <si>
    <t>ratio of carbonate to metal</t>
  </si>
  <si>
    <t>Molmenge [mol]</t>
  </si>
  <si>
    <t xml:space="preserve">
Molar mass [g / mol]</t>
  </si>
  <si>
    <t>Li2CO3 (Real, incl. Rec efficiency) [t]</t>
  </si>
  <si>
    <t xml:space="preserve">
Filter Li</t>
  </si>
  <si>
    <t>Plants and aggregates Route 2</t>
  </si>
  <si>
    <t>Piece. p.a</t>
  </si>
  <si>
    <t>d</t>
  </si>
  <si>
    <t>Capacity unit</t>
  </si>
  <si>
    <t>Price (nett)</t>
  </si>
  <si>
    <t xml:space="preserve">
Investments</t>
  </si>
  <si>
    <t>Maintenance</t>
  </si>
  <si>
    <t>Source</t>
  </si>
  <si>
    <t xml:space="preserve">
Assumptions</t>
  </si>
  <si>
    <t>Mixing dryer</t>
  </si>
  <si>
    <t>Magnetic separator</t>
  </si>
  <si>
    <t>Aerial sighting</t>
  </si>
  <si>
    <t>Granulator</t>
  </si>
  <si>
    <t>Extraction (DMC and water), solvent cleaning</t>
  </si>
  <si>
    <t>Hydro</t>
  </si>
  <si>
    <t>Sprinkling</t>
  </si>
  <si>
    <t>Cristallisation Ni</t>
  </si>
  <si>
    <t>Cristallisation Co</t>
  </si>
  <si>
    <t>Cristallisation Mn</t>
  </si>
  <si>
    <t>Precipitation Li</t>
  </si>
  <si>
    <t>Process Step</t>
  </si>
  <si>
    <t>Employer social security contributions [%]</t>
  </si>
  <si>
    <t>Annual costs per person [EUR]</t>
  </si>
  <si>
    <t>Annual costs for personnel group [EUR]</t>
  </si>
  <si>
    <t>Cum. Costs per year [EUR / YEAR]</t>
  </si>
  <si>
    <t xml:space="preserve">
Data source, explanation</t>
  </si>
  <si>
    <t>Mechanical processing</t>
  </si>
  <si>
    <t>Material &amp; Energy Flow Analysis -  Route 3</t>
  </si>
  <si>
    <t>Tonnen</t>
  </si>
  <si>
    <t>Stunden</t>
  </si>
  <si>
    <t>kWh / Batterie</t>
  </si>
  <si>
    <t>Working Days</t>
  </si>
  <si>
    <t xml:space="preserve">
Dismantling time</t>
  </si>
  <si>
    <t>Dense oxygen</t>
  </si>
  <si>
    <t>Einheit</t>
  </si>
  <si>
    <t>Natural Gas (CH4)</t>
  </si>
  <si>
    <t>Dismantling till cell</t>
  </si>
  <si>
    <t>various alloys, steel, paint</t>
  </si>
  <si>
    <t>Steel (System)</t>
  </si>
  <si>
    <t xml:space="preserve">
for incineration</t>
  </si>
  <si>
    <t xml:space="preserve">Aluminium  </t>
  </si>
  <si>
    <t>From here module dismantling</t>
  </si>
  <si>
    <t>2. Pyrolysis</t>
  </si>
  <si>
    <t>max. 600°C</t>
  </si>
  <si>
    <t>Battery cells</t>
  </si>
  <si>
    <t>Assumption of density LiPF6 (assuming CO2):</t>
  </si>
  <si>
    <t>3. Mechanical processing</t>
  </si>
  <si>
    <t>Steel (Cells)</t>
  </si>
  <si>
    <t>4. Pyrometallurgy</t>
  </si>
  <si>
    <t>Exhaust gases</t>
  </si>
  <si>
    <t>Material &amp; Energy Flow Analysis - Hydrometallurgy Legierung Route 3</t>
  </si>
  <si>
    <t>Iron (Total)</t>
  </si>
  <si>
    <t>Alloy mass total</t>
  </si>
  <si>
    <t>Co-Solution (Circulation)</t>
  </si>
  <si>
    <t>is neglected</t>
  </si>
  <si>
    <t>Cristallsiation Co</t>
  </si>
  <si>
    <t>Material &amp; Energy Flow Analysis Hydrometallurgy Slag Route 3</t>
  </si>
  <si>
    <t>Betriebsmittel</t>
  </si>
  <si>
    <t xml:space="preserve">
Rotary kiln</t>
  </si>
  <si>
    <r>
      <t>Silicium (SiO</t>
    </r>
    <r>
      <rPr>
        <vertAlign val="subscript"/>
        <sz val="11"/>
        <color theme="1"/>
        <rFont val="Calibri"/>
        <family val="2"/>
        <scheme val="minor"/>
      </rPr>
      <t>2</t>
    </r>
    <r>
      <rPr>
        <sz val="11"/>
        <color theme="1"/>
        <rFont val="Calibri"/>
        <family val="2"/>
        <scheme val="minor"/>
      </rPr>
      <t>)</t>
    </r>
  </si>
  <si>
    <t>Slag total</t>
  </si>
  <si>
    <t>Sand (mixture with gypsum)</t>
  </si>
  <si>
    <t xml:space="preserve">
Ratio of carbonate to metal</t>
  </si>
  <si>
    <t>Masse [t]</t>
  </si>
  <si>
    <r>
      <t>Li</t>
    </r>
    <r>
      <rPr>
        <vertAlign val="subscript"/>
        <sz val="11"/>
        <color theme="1"/>
        <rFont val="Calibri"/>
        <family val="2"/>
        <scheme val="minor"/>
      </rPr>
      <t>2</t>
    </r>
    <r>
      <rPr>
        <sz val="11"/>
        <color theme="1"/>
        <rFont val="Calibri"/>
        <family val="2"/>
        <scheme val="minor"/>
      </rPr>
      <t>CO</t>
    </r>
    <r>
      <rPr>
        <vertAlign val="subscript"/>
        <sz val="11"/>
        <color theme="1"/>
        <rFont val="Calibri"/>
        <family val="2"/>
        <scheme val="minor"/>
      </rPr>
      <t>3</t>
    </r>
    <r>
      <rPr>
        <sz val="11"/>
        <color theme="1"/>
        <rFont val="Calibri"/>
        <family val="2"/>
        <scheme val="minor"/>
      </rPr>
      <t xml:space="preserve"> (Real, incl. Rec. Efficiency) [t]</t>
    </r>
  </si>
  <si>
    <t>Plants and aggregates Route 3</t>
  </si>
  <si>
    <t xml:space="preserve">
Depreciation</t>
  </si>
  <si>
    <t>Annahmen</t>
  </si>
  <si>
    <t>Storage (deffective)</t>
  </si>
  <si>
    <t xml:space="preserve">
Mechanical processing</t>
  </si>
  <si>
    <t>Magnetic seperation</t>
  </si>
  <si>
    <t>Blast furnace</t>
  </si>
  <si>
    <t>Gas scrubber</t>
  </si>
  <si>
    <t>Mill</t>
  </si>
  <si>
    <t>Mill (Alloy)</t>
  </si>
  <si>
    <t>Mill (Slag)</t>
  </si>
  <si>
    <t>Band filter  &lt;15um</t>
  </si>
  <si>
    <t>Exposure (140 °C)</t>
  </si>
  <si>
    <t>Filter SiO2, CaSO4</t>
  </si>
  <si>
    <t>Precipitation Li (90°C)</t>
  </si>
  <si>
    <t>Filter Li</t>
  </si>
  <si>
    <t>Staff route 3</t>
  </si>
  <si>
    <t>Number</t>
  </si>
  <si>
    <t>Gross employee salary
[EUR / year]</t>
  </si>
  <si>
    <t>Energy requirement calculation - basis for MEFA</t>
  </si>
  <si>
    <t xml:space="preserve">System </t>
  </si>
  <si>
    <t>Connected load [kW]</t>
  </si>
  <si>
    <t>Surcharge factor (periphery)</t>
  </si>
  <si>
    <t>Total power [kW]</t>
  </si>
  <si>
    <t>required capacity</t>
  </si>
  <si>
    <t>Degression coefficient</t>
  </si>
  <si>
    <t>Total performance according to degression
[kW]</t>
  </si>
  <si>
    <t>Throughput per year</t>
  </si>
  <si>
    <t>Maximum annual hours [h / a]</t>
  </si>
  <si>
    <t>Annual energy demand
[kWh / a]
[kWh/a]</t>
  </si>
  <si>
    <t>Batch time [h]</t>
  </si>
  <si>
    <t>Number of batches per year</t>
  </si>
  <si>
    <t>Industrial truck</t>
  </si>
  <si>
    <t>Unloading place and device</t>
  </si>
  <si>
    <t>Disassembly place and tools</t>
  </si>
  <si>
    <t>Blast Furnance</t>
  </si>
  <si>
    <t>Blast furnance periphery</t>
  </si>
  <si>
    <t>Loesche LM15.2</t>
  </si>
  <si>
    <t>Evaporation crystallisator</t>
  </si>
  <si>
    <t>Approx. Phys. Optimum (see below)</t>
  </si>
  <si>
    <t>Filter Fe, Al</t>
  </si>
  <si>
    <t>Prozess step</t>
  </si>
  <si>
    <t>Process/ Apparatus</t>
  </si>
  <si>
    <t>Degression</t>
  </si>
  <si>
    <t>Unlaoding place and device</t>
  </si>
  <si>
    <t>Cutting mill</t>
  </si>
  <si>
    <t>Dry</t>
  </si>
  <si>
    <t>Waste gas cleaning</t>
  </si>
  <si>
    <t>Zigzag sighting 1</t>
  </si>
  <si>
    <t>50% power of Shredder 1</t>
  </si>
  <si>
    <t>Zigzag sighting 2</t>
  </si>
  <si>
    <t>Surface capacitor</t>
  </si>
  <si>
    <t>Filtration &lt;10um</t>
  </si>
  <si>
    <t>Filtration Cu &lt;50um</t>
  </si>
  <si>
    <t>Precipitation Al+Fe</t>
  </si>
  <si>
    <t>Filtration &lt;15um</t>
  </si>
  <si>
    <t xml:space="preserve">
Process / apparatus</t>
  </si>
  <si>
    <t>Total performance according to degression</t>
  </si>
  <si>
    <t>Annual energy demand
[kWh / a]</t>
  </si>
  <si>
    <t>50% longer process duration if disassembled to cell level</t>
  </si>
  <si>
    <t>Pyrolyse</t>
  </si>
  <si>
    <t>Densitiy of battery cell 2500 kg/m3; Linear increase of energy compared to temparature</t>
  </si>
  <si>
    <t>Reference offer, Outotec Lacrox FFP 1516</t>
  </si>
  <si>
    <t>Evaporation crystallisor</t>
  </si>
  <si>
    <t>Approximations</t>
  </si>
  <si>
    <t xml:space="preserve">
General material values ​​and formulas</t>
  </si>
  <si>
    <t>Heat capacity H2SO4 (c)</t>
  </si>
  <si>
    <t>kJ/ kg*K</t>
  </si>
  <si>
    <t xml:space="preserve">
Assumption: solution = 100% H2SO4</t>
  </si>
  <si>
    <t>Heating the solution</t>
  </si>
  <si>
    <r>
      <t>Q= c*m*</t>
    </r>
    <r>
      <rPr>
        <sz val="11"/>
        <color theme="1"/>
        <rFont val="Calibri"/>
        <family val="2"/>
      </rPr>
      <t>Δ</t>
    </r>
    <r>
      <rPr>
        <sz val="9.9"/>
        <color theme="1"/>
        <rFont val="Calibri"/>
        <family val="2"/>
      </rPr>
      <t>T</t>
    </r>
  </si>
  <si>
    <t>kJ</t>
  </si>
  <si>
    <t>spec. Heat of evaporation q</t>
  </si>
  <si>
    <t>kJ/ kg</t>
  </si>
  <si>
    <t xml:space="preserve">
Assumption: solution = 100% water</t>
  </si>
  <si>
    <t>Evaporation of water</t>
  </si>
  <si>
    <t>Q=q*m</t>
  </si>
  <si>
    <t xml:space="preserve">
Exposure</t>
  </si>
  <si>
    <t>Temperatur Input</t>
  </si>
  <si>
    <t>°C</t>
  </si>
  <si>
    <t>Target temperature</t>
  </si>
  <si>
    <t>Q (Route 1, Alloy)</t>
  </si>
  <si>
    <t>MJ p.a.</t>
  </si>
  <si>
    <t>Q (Route 1, Slag)</t>
  </si>
  <si>
    <t>Q (Route 2)</t>
  </si>
  <si>
    <t>Cristallisation</t>
  </si>
  <si>
    <t>Q (Nickel, Route 1 Alloy)</t>
  </si>
  <si>
    <t>Q (Cobalt, Route 1 Alloy)</t>
  </si>
  <si>
    <t>Q (Manganese, Route 1, Slag)</t>
  </si>
  <si>
    <t>Q (Nickel, Route 2)</t>
  </si>
  <si>
    <t>Q (Cobalt, Route 2)</t>
  </si>
  <si>
    <t>Q (Manganese, Route 2)</t>
  </si>
  <si>
    <t>Q (Nickel, Route 3, Alloy)</t>
  </si>
  <si>
    <t>Q (Cobalt, Route 3, Alloy)</t>
  </si>
  <si>
    <t>Q (Manganese, Route 3, Slag)</t>
  </si>
  <si>
    <t>Concentration of lithium</t>
  </si>
  <si>
    <t>Q (Route 3, Slag)</t>
  </si>
  <si>
    <t>no Li concentration necessary</t>
  </si>
  <si>
    <t xml:space="preserve">
Concentration of wastewater</t>
  </si>
  <si>
    <t xml:space="preserve">
Electrolyte recovery</t>
  </si>
  <si>
    <t xml:space="preserve">
Surface capacitor</t>
  </si>
  <si>
    <t>Temperature steam</t>
  </si>
  <si>
    <t>Condensate temperature</t>
  </si>
  <si>
    <t>Molar enthalpy of vaporization</t>
  </si>
  <si>
    <t>kJ/mol</t>
  </si>
  <si>
    <t>Molar mass water</t>
  </si>
  <si>
    <t>kg/mol</t>
  </si>
  <si>
    <t>specific enthalpy of vaporization steam</t>
  </si>
  <si>
    <t>kJ/kg</t>
  </si>
  <si>
    <t>specific enthalpy of evaporation condensate</t>
  </si>
  <si>
    <t>Mass flow of steam (link to the model)</t>
  </si>
  <si>
    <t>ton</t>
  </si>
  <si>
    <t>Heat to be dissipated</t>
  </si>
  <si>
    <t>MJ</t>
  </si>
  <si>
    <t>Efficiency</t>
  </si>
  <si>
    <t>Stoichiometry Route 1</t>
  </si>
  <si>
    <t>Alloy:</t>
  </si>
  <si>
    <t>Source: GESTIS substance database</t>
  </si>
  <si>
    <t>https://www.dguv.de/ifa/gestis/gestis-stoffdatenbank/index-2.jsp</t>
  </si>
  <si>
    <t>Fraction</t>
  </si>
  <si>
    <t>Density [g /cm³]</t>
  </si>
  <si>
    <t>Molar mass [g /mol]</t>
  </si>
  <si>
    <t>Parts of metal: parts of sulphate</t>
  </si>
  <si>
    <t>Solubility in water at T = 20 ° C (standard)</t>
  </si>
  <si>
    <t>1:1</t>
  </si>
  <si>
    <t>Cobalt sulfate</t>
  </si>
  <si>
    <t>kg/m³</t>
  </si>
  <si>
    <t>Nickel sulfate</t>
  </si>
  <si>
    <t>Manganese sulfate</t>
  </si>
  <si>
    <t>Lithium sulfate</t>
  </si>
  <si>
    <t>Copper sulfate</t>
  </si>
  <si>
    <t>Iron sulfate</t>
  </si>
  <si>
    <t>-SO4</t>
  </si>
  <si>
    <t>Aluminium sulfate</t>
  </si>
  <si>
    <t>H2SO4</t>
  </si>
  <si>
    <t>Nickel sulfate (NiSO4)</t>
  </si>
  <si>
    <t>1 Mol A + 1 Mol B= 1 Mol C</t>
  </si>
  <si>
    <t>Cobalt sulfate (CoSO4)</t>
  </si>
  <si>
    <t>Copper sulfate (CuSO4)</t>
  </si>
  <si>
    <t>Iron sulfate (FeSO4)</t>
  </si>
  <si>
    <t>Solution (approximate)</t>
  </si>
  <si>
    <r>
      <t>Fe(OH)</t>
    </r>
    <r>
      <rPr>
        <vertAlign val="subscript"/>
        <sz val="11"/>
        <color theme="1"/>
        <rFont val="Calibri"/>
        <family val="2"/>
        <scheme val="minor"/>
      </rPr>
      <t>3</t>
    </r>
  </si>
  <si>
    <t>Sodium hydroxide (100% for hydroxide formation of Al + Fe)</t>
  </si>
  <si>
    <t>1:3</t>
  </si>
  <si>
    <t>Kerosene (mean)</t>
  </si>
  <si>
    <t>Water content (nickel sulfate)</t>
  </si>
  <si>
    <t>6:1</t>
  </si>
  <si>
    <t>Water content (cobalt sulfate)</t>
  </si>
  <si>
    <t>7:1</t>
  </si>
  <si>
    <t>Slag:</t>
  </si>
  <si>
    <t>2:3</t>
  </si>
  <si>
    <t>2:1</t>
  </si>
  <si>
    <t>Calcium</t>
  </si>
  <si>
    <t>Calcium oxide (CaO)</t>
  </si>
  <si>
    <t>Silicon dioxide (SiO2)</t>
  </si>
  <si>
    <t>insoluble</t>
  </si>
  <si>
    <t>Aluminum sulfate (Al2 (SO4) 3)</t>
  </si>
  <si>
    <t>Manganese Sulphate (MnSO4)</t>
  </si>
  <si>
    <t xml:space="preserve">
Lithium sulfate (Li2SO4)</t>
  </si>
  <si>
    <t>Calcium sulfate (CaSO4)</t>
  </si>
  <si>
    <t>practically insoluble</t>
  </si>
  <si>
    <t>Silicon (mean)</t>
  </si>
  <si>
    <r>
      <t>Al(OH)</t>
    </r>
    <r>
      <rPr>
        <vertAlign val="subscript"/>
        <sz val="11"/>
        <color theme="1"/>
        <rFont val="Calibri"/>
        <family val="2"/>
        <scheme val="minor"/>
      </rPr>
      <t>3</t>
    </r>
  </si>
  <si>
    <r>
      <t>Ca(OH)</t>
    </r>
    <r>
      <rPr>
        <vertAlign val="subscript"/>
        <sz val="11"/>
        <color theme="1"/>
        <rFont val="Calibri"/>
        <family val="2"/>
        <scheme val="minor"/>
      </rPr>
      <t>2</t>
    </r>
  </si>
  <si>
    <t>Sodium hydroxide (100% for hydroxide formation of Al, Fe, Ca)</t>
  </si>
  <si>
    <t>1:3 bzw. 1:2</t>
  </si>
  <si>
    <t>Water content (manganese sulfate)</t>
  </si>
  <si>
    <t>Stoichiometry Route 2</t>
  </si>
  <si>
    <t>Lithium sulfate (Li2SO4)</t>
  </si>
  <si>
    <t>Graphite (Average)</t>
  </si>
  <si>
    <t>Stoichiometry Route 3</t>
  </si>
  <si>
    <t>Coper sulfate (CuSO4)</t>
  </si>
  <si>
    <t>Water content (Nickel sulfate)</t>
  </si>
  <si>
    <t>Water content (Kobalt sulfate)</t>
  </si>
  <si>
    <t>Silicium dioxide (SiO2)</t>
  </si>
  <si>
    <r>
      <t>Aluminium sulfate (Al</t>
    </r>
    <r>
      <rPr>
        <vertAlign val="subscript"/>
        <sz val="11"/>
        <color theme="1"/>
        <rFont val="Calibri"/>
        <family val="2"/>
        <scheme val="minor"/>
      </rPr>
      <t>2</t>
    </r>
    <r>
      <rPr>
        <sz val="11"/>
        <color theme="1"/>
        <rFont val="Calibri"/>
        <family val="2"/>
        <scheme val="minor"/>
      </rPr>
      <t>(SO4)</t>
    </r>
    <r>
      <rPr>
        <vertAlign val="subscript"/>
        <sz val="11"/>
        <color theme="1"/>
        <rFont val="Calibri"/>
        <family val="2"/>
        <scheme val="minor"/>
      </rPr>
      <t>3</t>
    </r>
    <r>
      <rPr>
        <sz val="11"/>
        <color theme="1"/>
        <rFont val="Calibri"/>
        <family val="2"/>
        <scheme val="minor"/>
      </rPr>
      <t>)</t>
    </r>
  </si>
  <si>
    <t>Manganese sulfate (MnSO4)</t>
  </si>
  <si>
    <r>
      <t>Lithium sulfate (Li</t>
    </r>
    <r>
      <rPr>
        <vertAlign val="subscript"/>
        <sz val="11"/>
        <color theme="1"/>
        <rFont val="Calibri"/>
        <family val="2"/>
        <scheme val="minor"/>
      </rPr>
      <t>2</t>
    </r>
    <r>
      <rPr>
        <sz val="11"/>
        <color theme="1"/>
        <rFont val="Calibri"/>
        <family val="2"/>
        <scheme val="minor"/>
      </rPr>
      <t>SO4)</t>
    </r>
  </si>
  <si>
    <t>Product</t>
  </si>
  <si>
    <t>(Recycling) process</t>
  </si>
  <si>
    <t>Ecoinvent process</t>
  </si>
  <si>
    <t>customizable kg CO2 equivalent / kg product</t>
  </si>
  <si>
    <t>kg CO2 equivalent / kg product Standard (Ecoinvent)</t>
  </si>
  <si>
    <t xml:space="preserve">
Annotation</t>
  </si>
  <si>
    <t>Process water</t>
  </si>
  <si>
    <t>market for tap water [Europe without Switzerland]</t>
  </si>
  <si>
    <t>Exposure, stripping</t>
  </si>
  <si>
    <t>Precipitation</t>
  </si>
  <si>
    <t>market for hydrogen peroxide, without water, in 50% solution state [RER]</t>
  </si>
  <si>
    <t>Extraction</t>
  </si>
  <si>
    <t>market for kerosene [Europe without Switzerland]</t>
  </si>
  <si>
    <t>Nitrogen, liquid (inert gas)</t>
  </si>
  <si>
    <t>market for nitrogen, liquid [RER]</t>
  </si>
  <si>
    <t>org. Solvent; Cyanex 272, 301GN, D2EHPA</t>
  </si>
  <si>
    <t>Aluminum hydroxide</t>
  </si>
  <si>
    <t>Hydrometallurgy</t>
  </si>
  <si>
    <t>market for aluminium hydroxide [GLO]</t>
  </si>
  <si>
    <t>Al2(OH)3</t>
  </si>
  <si>
    <t>Copper production</t>
  </si>
  <si>
    <t>Graphite production</t>
  </si>
  <si>
    <t>Manganese sulphate production</t>
  </si>
  <si>
    <t>market for manganese sulfate [GLO]</t>
  </si>
  <si>
    <t>Production of nickel sulphate</t>
  </si>
  <si>
    <t>market for nickel sulfate [GLO]</t>
  </si>
  <si>
    <t xml:space="preserve">Nickel </t>
  </si>
  <si>
    <t>Nickel production</t>
  </si>
  <si>
    <t>Production of cobalt sulphate</t>
  </si>
  <si>
    <t>market for cobalt [GLO]</t>
  </si>
  <si>
    <t>Lithium carbonate</t>
  </si>
  <si>
    <t>Production of lithium carbonate</t>
  </si>
  <si>
    <t>market for lithium carbonate [GLO]</t>
  </si>
  <si>
    <t>Heat from natural gas</t>
  </si>
  <si>
    <t>Natural gas combustion</t>
  </si>
  <si>
    <t>heat production, natural gas, at industrial furnace &gt;100kW [Europe without Switzerland]</t>
  </si>
  <si>
    <t>market for process-specific burdens, municipal waste incineration [RoW]</t>
  </si>
  <si>
    <t>Polypropylene granulate (PP)</t>
  </si>
  <si>
    <t>PP production</t>
  </si>
  <si>
    <t>market for polypropylene, granulate [GLO]</t>
  </si>
  <si>
    <t>Iron making</t>
  </si>
  <si>
    <t>Primary aluminum, ingots</t>
  </si>
  <si>
    <t>Melting + pouring</t>
  </si>
  <si>
    <t>aluminium production, primary, ingot [IAI Area, EU27 &amp; EFTA]</t>
  </si>
  <si>
    <t>Cable recycling</t>
  </si>
  <si>
    <t>Treatment cable</t>
  </si>
  <si>
    <t>treatment of waste electric wiring, collection for final disposal [CH]</t>
  </si>
  <si>
    <t>Cable scrap</t>
  </si>
  <si>
    <t>see treatment cables</t>
  </si>
  <si>
    <t>Recycling control units (electronic products)</t>
  </si>
  <si>
    <t>Treatment of electronic components</t>
  </si>
  <si>
    <t>treatment of electronics scrap from control units [RER]</t>
  </si>
  <si>
    <t>Electronic scrap, control units</t>
  </si>
  <si>
    <t>Incineration of hazardous waste</t>
  </si>
  <si>
    <t>Waste incineration</t>
  </si>
  <si>
    <t>treatment of hazardous waste, hazardous waste incineration [Europe without Switzerland]</t>
  </si>
  <si>
    <t>Industrial wastewater (electrical industry)</t>
  </si>
  <si>
    <t>Treatment of industrial wastewater</t>
  </si>
  <si>
    <t>m³ (assumption m³ = t)</t>
  </si>
  <si>
    <t>Limestone production</t>
  </si>
  <si>
    <t>Quartz sand (Silicon)</t>
  </si>
  <si>
    <t>Quartz sand production</t>
  </si>
  <si>
    <t>silica sand production [DE]</t>
  </si>
  <si>
    <t>Sodium carbonate (soda)</t>
  </si>
  <si>
    <t>Production of sodium carbonate</t>
  </si>
  <si>
    <t>soda production, solvay process [RER]</t>
  </si>
  <si>
    <t>Wastewater treatment</t>
  </si>
  <si>
    <t>Production of electrolyte</t>
  </si>
  <si>
    <t>Oxygen, liquid</t>
  </si>
  <si>
    <t>Oxygen production</t>
  </si>
  <si>
    <t>market for oxygen, liquid [RER]</t>
  </si>
  <si>
    <t>Calcium sulfate (gypsum)</t>
  </si>
  <si>
    <t>Treatment plaster</t>
  </si>
  <si>
    <t>market for waste gypsum [Europe without Switzerland]</t>
  </si>
  <si>
    <t>Electricity, Germany, 2020</t>
  </si>
  <si>
    <t>Power generation</t>
  </si>
  <si>
    <t>German Environmental Agency (UBA), specif. CO2-Emission factor in the German electricity mix</t>
  </si>
  <si>
    <t>g/ kWh</t>
  </si>
  <si>
    <t>Custom (Macro Level)</t>
  </si>
  <si>
    <t>Recycling efficiencies</t>
  </si>
  <si>
    <t>A potential reduction of the process efficiency of the hydrometallurgical due to complex material creation in the pyrometallurgy is not considered</t>
  </si>
  <si>
    <t>upstream</t>
  </si>
  <si>
    <t>total</t>
  </si>
  <si>
    <t>Dissasembly Total</t>
  </si>
  <si>
    <t>Pyrometallurgy alloy:</t>
  </si>
  <si>
    <t>Umicore Patent US 8,840,702 B2</t>
  </si>
  <si>
    <t>Selectivity alloy / slag</t>
  </si>
  <si>
    <t>Iron alloy+slag (A+S)</t>
  </si>
  <si>
    <t>Recoverable in alloy and slag</t>
  </si>
  <si>
    <t>Pyrometallurgy slag:</t>
  </si>
  <si>
    <t>Rest in fly ash (loss)</t>
  </si>
  <si>
    <t>Iron (A+S)</t>
  </si>
  <si>
    <t>Limestone CaO</t>
  </si>
  <si>
    <t>Slag generator</t>
  </si>
  <si>
    <t>Quartz sand / silicon (SiO2)</t>
  </si>
  <si>
    <t>Hydrometallurgy alloy:</t>
  </si>
  <si>
    <t>Cementation / filtering</t>
  </si>
  <si>
    <t>Cu</t>
  </si>
  <si>
    <t>Precipitation / Filtering Fe</t>
  </si>
  <si>
    <t>Fe</t>
  </si>
  <si>
    <t>Co + Ni extraction</t>
  </si>
  <si>
    <t>LithoRec_II_Final_Report(2016) p.46</t>
  </si>
  <si>
    <t>Co</t>
  </si>
  <si>
    <t>Critallization Ni</t>
  </si>
  <si>
    <t>Ni</t>
  </si>
  <si>
    <t>Hydrometallurgy slag:</t>
  </si>
  <si>
    <t>CaSO4</t>
  </si>
  <si>
    <t>SiO2</t>
  </si>
  <si>
    <t>Precipitation / Filtering Al</t>
  </si>
  <si>
    <t>Al</t>
  </si>
  <si>
    <t>Mn</t>
  </si>
  <si>
    <t>Precipitation / filtering Li</t>
  </si>
  <si>
    <t>Expert estimate</t>
  </si>
  <si>
    <t>LithoRec_II_Final_Report(2016) p.173</t>
  </si>
  <si>
    <t>Evaporation + condensation</t>
  </si>
  <si>
    <t>Zigzag 1, Aluminum</t>
  </si>
  <si>
    <t>Zigzag 1, Plastic</t>
  </si>
  <si>
    <t>Including electronic components</t>
  </si>
  <si>
    <t>Sieving efficiency (for hydrometallurgy)</t>
  </si>
  <si>
    <t>Zigzag 2, Copper foil</t>
  </si>
  <si>
    <t>Zigzag 2, Aluminum foil</t>
  </si>
  <si>
    <t>Zigzag 2, Plastic film</t>
  </si>
  <si>
    <t>Filter / washing</t>
  </si>
  <si>
    <t>Assumption (purer than Route 1)</t>
  </si>
  <si>
    <t>Precipitation / Filtering Li</t>
  </si>
  <si>
    <t>Disassembly Total</t>
  </si>
  <si>
    <t>Filter general</t>
  </si>
  <si>
    <t>Filter Cobalt</t>
  </si>
  <si>
    <t>Accurec BATTERY RECYCLING DATASHEET</t>
  </si>
  <si>
    <t>Filter Nickel</t>
  </si>
  <si>
    <t>Filter Graphite</t>
  </si>
  <si>
    <t>Zigzag, Copper foil</t>
  </si>
  <si>
    <t>Zigzag, Aluminum foil</t>
  </si>
  <si>
    <t>Zigzag, Plastic film</t>
  </si>
  <si>
    <t>Umicore Patent US 8,840,702 B2; Accurce battery recycling datasheet</t>
  </si>
  <si>
    <t>Quartz sand SiO2</t>
  </si>
  <si>
    <t>Substitution factors for recycled material versus primary material</t>
  </si>
  <si>
    <t>Recycled Material</t>
  </si>
  <si>
    <t>Substituted primary material</t>
  </si>
  <si>
    <t>Substitution factor material</t>
  </si>
  <si>
    <t>Except 'cable' all materials/fractions have 1.0 as a default substitution factor. The factor reflects how much primary material is substituted by secondary material and considers secondary material quality. The factor can be varied between 0-1 (0%-100%)</t>
  </si>
  <si>
    <t xml:space="preserve">Aluminium </t>
  </si>
  <si>
    <t>Primary aluminum</t>
  </si>
  <si>
    <t>Kupfer</t>
  </si>
  <si>
    <t>Ecoinvent</t>
  </si>
  <si>
    <t>Plastic (PP)</t>
  </si>
  <si>
    <t>Hydro-metallurgy alloy</t>
  </si>
  <si>
    <t xml:space="preserve">
Copper (elemental)</t>
  </si>
  <si>
    <t>Iron hydroxide</t>
  </si>
  <si>
    <r>
      <t>NiSO</t>
    </r>
    <r>
      <rPr>
        <b/>
        <vertAlign val="subscript"/>
        <sz val="11"/>
        <color theme="1"/>
        <rFont val="Calibri"/>
        <family val="2"/>
        <scheme val="minor"/>
      </rPr>
      <t>4</t>
    </r>
    <r>
      <rPr>
        <b/>
        <sz val="11"/>
        <color theme="1"/>
        <rFont val="Calibri"/>
        <family val="2"/>
        <scheme val="minor"/>
      </rPr>
      <t xml:space="preserve"> * 6 H</t>
    </r>
    <r>
      <rPr>
        <b/>
        <vertAlign val="subscript"/>
        <sz val="11"/>
        <color theme="1"/>
        <rFont val="Calibri"/>
        <family val="2"/>
        <scheme val="minor"/>
      </rPr>
      <t>2</t>
    </r>
    <r>
      <rPr>
        <b/>
        <sz val="11"/>
        <color theme="1"/>
        <rFont val="Calibri"/>
        <family val="2"/>
        <scheme val="minor"/>
      </rPr>
      <t>O</t>
    </r>
  </si>
  <si>
    <r>
      <t>CoSO</t>
    </r>
    <r>
      <rPr>
        <b/>
        <vertAlign val="subscript"/>
        <sz val="11"/>
        <color theme="1"/>
        <rFont val="Calibri"/>
        <family val="2"/>
        <scheme val="minor"/>
      </rPr>
      <t>4</t>
    </r>
    <r>
      <rPr>
        <b/>
        <sz val="11"/>
        <color theme="1"/>
        <rFont val="Calibri"/>
        <family val="2"/>
        <scheme val="minor"/>
      </rPr>
      <t xml:space="preserve"> * 7 H</t>
    </r>
    <r>
      <rPr>
        <b/>
        <vertAlign val="subscript"/>
        <sz val="11"/>
        <color theme="1"/>
        <rFont val="Calibri"/>
        <family val="2"/>
        <scheme val="minor"/>
      </rPr>
      <t>2</t>
    </r>
    <r>
      <rPr>
        <b/>
        <sz val="11"/>
        <color theme="1"/>
        <rFont val="Calibri"/>
        <family val="2"/>
        <scheme val="minor"/>
      </rPr>
      <t>O</t>
    </r>
  </si>
  <si>
    <t>Hydrometallurgy slag</t>
  </si>
  <si>
    <t xml:space="preserve">
Calcium sulfate (gypsum)</t>
  </si>
  <si>
    <t>Silicon dioxide (quartz sand)</t>
  </si>
  <si>
    <t>Quartz sand / Silicon</t>
  </si>
  <si>
    <t>Iron hydroxide (mixture)</t>
  </si>
  <si>
    <t>Aluminum hydroxide (mixture)</t>
  </si>
  <si>
    <r>
      <t>MnSO</t>
    </r>
    <r>
      <rPr>
        <b/>
        <vertAlign val="subscript"/>
        <sz val="11"/>
        <color theme="1"/>
        <rFont val="Calibri"/>
        <family val="2"/>
        <scheme val="minor"/>
      </rPr>
      <t xml:space="preserve">4 </t>
    </r>
    <r>
      <rPr>
        <b/>
        <sz val="11"/>
        <color theme="1"/>
        <rFont val="Calibri"/>
        <family val="2"/>
        <scheme val="minor"/>
      </rPr>
      <t>* H</t>
    </r>
    <r>
      <rPr>
        <b/>
        <vertAlign val="subscript"/>
        <sz val="11"/>
        <color theme="1"/>
        <rFont val="Calibri"/>
        <family val="2"/>
        <scheme val="minor"/>
      </rPr>
      <t>2</t>
    </r>
    <r>
      <rPr>
        <b/>
        <sz val="11"/>
        <color theme="1"/>
        <rFont val="Calibri"/>
        <family val="2"/>
        <scheme val="minor"/>
      </rPr>
      <t>O</t>
    </r>
  </si>
  <si>
    <r>
      <t>Li</t>
    </r>
    <r>
      <rPr>
        <b/>
        <vertAlign val="subscript"/>
        <sz val="11"/>
        <color theme="1"/>
        <rFont val="Calibri"/>
        <family val="2"/>
        <scheme val="minor"/>
      </rPr>
      <t>2</t>
    </r>
    <r>
      <rPr>
        <b/>
        <sz val="11"/>
        <color theme="1"/>
        <rFont val="Calibri"/>
        <family val="2"/>
        <scheme val="minor"/>
      </rPr>
      <t>CO</t>
    </r>
    <r>
      <rPr>
        <b/>
        <vertAlign val="subscript"/>
        <sz val="11"/>
        <color theme="1"/>
        <rFont val="Calibri"/>
        <family val="2"/>
        <scheme val="minor"/>
      </rPr>
      <t>3</t>
    </r>
    <r>
      <rPr>
        <b/>
        <sz val="11"/>
        <color theme="1"/>
        <rFont val="Calibri"/>
        <family val="2"/>
        <scheme val="minor"/>
      </rPr>
      <t xml:space="preserve"> (anhydrous)</t>
    </r>
  </si>
  <si>
    <t>Aluminum foil primarily</t>
  </si>
  <si>
    <t>Copper foil primary</t>
  </si>
  <si>
    <t>Plastic (rest)</t>
  </si>
  <si>
    <t>Pouch opening and washing</t>
  </si>
  <si>
    <t>Cathode</t>
  </si>
  <si>
    <t>Other (cell)</t>
  </si>
  <si>
    <t>Scenarios</t>
  </si>
  <si>
    <t>Capacities</t>
  </si>
  <si>
    <t>Layers rest</t>
  </si>
  <si>
    <t>Layers disassembly</t>
  </si>
  <si>
    <t>Useful life</t>
  </si>
  <si>
    <t>Default (5 years)</t>
  </si>
  <si>
    <t>Average</t>
  </si>
  <si>
    <t>Custom</t>
  </si>
  <si>
    <t>Sieving</t>
  </si>
  <si>
    <t>Digestion (slag)</t>
  </si>
  <si>
    <t>Leaching (slag)</t>
  </si>
  <si>
    <t>Filter SiO2, CaSO4 (slag)</t>
  </si>
  <si>
    <t>Precipitation Fe, Al (slag)</t>
  </si>
  <si>
    <t>Filtration Fe, Al (slag)</t>
  </si>
  <si>
    <t>Extraction Mn (slag)</t>
  </si>
  <si>
    <t>Scrubbing Mn (slag)</t>
  </si>
  <si>
    <t>Stripping Mn (slag)</t>
  </si>
  <si>
    <t>Cristallisation Mn (slag)</t>
  </si>
  <si>
    <t>Precipitation Li (slag)</t>
  </si>
  <si>
    <t>Filtration Li (slag)</t>
  </si>
  <si>
    <t>Unloading</t>
  </si>
  <si>
    <t>Filtration SiO2, CaSO4 (slag)</t>
  </si>
  <si>
    <t>Crystallization Mn (slag)</t>
  </si>
  <si>
    <t>Precipitation, Filtration Li (slag)</t>
  </si>
  <si>
    <t>Precipitation, filtration Fe</t>
  </si>
  <si>
    <t>Effort</t>
  </si>
  <si>
    <t>Concentration Li (slag)</t>
  </si>
  <si>
    <t>Extraction Co + Ni</t>
  </si>
  <si>
    <t>Sieve</t>
  </si>
  <si>
    <t>Aluminum</t>
  </si>
  <si>
    <t>Aluminum (foil)</t>
  </si>
  <si>
    <t>Copper (foil)</t>
  </si>
  <si>
    <t>DOI: 10.5281/zenodo.6342833</t>
  </si>
  <si>
    <t>batteries/ h</t>
  </si>
  <si>
    <t>batteries</t>
  </si>
  <si>
    <t>t. batteries/ h</t>
  </si>
  <si>
    <t>1 day storage range; 8 batteries per container</t>
  </si>
  <si>
    <t>battery systems</t>
  </si>
  <si>
    <t>batteries/h</t>
  </si>
  <si>
    <r>
      <t xml:space="preserve">3. Customize process and product data on the other sheets (cells in </t>
    </r>
    <r>
      <rPr>
        <b/>
        <sz val="11"/>
        <color theme="7"/>
        <rFont val="Calibri"/>
        <family val="2"/>
        <scheme val="minor"/>
      </rPr>
      <t>orange</t>
    </r>
    <r>
      <rPr>
        <sz val="11"/>
        <color theme="1"/>
        <rFont val="Calibri"/>
        <family val="2"/>
        <scheme val="minor"/>
      </rPr>
      <t>)</t>
    </r>
  </si>
  <si>
    <t>1. Customize your recycling route under investigation on the sheet 'Macro'</t>
  </si>
  <si>
    <t>https://energiemarie.de/umzug/kosten/sondermuell</t>
  </si>
  <si>
    <t>see paper or ecoinvent database</t>
  </si>
  <si>
    <t>The information used in this model was obtained through publicly available information such as patents, papers, and presentations. Additionally, life cycle inventory datasets for the environmental assessment are obtained from the ecoinvent database. Due to the competitive nature of the field, it is difficult to obtain specific information from industry. We have made every attempt to be as accurate and correct as possible in our assumptions and calculations used in this model. The processes represented in this model are generic in nature and do not reflect specific company processes.</t>
  </si>
  <si>
    <t>Pyrolysis</t>
  </si>
  <si>
    <t>Pyrolysis &amp; Pyrometallurgy</t>
  </si>
  <si>
    <t>Adjusted Batch time [h]</t>
  </si>
  <si>
    <t>Original capacity</t>
  </si>
  <si>
    <t>Adjusted capacity</t>
  </si>
  <si>
    <r>
      <t xml:space="preserve">Original batch time [h]
</t>
    </r>
    <r>
      <rPr>
        <sz val="11"/>
        <color theme="1"/>
        <rFont val="Calibri"/>
        <family val="2"/>
        <scheme val="minor"/>
      </rPr>
      <t>*for continous process =1</t>
    </r>
  </si>
  <si>
    <t>Unified wording of processes</t>
  </si>
  <si>
    <t xml:space="preserve">Adaption of process batchtime for precipitation from 15 to 30 minutes </t>
  </si>
  <si>
    <t>Adaption of process batchtime for extraction from 30 to 10 minutes</t>
  </si>
  <si>
    <t>#</t>
  </si>
  <si>
    <t>Correction in evaluation of energy consumption of shredder in R2</t>
  </si>
  <si>
    <t>Usage time route 1 (user-defined) [years]</t>
  </si>
  <si>
    <t>Raw material prices (user-defined) [€/t]</t>
  </si>
  <si>
    <t>Usage time Route 2 (user-defined) [years]</t>
  </si>
  <si>
    <t>Usage time Route 3 (user-defined) [years]</t>
  </si>
  <si>
    <t>Calculation of the CO2 equivalent impacts for various substances based on the Ecoinvent 3.10 cut-off database</t>
  </si>
  <si>
    <t>Calculation with: EF v3.1 Climate Change, Global Warming Potential (GWP100)</t>
  </si>
  <si>
    <t>Ecoinvent activity name</t>
  </si>
  <si>
    <t>Ecoinvent ID Activity UUID_Product UUID</t>
  </si>
  <si>
    <t>1cb04872-15c3-54bc-ac35-1312b37eb8bf_c5adb1fb-872e-4446-a3bb-c4b61aa4bd45</t>
  </si>
  <si>
    <t>6059d35c-1dc5-564f-bc64-d203a4dd8db6_9d63da75-8289-4b96-a900-67ec3bd40a16</t>
  </si>
  <si>
    <t>3c02662c-62e0-58ea-881c-53b1ced9fd53_5694c7ed-a76c-4b16-9a73-6fa48237423c</t>
  </si>
  <si>
    <t>c8fef5e3-f2c5-51cf-b7f2-7ac007042ccd_26c92545-7995-491d-bcca-ee6d590ef194</t>
  </si>
  <si>
    <t>7c3f9906-b4b0-5c3b-89ab-75b83a5cf4f3_3990b197-a303-4c36-ae1c-c2ddebaad744</t>
  </si>
  <si>
    <t>1e3af470-a9d8-5edf-9c15-51496bfa7a70_159edf36-233e-4e2c-aec0-b0ac0d49f528</t>
  </si>
  <si>
    <t>4e639313-2fd6-5c1b-8e24-e0f8e8165c53_c6c77fb4-9850-4849-be9e-71fc9656bc03</t>
  </si>
  <si>
    <t>a07a3497-a6ba-58bb-9293-8827290e0c8d_1fc89761-93f9-48c5-9204-08a8961b93c8</t>
  </si>
  <si>
    <t>f93e65fa-68d7-5723-b3f6-b8d27c3dd42c_fbb039f7-f9cc-46d2-b631-313ddb125c1a</t>
  </si>
  <si>
    <t>94d0dfd4-6c93-5bed-bcb1-356f3dbfce9a_69cbcb81-5233-4753-adbe-fd3275500901</t>
  </si>
  <si>
    <t>b202cee8-0301-5479-a37d-372034897597_773ddd01-c21c-416a-b314-e7af97aa0abd</t>
  </si>
  <si>
    <t>9b0f80c5-2042-5223-a7a6-81c33c25576a_d1c50e71-41bf-40ea-a259-0fc490c8e0c5</t>
  </si>
  <si>
    <t>a6acbf9f-8fe2-57bf-8fe2-641091c778cb_23fccced-e1e5-421d-9abe-5b59c51a862e</t>
  </si>
  <si>
    <t>f0a148e8-218f-58ee-9035-7be7c282afdb_08182e61-7e1a-4e55-8aad-aaf8de6fa678</t>
  </si>
  <si>
    <t>97d46a28-a780-5857-aeaf-b006cca271ec_50c430bb-e392-4242-bd8e-b372d85b2cf9</t>
  </si>
  <si>
    <t>806f2699-d2e8-5c53-bc68-0e1274861436_2ffc27c3-c08c-4d6e-a91d-98cf4765e065</t>
  </si>
  <si>
    <t>86a0d690-51cf-523e-98fd-5a7cedf0edd2_1125e767-7b5d-442e-81d6-9b0d3e1919ac</t>
  </si>
  <si>
    <t>bd7fe44c-b839-5114-a8fc-0703eea78e00_c6dd4cd2-cacd-40ed-b2b5-9c54cc21cee6</t>
  </si>
  <si>
    <t>6416b325-0ef0-5a5d-9e5c-597593911952_66ca2f38-5e51-4546-83c0-d7cef0c55c7c</t>
  </si>
  <si>
    <t>9340d580-03e4-5704-a84f-9eec458b3a73_44defed2-3dc7-4d59-b3bc-23dacf1b9140</t>
  </si>
  <si>
    <t>2fee24fe-39d6-5567-88d9-3ba6c6e4cece_6aefd086-1942-403e-8fdf-576f32c7cd87</t>
  </si>
  <si>
    <t>9b866f64-9103-56b7-be4c-5535bfa2fe3c_15442876-adcd-4acd-8f5b-bfca7ecab125</t>
  </si>
  <si>
    <t>278bc4b1-3a07-557e-b83d-a55efe83c798_e5208079-1561-4537-a1f8-863db2702d0f</t>
  </si>
  <si>
    <t>ef1ba082-172c-5d21-9f1a-a99edc30dd57_ac6c5f1d-39c3-4ae2-8803-c2cd9e2b03df</t>
  </si>
  <si>
    <t>1b37e83c-0f15-54d2-9e9a-a1ba19fd9682_64cea105-f89a-4f95-ae44-84ff904a28fc</t>
  </si>
  <si>
    <t>a32202ad-b239-5d83-b438-868aa7612561_c4842286-21e6-4142-bc35-f2c36f1d68a2</t>
  </si>
  <si>
    <t>60e45679-a5ea-5582-ab00-5b456e09a892_033be19b-ca83-4d9e-8dd6-476ef15203cd</t>
  </si>
  <si>
    <t>8d9f7aed-3f16-5030-a04e-388ada455fdd_e8a51ec1-60cb-4ead-a948-ad1142c61918</t>
  </si>
  <si>
    <t>3581e1e1-8e37-56fc-a7f0-ca03560de93a_3410b185-400e-4ffe-8843-c7bdc88124b9</t>
  </si>
  <si>
    <t>307cb6d7-836a-58d6-81d3-666517fa9632_28c2473e-1e11-4078-9a76-de9550553adc</t>
  </si>
  <si>
    <t>301d7e83-021b-59e5-88dd-feafbaabe599_27a9b2b8-30cd-45a6-bf1a-9c1f7afde003</t>
  </si>
  <si>
    <t>market for sulfuric acid [RER]</t>
  </si>
  <si>
    <t>sodium hydroxide to generic market for neutralising agent [RER]</t>
  </si>
  <si>
    <t>solvent production, organic [GLO]</t>
  </si>
  <si>
    <t>copper production, cathode, solvent extraction and electrowinning process [GLO]</t>
  </si>
  <si>
    <t>synthetic graphite production, battery grade [CN]</t>
  </si>
  <si>
    <t>market for nickel, class 1 [GLO]</t>
  </si>
  <si>
    <t>market for cobalt sulfate [CN]</t>
  </si>
  <si>
    <t>treatment of wastewater from wafer fabrication, wastewater treatment [CH]</t>
  </si>
  <si>
    <t>market for limestone, crushed, washed [CH]</t>
  </si>
  <si>
    <t>treatment of wastewater, average, wastewater treatment [Europe without Switzerland]</t>
  </si>
  <si>
    <t>market for lithium hexafluorophosphate production [GLO]</t>
  </si>
  <si>
    <t>Cobalt production</t>
  </si>
  <si>
    <t>Electricity generation</t>
  </si>
  <si>
    <t>Electricity, Germany, 2022</t>
  </si>
  <si>
    <t>CN instead of RoW because of ~&gt;90% market share</t>
  </si>
  <si>
    <t>purity &gt;99.8%</t>
  </si>
  <si>
    <t>CN instead of RoW because of &gt;70% market share</t>
  </si>
  <si>
    <t xml:space="preserve">
/ m³ natural gas; converted with 1m³ = 31.736 MJ</t>
  </si>
  <si>
    <t>value highly dependent on region, i.e. for China approx. 300% higher</t>
  </si>
  <si>
    <t>Soda ash (Na2CO3), light; Assumption: also for sodium hydrogen carbonate</t>
  </si>
  <si>
    <t>Source: https://www.umweltbundesamt.de/themen/co2-emissionen-pro-kilowattstunde-strom-stiegen-in</t>
  </si>
  <si>
    <t>Adaption of anual losses of extraction agent from 10 % to 5 %</t>
  </si>
  <si>
    <t>Update Ecoinvent database to v3.10 and LCIA method to EF v3.1</t>
  </si>
  <si>
    <t>Exhaust pyrometallurgy from organic components</t>
  </si>
  <si>
    <t>Incineration of plastics, graphite, electrolyte, electronics, etc.</t>
  </si>
  <si>
    <t>market for pig iron [RER</t>
  </si>
  <si>
    <t>market for pig iron [RER]</t>
  </si>
  <si>
    <t>399deb3e-7846-53d8-af89-7de486bb640b_a636ed9e-f90a-48cb-a180-c75b1fc92cf1</t>
  </si>
  <si>
    <t>Fe2(OH)3 N/A; Estimated by ratio Al to Al2(OH)3 (1.79 kg CO2-eq. / 9.98) see Al2OH3</t>
  </si>
  <si>
    <t>Correction references in process efficiencies</t>
  </si>
  <si>
    <t>Has not fallen through the sieve (adhering active material on current collector foils)</t>
  </si>
  <si>
    <t>Other (impurities, active material)</t>
  </si>
  <si>
    <t>Overflow, current collector foils</t>
  </si>
  <si>
    <t>Light fraction, overflow</t>
  </si>
  <si>
    <t>Correction of cummulated mass flows of hydrogen peroxide in R1 and R3</t>
  </si>
  <si>
    <t>Correction of calculation of environmental impacts of wastewater treatment in all routes</t>
  </si>
  <si>
    <t>Correction of cumulated material flows of electronics and plastics in R3</t>
  </si>
  <si>
    <t>Precipitation, filtration Fe, Al</t>
  </si>
  <si>
    <t>Including oxidation and precipitation process of R3 in environmental evaluation</t>
  </si>
  <si>
    <t>Survey period</t>
  </si>
  <si>
    <t xml:space="preserve">Index of producer prices for industrial products (2021=100) </t>
  </si>
  <si>
    <t>Investment survey</t>
  </si>
  <si>
    <t>Assessment period</t>
  </si>
  <si>
    <t>Standarization and correction of investment predictions</t>
  </si>
  <si>
    <t>simplified assumption</t>
  </si>
  <si>
    <t>based on Ecoinvent v3.10 (2024)</t>
  </si>
  <si>
    <t>Weight percentage of the materials recovered</t>
  </si>
  <si>
    <t>Energy mix scenario (2023)</t>
  </si>
  <si>
    <t>https://www.bdew.de/service/daten-und-grafiken/bdew-strompreisanalyse/</t>
  </si>
  <si>
    <t>Reference value 2023 (BDEW)</t>
  </si>
  <si>
    <t>EUR-ct/ kWh (incl. tax)</t>
  </si>
  <si>
    <t>Source: https://www.bdew.de/service/daten-und-grafiken/bdew-strompreisanalyse/</t>
  </si>
  <si>
    <t>Recycling output total (metal share) [t]</t>
  </si>
  <si>
    <t>Li impact share [kg CO2-eq./kg sec. Li]</t>
  </si>
  <si>
    <t>Gr impact share [kg CO2-eq./kg sec. Gr]</t>
  </si>
  <si>
    <t>Co impact share [kg CO2-eq./kg sec. Co]</t>
  </si>
  <si>
    <t>Ni impact share [kg CO2-eq./kg sec. Ni]</t>
  </si>
  <si>
    <t>Mn impact share [kg CO2-eq./kg sec. Mn]</t>
  </si>
  <si>
    <t>Al impact share [kg CO2-eq./kg sec. Al]</t>
  </si>
  <si>
    <t>Cu impact share [kg CO2-eq./kg sec. Cu]</t>
  </si>
  <si>
    <t>Carbon footprint for secondary materials</t>
  </si>
  <si>
    <t>Impacts total [t CO2-eq./ spent LIBs input]</t>
  </si>
  <si>
    <t>Revenue recycling output total [€]</t>
  </si>
  <si>
    <t>Gr material value [€/t]</t>
  </si>
  <si>
    <t>Gr recycling output [t]</t>
  </si>
  <si>
    <t>Co recycling output [t]</t>
  </si>
  <si>
    <t>Ni recycling output [t]</t>
  </si>
  <si>
    <t>Li recycling output [t]</t>
  </si>
  <si>
    <t>Mn recycling output [t]</t>
  </si>
  <si>
    <t>Al recycling output [t]</t>
  </si>
  <si>
    <t>Cu recycling output [t]</t>
  </si>
  <si>
    <t>Others recycling output [t]</t>
  </si>
  <si>
    <t>Co share output [%]</t>
  </si>
  <si>
    <t>Ni share output [%]</t>
  </si>
  <si>
    <t>Li share output [%]</t>
  </si>
  <si>
    <t>Mn share output [%]</t>
  </si>
  <si>
    <t>Al share output [%]</t>
  </si>
  <si>
    <t>Cu share output [%]</t>
  </si>
  <si>
    <t>Others share output [%]</t>
  </si>
  <si>
    <t>Co material value [€/t]</t>
  </si>
  <si>
    <t>Co revenue share output [%]</t>
  </si>
  <si>
    <t>For further information see Husmann et al. (2023) Environmental Assessment of Secondary Materials from Battery Recycling Process Chains: The Influence of Recycling Processes and Modelling Choices. Procedia CIRP</t>
  </si>
  <si>
    <t>Gr revenue share [%]</t>
  </si>
  <si>
    <r>
      <t xml:space="preserve">based on </t>
    </r>
    <r>
      <rPr>
        <b/>
        <sz val="11"/>
        <color theme="1"/>
        <rFont val="Calibri"/>
        <family val="2"/>
        <scheme val="minor"/>
      </rPr>
      <t>economic allocation</t>
    </r>
    <r>
      <rPr>
        <sz val="11"/>
        <color theme="1"/>
        <rFont val="Calibri"/>
        <family val="2"/>
        <scheme val="minor"/>
      </rPr>
      <t xml:space="preserve"> on process chain level</t>
    </r>
  </si>
  <si>
    <t>Li material value [€/t]</t>
  </si>
  <si>
    <t>Mn material value [€/t]</t>
  </si>
  <si>
    <t>Al material value [€/t]</t>
  </si>
  <si>
    <t>Cu material value [€/t]</t>
  </si>
  <si>
    <t>Others material value [€/t]</t>
  </si>
  <si>
    <t>Ni revenue share output [%]</t>
  </si>
  <si>
    <t>Li revenue share output [%]</t>
  </si>
  <si>
    <t>Mn revenue share output [%]</t>
  </si>
  <si>
    <t>Al revenue share output [%]</t>
  </si>
  <si>
    <t>Cu revenue share output [%]</t>
  </si>
  <si>
    <t>Others revenue share output [%]</t>
  </si>
  <si>
    <t>Others impact share [kg CO2-eq./kg sec. others]</t>
  </si>
  <si>
    <t>refered to Li metal share in Li2CO3</t>
  </si>
  <si>
    <t>refered to Mn metal share in MnSO4 * 1 H20</t>
  </si>
  <si>
    <t>refered to Ni metal share in NiSO4 * 6 H20</t>
  </si>
  <si>
    <t>refered to Co metal share in CoSO4 * 7 H20</t>
  </si>
  <si>
    <t>1262 / 435</t>
  </si>
  <si>
    <t>Al scrap / hydroxide</t>
  </si>
  <si>
    <t>refered to Al metal share in Al scrap and Al hydroxide</t>
  </si>
  <si>
    <t>Ni material value [€/t]</t>
  </si>
  <si>
    <t>Recycling output total [t]</t>
  </si>
  <si>
    <t>Gr recycling output (metal share) [t]</t>
  </si>
  <si>
    <t>Gr mass share output [%]</t>
  </si>
  <si>
    <t>Gr mass share output (metal share) [%]</t>
  </si>
  <si>
    <t>Gr impact share (metal share) [kg CO2-eq./kg sec. Gr]</t>
  </si>
  <si>
    <t>Co recycling output (metal share) [t]</t>
  </si>
  <si>
    <t>Co share output (metal share) [%]</t>
  </si>
  <si>
    <t>Co impact share (metal share) [kg CO2-eq./kg sec. Co]</t>
  </si>
  <si>
    <t>Ni recycling output (metal share) [t]</t>
  </si>
  <si>
    <t>Ni share output (metal share) [%]</t>
  </si>
  <si>
    <t>Ni impact share (metal share) [kg CO2-eq./kg sec. Ni]</t>
  </si>
  <si>
    <t>Li impact share (metal share) [kg CO2-eq./kg sec. Li]</t>
  </si>
  <si>
    <t>Li share output (metal share) [%]</t>
  </si>
  <si>
    <t>Li recycling output (metal share) [t]</t>
  </si>
  <si>
    <t>material specific mass refered to total mass share</t>
  </si>
  <si>
    <t>material specific metal mass share refered to total metal mass share</t>
  </si>
  <si>
    <t>Mn recycling output (metal share) [t]</t>
  </si>
  <si>
    <t>Mn share output (metal share) [%]</t>
  </si>
  <si>
    <t>Mn impact share (metal share) [kg CO2-eq./kg sec. Mn]</t>
  </si>
  <si>
    <t>Al recycling output (metal share) [t]</t>
  </si>
  <si>
    <t>Al share output (metal share) [%]</t>
  </si>
  <si>
    <t>Al impact share (metal share) [kg CO2-eq./kg sec. Al]</t>
  </si>
  <si>
    <t>Cu recycling output (metal share) [t]</t>
  </si>
  <si>
    <t>Cu share output (metal share) [%]</t>
  </si>
  <si>
    <t>Cu impact share (metal share) [kg CO2-eq./kg sec. Cu]</t>
  </si>
  <si>
    <t>Others recycling output (metal share) [t]</t>
  </si>
  <si>
    <t>Others share output (metal share) [%]</t>
  </si>
  <si>
    <t>Others impact share (metal share) [kg CO2-eq./kg sec. others]</t>
  </si>
  <si>
    <t>Update material and energy prices</t>
  </si>
  <si>
    <t>Integration of variable assessment period (investment &amp; prices)</t>
  </si>
  <si>
    <t>Survey year</t>
  </si>
  <si>
    <t>Index of producer prices for industrial products (2021=100) survey period</t>
  </si>
  <si>
    <t>Assesment period</t>
  </si>
  <si>
    <t>Index of producer prices for industrial products (2021=100) assesment period</t>
  </si>
  <si>
    <t>Price survey</t>
  </si>
  <si>
    <t>https://www.destatis.de/EN/Themes/Economy/Prices/Producer-Price-Index-For-Industrial-Products/Tables/Producer-prices-selection.html#241818</t>
  </si>
  <si>
    <t>Date</t>
  </si>
  <si>
    <t>DERA Preismonitor Dezember 2023 - Aluminiumschrott (Aster), Aluminiumgussschrott</t>
  </si>
  <si>
    <t>EverBatt 2023</t>
  </si>
  <si>
    <t>Reference offer 2020</t>
  </si>
  <si>
    <t>https://ec.europa.eu/eurostat/databrowser/view/nrg_pc_203/default/table?lang=en</t>
  </si>
  <si>
    <t>DERA Preismonitor Dezember 2023 - Kupferschrott (Keule), Schwerkupferschrott</t>
  </si>
  <si>
    <t>https://www.chemanalyst.com/Pricing-data/silica-1304#:~:text=Silica%20price%20was%20hovering%20around%20USD%2060.2%2FMT%20during%20February%202022.</t>
  </si>
  <si>
    <t>DERA Preismonitor Dezember 2023 - Stahlschrott (Sorte E4), Schredderstahlschrott</t>
  </si>
  <si>
    <t>Sodium carbonate (soda ash)</t>
  </si>
  <si>
    <t>Metal share allocation method is choosen based on Santero and Hendry (2016) Hamonization of LCA methodologies for the metal and mining industry.</t>
  </si>
  <si>
    <t>Integration of secondary material footprint calculation (Evaluation sheet)</t>
  </si>
  <si>
    <t>Updates in v3 (September 2024)</t>
  </si>
  <si>
    <r>
      <t xml:space="preserve">based on </t>
    </r>
    <r>
      <rPr>
        <b/>
        <sz val="11"/>
        <color theme="1"/>
        <rFont val="Calibri"/>
        <family val="2"/>
        <scheme val="minor"/>
      </rPr>
      <t>mass allocation</t>
    </r>
    <r>
      <rPr>
        <sz val="11"/>
        <color theme="1"/>
        <rFont val="Calibri"/>
        <family val="2"/>
        <scheme val="minor"/>
      </rPr>
      <t xml:space="preserve"> (metal share) on process chain level</t>
    </r>
  </si>
  <si>
    <t>Tool for the environmental and economic impact assessment of industrial recycling routes for lithium-ion traction batteries (Version_3 September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</si>
</sst>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2" formatCode="_-* #,##0\ &quot;€&quot;_-;\-* #,##0\ &quot;€&quot;_-;_-* &quot;-&quot;\ &quot;€&quot;_-;_-@_-"/>
    <numFmt numFmtId="44" formatCode="_-* #,##0.00\ &quot;€&quot;_-;\-* #,##0.00\ &quot;€&quot;_-;_-* &quot;-&quot;??\ &quot;€&quot;_-;_-@_-"/>
    <numFmt numFmtId="43" formatCode="_-* #,##0.00_-;\-* #,##0.00_-;_-* &quot;-&quot;??_-;_-@_-"/>
    <numFmt numFmtId="164" formatCode="_-* #,##0.00\ _€_-;\-* #,##0.00\ _€_-;_-* &quot;-&quot;??\ _€_-;_-@_-"/>
    <numFmt numFmtId="165" formatCode="_-* #,##0\ &quot;€&quot;_-;\-* #,##0\ &quot;€&quot;_-;_-* &quot;-&quot;??\ &quot;€&quot;_-;_-@_-"/>
    <numFmt numFmtId="166" formatCode="0.0"/>
    <numFmt numFmtId="167" formatCode="0.0%"/>
    <numFmt numFmtId="168" formatCode="_-* #,##0\ _€_-;\-* #,##0\ _€_-;_-* &quot;-&quot;??\ _€_-;_-@_-"/>
    <numFmt numFmtId="169" formatCode="_-* #,##0_-;\-* #,##0_-;_-* &quot;-&quot;??_-;_-@_-"/>
    <numFmt numFmtId="170" formatCode="_-* #,##0.0_-;\-* #,##0.0_-;_-* &quot;-&quot;??_-;_-@_-"/>
    <numFmt numFmtId="171" formatCode="_-* #,##0\ _€_-;\-* #,##0\ _€_-;_-* &quot;-&quot;?\ _€_-;_-@_-"/>
    <numFmt numFmtId="172" formatCode="_-* #,##0.0\ _€_-;\-* #,##0.0\ _€_-;_-* &quot;-&quot;?\ _€_-;_-@_-"/>
    <numFmt numFmtId="173" formatCode="_-* #,##0.0\ _€_-;\-* #,##0.0\ _€_-;_-* &quot;-&quot;??\ _€_-;_-@_-"/>
    <numFmt numFmtId="174" formatCode="0.000"/>
    <numFmt numFmtId="175" formatCode="0.0000"/>
    <numFmt numFmtId="176" formatCode="#,##0.0"/>
    <numFmt numFmtId="177" formatCode="_-* #,##0.000\ &quot;€&quot;_-;\-* #,##0.000\ &quot;€&quot;_-;_-* &quot;-&quot;??\ &quot;€&quot;_-;_-@_-"/>
    <numFmt numFmtId="178" formatCode="_-* #,##0.0\ &quot;€&quot;_-;\-* #,##0.0\ &quot;€&quot;_-;_-* &quot;-&quot;??\ &quot;€&quot;_-;_-@_-"/>
    <numFmt numFmtId="179" formatCode="_-* #,##0.000_-;\-* #,##0.000_-;_-* &quot;-&quot;??_-;_-@_-"/>
    <numFmt numFmtId="180" formatCode="_-* #,##0.0000_-;\-* #,##0.0000_-;_-* &quot;-&quot;??_-;_-@_-"/>
    <numFmt numFmtId="181" formatCode="_-* #,##0.00000_-;\-* #,##0.00000_-;_-* &quot;-&quot;??_-;_-@_-"/>
    <numFmt numFmtId="182" formatCode="_-* #,##0.00000000_-;\-* #,##0.00000000_-;_-* &quot;-&quot;??_-;_-@_-"/>
    <numFmt numFmtId="183" formatCode="#,##0.0_ ;\-#,##0.0\ "/>
    <numFmt numFmtId="184" formatCode="_-* #,##0.000\ _€_-;\-* #,##0.000\ _€_-;_-* &quot;-&quot;??\ _€_-;_-@_-"/>
    <numFmt numFmtId="185" formatCode="#,##0.000"/>
    <numFmt numFmtId="186" formatCode="#,##0.0000000"/>
    <numFmt numFmtId="187" formatCode="#,##0\ &quot;€&quot;"/>
    <numFmt numFmtId="188" formatCode="0.0000000"/>
    <numFmt numFmtId="189" formatCode="_-* #,##0.0000\ _€_-;\-* #,##0.0000\ _€_-;_-* &quot;-&quot;??\ _€_-;_-@_-"/>
    <numFmt numFmtId="190" formatCode="#,##0.000_ ;\-#,##0.000\ "/>
    <numFmt numFmtId="191" formatCode="0.000000"/>
  </numFmts>
  <fonts count="50" x14ac:knownFonts="1">
    <font>
      <sz val="11"/>
      <color theme="1"/>
      <name val="Calibri"/>
      <family val="2"/>
      <scheme val="minor"/>
    </font>
    <font>
      <b/>
      <sz val="16"/>
      <color theme="1"/>
      <name val="Arial"/>
      <family val="2"/>
    </font>
    <font>
      <sz val="11"/>
      <color theme="1"/>
      <name val="Arial"/>
      <family val="2"/>
    </font>
    <font>
      <b/>
      <sz val="11"/>
      <color theme="1"/>
      <name val="Arial"/>
      <family val="2"/>
    </font>
    <font>
      <b/>
      <sz val="12"/>
      <color theme="1"/>
      <name val="Arial"/>
      <family val="2"/>
    </font>
    <font>
      <b/>
      <sz val="14"/>
      <color theme="1"/>
      <name val="Arial"/>
      <family val="2"/>
    </font>
    <font>
      <i/>
      <sz val="11"/>
      <color theme="1"/>
      <name val="Arial"/>
      <family val="2"/>
    </font>
    <font>
      <vertAlign val="subscript"/>
      <sz val="11"/>
      <color theme="1"/>
      <name val="Arial"/>
      <family val="2"/>
    </font>
    <font>
      <sz val="11"/>
      <color theme="1"/>
      <name val="Calibri"/>
      <family val="2"/>
      <scheme val="minor"/>
    </font>
    <font>
      <i/>
      <vertAlign val="subscript"/>
      <sz val="11"/>
      <color theme="1"/>
      <name val="Arial"/>
      <family val="2"/>
    </font>
    <font>
      <b/>
      <sz val="11"/>
      <color theme="1"/>
      <name val="Calibri"/>
      <family val="2"/>
      <scheme val="minor"/>
    </font>
    <font>
      <sz val="11"/>
      <name val="Arial"/>
      <family val="2"/>
    </font>
    <font>
      <b/>
      <sz val="11"/>
      <color theme="0"/>
      <name val="Arial"/>
      <family val="2"/>
    </font>
    <font>
      <sz val="11"/>
      <color theme="0"/>
      <name val="Arial"/>
      <family val="2"/>
    </font>
    <font>
      <b/>
      <sz val="11"/>
      <name val="Arial"/>
      <family val="2"/>
    </font>
    <font>
      <u/>
      <sz val="11"/>
      <color theme="10"/>
      <name val="Arial"/>
      <family val="2"/>
    </font>
    <font>
      <sz val="11"/>
      <color rgb="FFFF0000"/>
      <name val="Arial"/>
      <family val="2"/>
    </font>
    <font>
      <b/>
      <sz val="9"/>
      <color indexed="81"/>
      <name val="Segoe UI"/>
      <family val="2"/>
    </font>
    <font>
      <b/>
      <sz val="16"/>
      <color theme="1"/>
      <name val="Calibri"/>
      <family val="2"/>
      <scheme val="minor"/>
    </font>
    <font>
      <b/>
      <sz val="14"/>
      <color theme="1"/>
      <name val="Calibri"/>
      <family val="2"/>
      <scheme val="minor"/>
    </font>
    <font>
      <b/>
      <sz val="12"/>
      <color theme="1"/>
      <name val="Calibri"/>
      <family val="2"/>
      <scheme val="minor"/>
    </font>
    <font>
      <b/>
      <sz val="11"/>
      <color theme="8"/>
      <name val="Calibri"/>
      <family val="2"/>
      <scheme val="minor"/>
    </font>
    <font>
      <sz val="11"/>
      <color theme="1"/>
      <name val="Calibri"/>
      <family val="2"/>
    </font>
    <font>
      <sz val="9.9"/>
      <color theme="1"/>
      <name val="Calibri"/>
      <family val="2"/>
    </font>
    <font>
      <vertAlign val="subscript"/>
      <sz val="11"/>
      <color theme="1"/>
      <name val="Calibri"/>
      <family val="2"/>
      <scheme val="minor"/>
    </font>
    <font>
      <sz val="11"/>
      <color theme="1" tint="0.499984740745262"/>
      <name val="Calibri"/>
      <family val="2"/>
      <scheme val="minor"/>
    </font>
    <font>
      <u/>
      <sz val="11"/>
      <color theme="1"/>
      <name val="Calibri"/>
      <family val="2"/>
      <scheme val="minor"/>
    </font>
    <font>
      <i/>
      <sz val="11"/>
      <color theme="0"/>
      <name val="Arial"/>
      <family val="2"/>
    </font>
    <font>
      <vertAlign val="superscript"/>
      <sz val="11"/>
      <color theme="1"/>
      <name val="Calibri"/>
      <family val="2"/>
      <scheme val="minor"/>
    </font>
    <font>
      <sz val="11"/>
      <color rgb="FFFF0000"/>
      <name val="Calibri"/>
      <family val="2"/>
      <scheme val="minor"/>
    </font>
    <font>
      <sz val="11"/>
      <color theme="6"/>
      <name val="Calibri"/>
      <family val="2"/>
      <scheme val="minor"/>
    </font>
    <font>
      <b/>
      <vertAlign val="subscript"/>
      <sz val="11"/>
      <color theme="1"/>
      <name val="Calibri"/>
      <family val="2"/>
      <scheme val="minor"/>
    </font>
    <font>
      <b/>
      <sz val="11"/>
      <color rgb="FFFF0000"/>
      <name val="Calibri"/>
      <family val="2"/>
      <scheme val="minor"/>
    </font>
    <font>
      <b/>
      <sz val="18"/>
      <color theme="3"/>
      <name val="Calibri Light"/>
      <family val="2"/>
      <scheme val="major"/>
    </font>
    <font>
      <sz val="10"/>
      <name val="Verdana"/>
      <family val="2"/>
    </font>
    <font>
      <b/>
      <sz val="18"/>
      <color theme="1"/>
      <name val="Calibri"/>
      <family val="2"/>
      <scheme val="minor"/>
    </font>
    <font>
      <sz val="11"/>
      <color rgb="FF006100"/>
      <name val="Calibri"/>
      <family val="2"/>
      <scheme val="minor"/>
    </font>
    <font>
      <sz val="11"/>
      <color rgb="FF9C0006"/>
      <name val="Calibri"/>
      <family val="2"/>
      <scheme val="minor"/>
    </font>
    <font>
      <b/>
      <sz val="11"/>
      <name val="Calibri"/>
      <family val="2"/>
      <scheme val="minor"/>
    </font>
    <font>
      <sz val="10"/>
      <color theme="1"/>
      <name val="Calibri"/>
      <family val="2"/>
      <scheme val="minor"/>
    </font>
    <font>
      <sz val="9"/>
      <color indexed="81"/>
      <name val="Segoe UI"/>
      <family val="2"/>
    </font>
    <font>
      <i/>
      <sz val="11"/>
      <color theme="7"/>
      <name val="Arial"/>
      <family val="2"/>
    </font>
    <font>
      <sz val="11"/>
      <color theme="7"/>
      <name val="Arial"/>
      <family val="2"/>
    </font>
    <font>
      <b/>
      <sz val="20"/>
      <color theme="1"/>
      <name val="Arial"/>
      <family val="2"/>
    </font>
    <font>
      <b/>
      <sz val="11"/>
      <color theme="7"/>
      <name val="Calibri"/>
      <family val="2"/>
      <scheme val="minor"/>
    </font>
    <font>
      <sz val="11"/>
      <name val="Calibri"/>
      <family val="2"/>
      <scheme val="minor"/>
    </font>
    <font>
      <u/>
      <sz val="11"/>
      <color theme="10"/>
      <name val="Calibri"/>
      <family val="2"/>
      <scheme val="minor"/>
    </font>
    <font>
      <sz val="8"/>
      <color theme="1"/>
      <name val="Calibri"/>
      <family val="2"/>
      <scheme val="minor"/>
    </font>
    <font>
      <sz val="12"/>
      <color rgb="FF000000"/>
      <name val="Calibri"/>
      <family val="2"/>
      <scheme val="minor"/>
    </font>
    <font>
      <b/>
      <sz val="11"/>
      <color theme="1"/>
      <name val="Calibri"/>
      <family val="2"/>
      <charset val="1"/>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BE1E3C"/>
        <bgColor indexed="64"/>
      </patternFill>
    </fill>
    <fill>
      <patternFill patternType="solid">
        <fgColor rgb="FFE7698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A9D08E"/>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s>
  <borders count="104">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medium">
        <color indexed="64"/>
      </right>
      <top/>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uble">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bottom style="dotted">
        <color indexed="64"/>
      </bottom>
      <diagonal/>
    </border>
    <border>
      <left style="double">
        <color indexed="64"/>
      </left>
      <right style="thin">
        <color indexed="64"/>
      </right>
      <top/>
      <bottom style="dotted">
        <color indexed="64"/>
      </bottom>
      <diagonal/>
    </border>
    <border>
      <left style="thin">
        <color indexed="64"/>
      </left>
      <right style="thin">
        <color indexed="64"/>
      </right>
      <top/>
      <bottom style="dotted">
        <color indexed="64"/>
      </bottom>
      <diagonal/>
    </border>
    <border>
      <left/>
      <right style="medium">
        <color indexed="64"/>
      </right>
      <top/>
      <bottom style="dotted">
        <color indexed="64"/>
      </bottom>
      <diagonal/>
    </border>
    <border>
      <left style="medium">
        <color indexed="64"/>
      </left>
      <right/>
      <top style="dotted">
        <color indexed="64"/>
      </top>
      <bottom style="dotted">
        <color indexed="64"/>
      </bottom>
      <diagonal/>
    </border>
    <border>
      <left style="double">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style="double">
        <color indexed="64"/>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medium">
        <color indexed="64"/>
      </left>
      <right/>
      <top style="dotted">
        <color indexed="64"/>
      </top>
      <bottom/>
      <diagonal/>
    </border>
    <border>
      <left style="double">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diagonal/>
    </border>
    <border>
      <left/>
      <right style="thin">
        <color indexed="64"/>
      </right>
      <top/>
      <bottom style="double">
        <color indexed="64"/>
      </bottom>
      <diagonal/>
    </border>
    <border>
      <left style="thin">
        <color indexed="64"/>
      </left>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Dashed">
        <color indexed="64"/>
      </top>
      <bottom/>
      <diagonal/>
    </border>
    <border>
      <left style="medium">
        <color indexed="64"/>
      </left>
      <right/>
      <top/>
      <bottom style="thin">
        <color indexed="64"/>
      </bottom>
      <diagonal/>
    </border>
    <border>
      <left/>
      <right/>
      <top style="medium">
        <color indexed="64"/>
      </top>
      <bottom style="thin">
        <color indexed="64"/>
      </bottom>
      <diagonal/>
    </border>
  </borders>
  <cellStyleXfs count="13">
    <xf numFmtId="0" fontId="0" fillId="0" borderId="0"/>
    <xf numFmtId="9"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0" fontId="11" fillId="0" borderId="0"/>
    <xf numFmtId="9" fontId="11" fillId="0" borderId="0" applyFont="0" applyFill="0" applyBorder="0" applyAlignment="0" applyProtection="0"/>
    <xf numFmtId="0" fontId="15" fillId="0" borderId="0" applyNumberFormat="0" applyFill="0" applyBorder="0" applyAlignment="0" applyProtection="0"/>
    <xf numFmtId="0" fontId="33" fillId="0" borderId="0" applyNumberFormat="0" applyFill="0" applyBorder="0" applyAlignment="0" applyProtection="0"/>
    <xf numFmtId="9" fontId="34" fillId="0" borderId="0" applyFont="0" applyFill="0" applyBorder="0" applyAlignment="0" applyProtection="0"/>
    <xf numFmtId="0" fontId="34" fillId="0" borderId="0"/>
    <xf numFmtId="44" fontId="8" fillId="0" borderId="0" applyFont="0" applyFill="0" applyBorder="0" applyAlignment="0" applyProtection="0"/>
    <xf numFmtId="0" fontId="36" fillId="15" borderId="0" applyNumberFormat="0" applyBorder="0" applyAlignment="0" applyProtection="0"/>
    <xf numFmtId="0" fontId="37" fillId="16" borderId="0" applyNumberFormat="0" applyBorder="0" applyAlignment="0" applyProtection="0"/>
  </cellStyleXfs>
  <cellXfs count="1179">
    <xf numFmtId="0" fontId="0" fillId="0" borderId="0" xfId="0"/>
    <xf numFmtId="0" fontId="2" fillId="0" borderId="0" xfId="0" applyFont="1"/>
    <xf numFmtId="0" fontId="4" fillId="0" borderId="0" xfId="0" applyFont="1"/>
    <xf numFmtId="0" fontId="1" fillId="2" borderId="0" xfId="0" applyFont="1" applyFill="1" applyAlignment="1" applyProtection="1">
      <alignment vertical="center"/>
      <protection locked="0"/>
    </xf>
    <xf numFmtId="0" fontId="2" fillId="2" borderId="0" xfId="0" applyFont="1" applyFill="1" applyProtection="1">
      <protection locked="0"/>
    </xf>
    <xf numFmtId="0" fontId="2" fillId="2" borderId="1" xfId="0" applyFont="1" applyFill="1" applyBorder="1" applyProtection="1">
      <protection locked="0"/>
    </xf>
    <xf numFmtId="0" fontId="5" fillId="2" borderId="0" xfId="0" applyFont="1" applyFill="1" applyProtection="1">
      <protection locked="0"/>
    </xf>
    <xf numFmtId="0" fontId="2" fillId="2" borderId="5" xfId="0" applyFont="1" applyFill="1" applyBorder="1" applyProtection="1">
      <protection locked="0"/>
    </xf>
    <xf numFmtId="0" fontId="2" fillId="2" borderId="6" xfId="0" applyFont="1" applyFill="1" applyBorder="1" applyProtection="1">
      <protection locked="0"/>
    </xf>
    <xf numFmtId="0" fontId="2" fillId="2" borderId="7" xfId="0" applyFont="1" applyFill="1" applyBorder="1" applyProtection="1">
      <protection locked="0"/>
    </xf>
    <xf numFmtId="0" fontId="2" fillId="2" borderId="8" xfId="0" applyFont="1" applyFill="1" applyBorder="1" applyProtection="1">
      <protection locked="0"/>
    </xf>
    <xf numFmtId="0" fontId="3" fillId="2" borderId="0" xfId="0" applyFont="1" applyFill="1" applyProtection="1">
      <protection locked="0"/>
    </xf>
    <xf numFmtId="0" fontId="6" fillId="2" borderId="0" xfId="0" applyFont="1" applyFill="1" applyAlignment="1" applyProtection="1">
      <alignment horizontal="left"/>
      <protection locked="0"/>
    </xf>
    <xf numFmtId="0" fontId="6" fillId="2" borderId="6" xfId="0" applyFont="1" applyFill="1" applyBorder="1" applyAlignment="1" applyProtection="1">
      <alignment horizontal="left"/>
      <protection locked="0"/>
    </xf>
    <xf numFmtId="0" fontId="6" fillId="3" borderId="0" xfId="0" applyFont="1" applyFill="1" applyAlignment="1" applyProtection="1">
      <alignment horizontal="right"/>
      <protection locked="0"/>
    </xf>
    <xf numFmtId="3" fontId="6" fillId="3" borderId="0" xfId="0" applyNumberFormat="1" applyFont="1" applyFill="1" applyProtection="1">
      <protection locked="0"/>
    </xf>
    <xf numFmtId="0" fontId="3" fillId="2" borderId="5" xfId="0" applyFont="1" applyFill="1" applyBorder="1" applyProtection="1">
      <protection locked="0"/>
    </xf>
    <xf numFmtId="0" fontId="3" fillId="2" borderId="6" xfId="0" applyFont="1" applyFill="1" applyBorder="1" applyProtection="1">
      <protection locked="0"/>
    </xf>
    <xf numFmtId="0" fontId="6" fillId="2" borderId="6" xfId="0" applyFont="1" applyFill="1" applyBorder="1" applyProtection="1">
      <protection locked="0"/>
    </xf>
    <xf numFmtId="44" fontId="6" fillId="2" borderId="6" xfId="2" applyFont="1" applyFill="1" applyBorder="1" applyAlignment="1" applyProtection="1">
      <alignment horizontal="left"/>
      <protection locked="0"/>
    </xf>
    <xf numFmtId="0" fontId="6" fillId="2" borderId="0" xfId="0" applyFont="1" applyFill="1" applyProtection="1">
      <protection locked="0"/>
    </xf>
    <xf numFmtId="2" fontId="2" fillId="2" borderId="0" xfId="0" applyNumberFormat="1" applyFont="1" applyFill="1" applyProtection="1">
      <protection locked="0"/>
    </xf>
    <xf numFmtId="3" fontId="2" fillId="2" borderId="0" xfId="0" applyNumberFormat="1" applyFont="1" applyFill="1" applyProtection="1">
      <protection locked="0"/>
    </xf>
    <xf numFmtId="0" fontId="11" fillId="0" borderId="0" xfId="4" applyAlignment="1">
      <alignment horizontal="center" vertical="center"/>
    </xf>
    <xf numFmtId="0" fontId="13" fillId="0" borderId="0" xfId="4" applyFont="1" applyAlignment="1">
      <alignment horizontal="center" vertical="center" wrapText="1"/>
    </xf>
    <xf numFmtId="0" fontId="11" fillId="0" borderId="0" xfId="4"/>
    <xf numFmtId="0" fontId="14" fillId="0" borderId="0" xfId="4" applyFont="1" applyAlignment="1">
      <alignment horizontal="center" vertical="center"/>
    </xf>
    <xf numFmtId="0" fontId="11" fillId="3" borderId="16" xfId="4" applyFill="1" applyBorder="1" applyAlignment="1">
      <alignment vertical="center"/>
    </xf>
    <xf numFmtId="0" fontId="13" fillId="4" borderId="17" xfId="4" applyFont="1" applyFill="1" applyBorder="1" applyAlignment="1">
      <alignment horizontal="center" vertical="center"/>
    </xf>
    <xf numFmtId="0" fontId="13" fillId="0" borderId="0" xfId="4" applyFont="1" applyAlignment="1">
      <alignment horizontal="center" vertical="center"/>
    </xf>
    <xf numFmtId="0" fontId="11" fillId="3" borderId="19" xfId="4" applyFill="1" applyBorder="1" applyAlignment="1">
      <alignment vertical="center"/>
    </xf>
    <xf numFmtId="0" fontId="11" fillId="3" borderId="21" xfId="4" applyFill="1" applyBorder="1" applyAlignment="1">
      <alignment vertical="center"/>
    </xf>
    <xf numFmtId="0" fontId="11" fillId="3" borderId="22" xfId="4" applyFill="1" applyBorder="1" applyAlignment="1">
      <alignment vertical="center"/>
    </xf>
    <xf numFmtId="0" fontId="11" fillId="3" borderId="24" xfId="4" applyFill="1" applyBorder="1" applyAlignment="1">
      <alignment vertical="center"/>
    </xf>
    <xf numFmtId="0" fontId="12" fillId="4" borderId="29" xfId="4" applyFont="1" applyFill="1" applyBorder="1" applyAlignment="1">
      <alignment horizontal="center" vertical="center"/>
    </xf>
    <xf numFmtId="0" fontId="12" fillId="4" borderId="30" xfId="4" applyFont="1" applyFill="1" applyBorder="1" applyAlignment="1">
      <alignment horizontal="center" vertical="center"/>
    </xf>
    <xf numFmtId="0" fontId="12" fillId="5" borderId="12" xfId="4" applyFont="1" applyFill="1" applyBorder="1" applyAlignment="1">
      <alignment vertical="center"/>
    </xf>
    <xf numFmtId="0" fontId="13" fillId="5" borderId="32" xfId="4" applyFont="1" applyFill="1" applyBorder="1" applyAlignment="1">
      <alignment vertical="center"/>
    </xf>
    <xf numFmtId="2" fontId="12" fillId="5" borderId="33" xfId="4" applyNumberFormat="1" applyFont="1" applyFill="1" applyBorder="1" applyAlignment="1">
      <alignment vertical="center"/>
    </xf>
    <xf numFmtId="10" fontId="12" fillId="5" borderId="13" xfId="4" applyNumberFormat="1" applyFont="1" applyFill="1" applyBorder="1" applyAlignment="1">
      <alignment horizontal="right" vertical="center"/>
    </xf>
    <xf numFmtId="0" fontId="11" fillId="3" borderId="35" xfId="4" applyFill="1" applyBorder="1" applyAlignment="1">
      <alignment vertical="center"/>
    </xf>
    <xf numFmtId="167" fontId="2" fillId="3" borderId="37" xfId="5" applyNumberFormat="1" applyFont="1" applyFill="1" applyBorder="1" applyAlignment="1">
      <alignment vertical="center"/>
    </xf>
    <xf numFmtId="0" fontId="11" fillId="3" borderId="39" xfId="4" applyFill="1" applyBorder="1" applyAlignment="1">
      <alignment vertical="center"/>
    </xf>
    <xf numFmtId="167" fontId="2" fillId="3" borderId="41" xfId="5" applyNumberFormat="1" applyFont="1" applyFill="1" applyBorder="1" applyAlignment="1">
      <alignment vertical="center"/>
    </xf>
    <xf numFmtId="0" fontId="15" fillId="0" borderId="0" xfId="6"/>
    <xf numFmtId="0" fontId="11" fillId="3" borderId="38" xfId="4" applyFill="1" applyBorder="1" applyAlignment="1">
      <alignment horizontal="left" vertical="center"/>
    </xf>
    <xf numFmtId="0" fontId="11" fillId="3" borderId="42" xfId="4" applyFill="1" applyBorder="1" applyAlignment="1">
      <alignment horizontal="left" vertical="center"/>
    </xf>
    <xf numFmtId="0" fontId="11" fillId="3" borderId="43" xfId="4" applyFill="1" applyBorder="1" applyAlignment="1">
      <alignment vertical="center"/>
    </xf>
    <xf numFmtId="167" fontId="2" fillId="3" borderId="45" xfId="5" applyNumberFormat="1" applyFont="1" applyFill="1" applyBorder="1" applyAlignment="1">
      <alignment vertical="center"/>
    </xf>
    <xf numFmtId="167" fontId="12" fillId="5" borderId="13" xfId="4" applyNumberFormat="1" applyFont="1" applyFill="1" applyBorder="1" applyAlignment="1">
      <alignment vertical="center"/>
    </xf>
    <xf numFmtId="0" fontId="11" fillId="0" borderId="0" xfId="4" applyAlignment="1">
      <alignment vertical="center"/>
    </xf>
    <xf numFmtId="0" fontId="12" fillId="0" borderId="0" xfId="4" applyFont="1" applyAlignment="1">
      <alignment horizontal="center" vertical="center"/>
    </xf>
    <xf numFmtId="0" fontId="11" fillId="3" borderId="35" xfId="4" applyFill="1" applyBorder="1" applyAlignment="1">
      <alignment vertical="center" wrapText="1"/>
    </xf>
    <xf numFmtId="0" fontId="11" fillId="3" borderId="39" xfId="4" applyFill="1" applyBorder="1" applyAlignment="1">
      <alignment vertical="center" wrapText="1"/>
    </xf>
    <xf numFmtId="0" fontId="11" fillId="3" borderId="43" xfId="4" applyFill="1" applyBorder="1" applyAlignment="1">
      <alignment vertical="center" wrapText="1"/>
    </xf>
    <xf numFmtId="0" fontId="11" fillId="3" borderId="47" xfId="4" applyFill="1" applyBorder="1" applyAlignment="1">
      <alignment vertical="center"/>
    </xf>
    <xf numFmtId="167" fontId="2" fillId="3" borderId="49" xfId="5" applyNumberFormat="1" applyFont="1" applyFill="1" applyBorder="1" applyAlignment="1">
      <alignment vertical="center"/>
    </xf>
    <xf numFmtId="0" fontId="14" fillId="0" borderId="0" xfId="4" applyFont="1" applyAlignment="1">
      <alignment vertical="center"/>
    </xf>
    <xf numFmtId="2" fontId="12" fillId="4" borderId="30" xfId="4" applyNumberFormat="1" applyFont="1" applyFill="1" applyBorder="1" applyAlignment="1">
      <alignment vertical="center"/>
    </xf>
    <xf numFmtId="9" fontId="12" fillId="4" borderId="51" xfId="5" applyFont="1" applyFill="1" applyBorder="1" applyAlignment="1">
      <alignment vertical="center"/>
    </xf>
    <xf numFmtId="0" fontId="16" fillId="0" borderId="0" xfId="4" applyFont="1"/>
    <xf numFmtId="2" fontId="16" fillId="0" borderId="0" xfId="4" applyNumberFormat="1" applyFont="1" applyAlignment="1">
      <alignment vertical="center"/>
    </xf>
    <xf numFmtId="164" fontId="11" fillId="0" borderId="0" xfId="4" applyNumberFormat="1"/>
    <xf numFmtId="0" fontId="18" fillId="0" borderId="0" xfId="0" applyFont="1" applyAlignment="1">
      <alignment vertical="top"/>
    </xf>
    <xf numFmtId="0" fontId="19" fillId="0" borderId="0" xfId="0" applyFont="1" applyAlignment="1">
      <alignment vertical="top" wrapText="1"/>
    </xf>
    <xf numFmtId="0" fontId="19" fillId="0" borderId="0" xfId="0" applyFont="1" applyAlignment="1">
      <alignment vertical="top"/>
    </xf>
    <xf numFmtId="0" fontId="20" fillId="0" borderId="18" xfId="0" applyFont="1" applyBorder="1" applyAlignment="1">
      <alignment vertical="top" wrapText="1"/>
    </xf>
    <xf numFmtId="0" fontId="21" fillId="0" borderId="9"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0" xfId="0" applyAlignment="1">
      <alignment vertical="top" wrapText="1"/>
    </xf>
    <xf numFmtId="0" fontId="21" fillId="0" borderId="9" xfId="0" applyFont="1" applyBorder="1" applyAlignment="1">
      <alignment vertical="top"/>
    </xf>
    <xf numFmtId="0" fontId="0" fillId="0" borderId="52" xfId="0" applyBorder="1" applyAlignment="1">
      <alignment vertical="top" wrapText="1"/>
    </xf>
    <xf numFmtId="0" fontId="0" fillId="0" borderId="53" xfId="0" applyBorder="1" applyAlignment="1">
      <alignment vertical="top" wrapText="1"/>
    </xf>
    <xf numFmtId="0" fontId="0" fillId="0" borderId="54" xfId="0" applyBorder="1" applyAlignment="1">
      <alignment vertical="top" wrapText="1"/>
    </xf>
    <xf numFmtId="164" fontId="0" fillId="0" borderId="53" xfId="0" applyNumberFormat="1" applyBorder="1" applyAlignment="1">
      <alignment horizontal="right" vertical="top" wrapText="1"/>
    </xf>
    <xf numFmtId="0" fontId="0" fillId="0" borderId="53" xfId="0" applyBorder="1" applyAlignment="1">
      <alignment horizontal="right" vertical="top" wrapText="1"/>
    </xf>
    <xf numFmtId="169" fontId="0" fillId="0" borderId="53" xfId="3" applyNumberFormat="1" applyFont="1" applyBorder="1" applyAlignment="1">
      <alignment vertical="top" wrapText="1"/>
    </xf>
    <xf numFmtId="0" fontId="0" fillId="0" borderId="55" xfId="0" applyBorder="1" applyAlignment="1">
      <alignment vertical="top" wrapText="1"/>
    </xf>
    <xf numFmtId="0" fontId="0" fillId="0" borderId="57" xfId="0" applyBorder="1" applyAlignment="1">
      <alignment vertical="top" wrapText="1"/>
    </xf>
    <xf numFmtId="43" fontId="0" fillId="0" borderId="53" xfId="0" applyNumberFormat="1" applyBorder="1" applyAlignment="1">
      <alignment horizontal="right" vertical="top" wrapText="1"/>
    </xf>
    <xf numFmtId="166" fontId="0" fillId="0" borderId="0" xfId="0" applyNumberFormat="1" applyAlignment="1">
      <alignment vertical="top" wrapText="1"/>
    </xf>
    <xf numFmtId="0" fontId="0" fillId="0" borderId="58" xfId="0" applyBorder="1" applyAlignment="1">
      <alignment vertical="top" wrapText="1"/>
    </xf>
    <xf numFmtId="0" fontId="0" fillId="0" borderId="59" xfId="0" applyBorder="1" applyAlignment="1">
      <alignment horizontal="right" vertical="top" wrapText="1"/>
    </xf>
    <xf numFmtId="0" fontId="0" fillId="0" borderId="60" xfId="0" applyBorder="1" applyAlignment="1">
      <alignment vertical="top" wrapText="1"/>
    </xf>
    <xf numFmtId="0" fontId="0" fillId="0" borderId="61" xfId="0" applyBorder="1" applyAlignment="1">
      <alignment vertical="top" wrapText="1"/>
    </xf>
    <xf numFmtId="0" fontId="0" fillId="0" borderId="62" xfId="0" applyBorder="1" applyAlignment="1">
      <alignment vertical="top" wrapText="1"/>
    </xf>
    <xf numFmtId="0" fontId="0" fillId="0" borderId="63" xfId="0" applyBorder="1" applyAlignment="1">
      <alignment vertical="top" wrapText="1"/>
    </xf>
    <xf numFmtId="0" fontId="0" fillId="0" borderId="64" xfId="0" applyBorder="1" applyAlignment="1">
      <alignment vertical="top" wrapText="1"/>
    </xf>
    <xf numFmtId="166" fontId="0" fillId="0" borderId="65" xfId="0" applyNumberFormat="1" applyBorder="1" applyAlignment="1">
      <alignment vertical="top" wrapText="1"/>
    </xf>
    <xf numFmtId="0" fontId="0" fillId="0" borderId="66" xfId="0" applyBorder="1" applyAlignment="1">
      <alignment vertical="top" wrapText="1"/>
    </xf>
    <xf numFmtId="0" fontId="0" fillId="0" borderId="0" xfId="0" applyAlignment="1">
      <alignment horizontal="right" vertical="top" wrapText="1"/>
    </xf>
    <xf numFmtId="0" fontId="20" fillId="0" borderId="0" xfId="0" applyFont="1" applyAlignment="1">
      <alignment vertical="top" wrapText="1"/>
    </xf>
    <xf numFmtId="0" fontId="0" fillId="0" borderId="65" xfId="0" applyBorder="1" applyAlignment="1">
      <alignment vertical="top" wrapText="1"/>
    </xf>
    <xf numFmtId="164" fontId="0" fillId="0" borderId="0" xfId="0" applyNumberFormat="1" applyAlignment="1">
      <alignment horizontal="right" vertical="top" wrapText="1"/>
    </xf>
    <xf numFmtId="0" fontId="0" fillId="0" borderId="56" xfId="0" applyBorder="1" applyAlignment="1">
      <alignment vertical="top" wrapText="1"/>
    </xf>
    <xf numFmtId="0" fontId="21" fillId="0" borderId="0" xfId="0" applyFont="1" applyAlignment="1">
      <alignment vertical="top"/>
    </xf>
    <xf numFmtId="0" fontId="10" fillId="0" borderId="53" xfId="0" applyFont="1" applyBorder="1" applyAlignment="1">
      <alignment vertical="top" wrapText="1"/>
    </xf>
    <xf numFmtId="0" fontId="10" fillId="7" borderId="53" xfId="0" applyFont="1" applyFill="1" applyBorder="1" applyAlignment="1">
      <alignment vertical="top" wrapText="1"/>
    </xf>
    <xf numFmtId="0" fontId="10" fillId="8" borderId="53" xfId="0" applyFont="1" applyFill="1" applyBorder="1" applyAlignment="1">
      <alignment vertical="top" wrapText="1"/>
    </xf>
    <xf numFmtId="0" fontId="10" fillId="8" borderId="67" xfId="0" applyFont="1" applyFill="1" applyBorder="1" applyAlignment="1">
      <alignment vertical="top" wrapText="1"/>
    </xf>
    <xf numFmtId="0" fontId="10" fillId="6" borderId="53" xfId="0" applyFont="1" applyFill="1" applyBorder="1" applyAlignment="1">
      <alignment vertical="top" wrapText="1"/>
    </xf>
    <xf numFmtId="0" fontId="10" fillId="9" borderId="53" xfId="0" applyFont="1" applyFill="1" applyBorder="1" applyAlignment="1">
      <alignment vertical="top" wrapText="1"/>
    </xf>
    <xf numFmtId="0" fontId="10" fillId="9" borderId="53" xfId="0" applyFont="1" applyFill="1" applyBorder="1" applyAlignment="1">
      <alignment horizontal="left" vertical="top" wrapText="1"/>
    </xf>
    <xf numFmtId="0" fontId="10" fillId="0" borderId="0" xfId="0" applyFont="1" applyAlignment="1">
      <alignment vertical="top" wrapText="1"/>
    </xf>
    <xf numFmtId="0" fontId="10" fillId="0" borderId="0" xfId="0" applyFont="1" applyAlignment="1">
      <alignment vertical="top"/>
    </xf>
    <xf numFmtId="0" fontId="0" fillId="0" borderId="4" xfId="0" applyBorder="1" applyAlignment="1">
      <alignment vertical="top" wrapText="1"/>
    </xf>
    <xf numFmtId="0" fontId="0" fillId="0" borderId="62" xfId="0" applyBorder="1" applyAlignment="1">
      <alignment horizontal="left" vertical="top" wrapText="1"/>
    </xf>
    <xf numFmtId="0" fontId="0" fillId="0" borderId="6" xfId="0" applyBorder="1" applyAlignment="1">
      <alignment vertical="top" wrapText="1"/>
    </xf>
    <xf numFmtId="43" fontId="0" fillId="0" borderId="68" xfId="3" applyFont="1" applyFill="1" applyBorder="1" applyAlignment="1">
      <alignment vertical="top" wrapText="1"/>
    </xf>
    <xf numFmtId="0" fontId="0" fillId="0" borderId="68" xfId="0" applyBorder="1" applyAlignment="1">
      <alignment vertical="top" wrapText="1"/>
    </xf>
    <xf numFmtId="0" fontId="0" fillId="0" borderId="68" xfId="0" applyBorder="1" applyAlignment="1">
      <alignment horizontal="left" vertical="top" wrapText="1"/>
    </xf>
    <xf numFmtId="43" fontId="0" fillId="0" borderId="68" xfId="3" applyFont="1" applyFill="1" applyBorder="1" applyAlignment="1">
      <alignment horizontal="left" vertical="top" wrapText="1"/>
    </xf>
    <xf numFmtId="0" fontId="0" fillId="0" borderId="8" xfId="0" applyBorder="1" applyAlignment="1">
      <alignment vertical="top" wrapText="1"/>
    </xf>
    <xf numFmtId="43" fontId="0" fillId="0" borderId="65" xfId="3" applyFont="1" applyFill="1" applyBorder="1" applyAlignment="1">
      <alignment vertical="top" wrapText="1"/>
    </xf>
    <xf numFmtId="43" fontId="0" fillId="0" borderId="65" xfId="3" applyFont="1" applyFill="1" applyBorder="1" applyAlignment="1">
      <alignment horizontal="left" vertical="top" wrapText="1"/>
    </xf>
    <xf numFmtId="43" fontId="0" fillId="0" borderId="62" xfId="3" applyFont="1" applyFill="1" applyBorder="1" applyAlignment="1">
      <alignment vertical="top" wrapText="1"/>
    </xf>
    <xf numFmtId="43" fontId="0" fillId="0" borderId="68" xfId="3" applyFont="1" applyBorder="1" applyAlignment="1">
      <alignment vertical="top" wrapText="1"/>
    </xf>
    <xf numFmtId="164" fontId="0" fillId="0" borderId="68" xfId="0" applyNumberFormat="1" applyBorder="1" applyAlignment="1">
      <alignment horizontal="right" vertical="top" wrapText="1"/>
    </xf>
    <xf numFmtId="164" fontId="0" fillId="0" borderId="68" xfId="0" applyNumberFormat="1" applyBorder="1" applyAlignment="1">
      <alignment vertical="top" wrapText="1"/>
    </xf>
    <xf numFmtId="164" fontId="0" fillId="0" borderId="65" xfId="0" applyNumberFormat="1" applyBorder="1" applyAlignment="1">
      <alignment vertical="top" wrapText="1"/>
    </xf>
    <xf numFmtId="0" fontId="0" fillId="0" borderId="0" xfId="0" applyAlignment="1">
      <alignment wrapText="1"/>
    </xf>
    <xf numFmtId="0" fontId="0" fillId="0" borderId="0" xfId="0" applyAlignment="1">
      <alignment horizontal="left" vertical="top"/>
    </xf>
    <xf numFmtId="0" fontId="0" fillId="0" borderId="53" xfId="0" applyBorder="1"/>
    <xf numFmtId="0" fontId="10" fillId="0" borderId="53" xfId="0" applyFont="1" applyBorder="1"/>
    <xf numFmtId="0" fontId="10" fillId="0" borderId="0" xfId="0" applyFont="1"/>
    <xf numFmtId="0" fontId="10" fillId="0" borderId="65" xfId="0" applyFont="1" applyBorder="1" applyAlignment="1">
      <alignment wrapText="1"/>
    </xf>
    <xf numFmtId="0" fontId="10" fillId="0" borderId="0" xfId="0" applyFont="1" applyAlignment="1">
      <alignment wrapText="1"/>
    </xf>
    <xf numFmtId="0" fontId="10" fillId="0" borderId="0" xfId="0" applyFont="1" applyAlignment="1">
      <alignment horizontal="left" vertical="top"/>
    </xf>
    <xf numFmtId="0" fontId="10" fillId="0" borderId="69" xfId="0" applyFont="1" applyBorder="1"/>
    <xf numFmtId="0" fontId="10" fillId="0" borderId="70" xfId="0" applyFont="1" applyBorder="1"/>
    <xf numFmtId="0" fontId="10" fillId="0" borderId="71" xfId="0" applyFont="1" applyBorder="1"/>
    <xf numFmtId="0" fontId="0" fillId="0" borderId="6" xfId="0" applyBorder="1"/>
    <xf numFmtId="9" fontId="0" fillId="0" borderId="53" xfId="1" applyFont="1" applyBorder="1"/>
    <xf numFmtId="0" fontId="0" fillId="0" borderId="52" xfId="0" applyBorder="1"/>
    <xf numFmtId="169" fontId="0" fillId="0" borderId="53" xfId="0" applyNumberFormat="1" applyBorder="1"/>
    <xf numFmtId="0" fontId="0" fillId="0" borderId="53" xfId="0" quotePrefix="1" applyBorder="1"/>
    <xf numFmtId="169" fontId="0" fillId="0" borderId="54" xfId="0" applyNumberFormat="1" applyBorder="1"/>
    <xf numFmtId="2" fontId="0" fillId="0" borderId="53" xfId="0" applyNumberFormat="1" applyBorder="1"/>
    <xf numFmtId="0" fontId="0" fillId="0" borderId="55" xfId="0" applyBorder="1"/>
    <xf numFmtId="0" fontId="0" fillId="0" borderId="56" xfId="0" applyBorder="1"/>
    <xf numFmtId="169" fontId="0" fillId="0" borderId="56" xfId="0" applyNumberFormat="1" applyBorder="1"/>
    <xf numFmtId="0" fontId="0" fillId="0" borderId="56" xfId="0" quotePrefix="1" applyBorder="1"/>
    <xf numFmtId="170" fontId="0" fillId="0" borderId="57" xfId="0" applyNumberFormat="1" applyBorder="1"/>
    <xf numFmtId="0" fontId="0" fillId="0" borderId="64" xfId="0" applyBorder="1"/>
    <xf numFmtId="0" fontId="0" fillId="0" borderId="65" xfId="0" applyBorder="1"/>
    <xf numFmtId="0" fontId="0" fillId="0" borderId="66" xfId="0" applyBorder="1"/>
    <xf numFmtId="170" fontId="0" fillId="0" borderId="53" xfId="0" applyNumberFormat="1" applyBorder="1"/>
    <xf numFmtId="0" fontId="0" fillId="0" borderId="54" xfId="0" applyBorder="1"/>
    <xf numFmtId="0" fontId="0" fillId="0" borderId="52" xfId="0" quotePrefix="1" applyBorder="1"/>
    <xf numFmtId="169" fontId="0" fillId="0" borderId="57" xfId="0" applyNumberFormat="1" applyBorder="1"/>
    <xf numFmtId="0" fontId="10" fillId="0" borderId="53" xfId="0" applyFont="1" applyBorder="1" applyAlignment="1">
      <alignment wrapText="1"/>
    </xf>
    <xf numFmtId="0" fontId="10" fillId="6" borderId="67" xfId="0" applyFont="1" applyFill="1" applyBorder="1" applyAlignment="1">
      <alignment vertical="top" wrapText="1"/>
    </xf>
    <xf numFmtId="0" fontId="10" fillId="9" borderId="67" xfId="0" applyFont="1" applyFill="1" applyBorder="1" applyAlignment="1">
      <alignment vertical="top" wrapText="1"/>
    </xf>
    <xf numFmtId="0" fontId="10" fillId="0" borderId="67" xfId="0" applyFont="1" applyBorder="1" applyAlignment="1">
      <alignment horizontal="left" vertical="top" wrapText="1"/>
    </xf>
    <xf numFmtId="0" fontId="10" fillId="0" borderId="6" xfId="0" applyFont="1" applyBorder="1"/>
    <xf numFmtId="0" fontId="10" fillId="0" borderId="68" xfId="0" applyFont="1" applyBorder="1"/>
    <xf numFmtId="0" fontId="10" fillId="0" borderId="62" xfId="0" applyFont="1" applyBorder="1"/>
    <xf numFmtId="0" fontId="10" fillId="0" borderId="4" xfId="0" applyFont="1" applyBorder="1"/>
    <xf numFmtId="0" fontId="10" fillId="0" borderId="68" xfId="0" applyFont="1" applyBorder="1" applyAlignment="1">
      <alignment wrapText="1"/>
    </xf>
    <xf numFmtId="0" fontId="10" fillId="0" borderId="4" xfId="0" applyFont="1" applyBorder="1" applyAlignment="1">
      <alignment horizontal="left" vertical="top"/>
    </xf>
    <xf numFmtId="169" fontId="0" fillId="0" borderId="68" xfId="0" applyNumberFormat="1" applyBorder="1"/>
    <xf numFmtId="0" fontId="0" fillId="0" borderId="68" xfId="0" applyBorder="1"/>
    <xf numFmtId="0" fontId="0" fillId="0" borderId="68" xfId="0" applyBorder="1" applyAlignment="1">
      <alignment wrapText="1"/>
    </xf>
    <xf numFmtId="0" fontId="0" fillId="0" borderId="6" xfId="0" applyBorder="1" applyAlignment="1">
      <alignment horizontal="left" vertical="top"/>
    </xf>
    <xf numFmtId="169" fontId="0" fillId="0" borderId="0" xfId="0" quotePrefix="1" applyNumberFormat="1"/>
    <xf numFmtId="169" fontId="0" fillId="0" borderId="6" xfId="3" applyNumberFormat="1" applyFont="1" applyBorder="1"/>
    <xf numFmtId="169" fontId="0" fillId="0" borderId="0" xfId="0" applyNumberFormat="1"/>
    <xf numFmtId="169" fontId="0" fillId="0" borderId="6" xfId="0" applyNumberFormat="1" applyBorder="1"/>
    <xf numFmtId="0" fontId="0" fillId="0" borderId="8" xfId="0" applyBorder="1"/>
    <xf numFmtId="0" fontId="0" fillId="0" borderId="65" xfId="0" applyBorder="1" applyAlignment="1">
      <alignment wrapText="1"/>
    </xf>
    <xf numFmtId="0" fontId="0" fillId="0" borderId="8" xfId="0" applyBorder="1" applyAlignment="1">
      <alignment horizontal="left" vertical="top"/>
    </xf>
    <xf numFmtId="0" fontId="0" fillId="0" borderId="4" xfId="0" applyBorder="1"/>
    <xf numFmtId="0" fontId="0" fillId="0" borderId="62" xfId="0" applyBorder="1"/>
    <xf numFmtId="0" fontId="25" fillId="0" borderId="6" xfId="0" applyFont="1" applyBorder="1"/>
    <xf numFmtId="169" fontId="25" fillId="0" borderId="6" xfId="3" applyNumberFormat="1" applyFont="1" applyFill="1" applyBorder="1"/>
    <xf numFmtId="0" fontId="25" fillId="0" borderId="68" xfId="0" applyFont="1" applyBorder="1"/>
    <xf numFmtId="169" fontId="0" fillId="0" borderId="6" xfId="3" applyNumberFormat="1" applyFont="1" applyFill="1" applyBorder="1"/>
    <xf numFmtId="0" fontId="0" fillId="0" borderId="68" xfId="0" applyBorder="1" applyAlignment="1">
      <alignment vertical="top"/>
    </xf>
    <xf numFmtId="170" fontId="0" fillId="0" borderId="6" xfId="0" applyNumberFormat="1" applyBorder="1"/>
    <xf numFmtId="2" fontId="0" fillId="0" borderId="0" xfId="0" applyNumberFormat="1"/>
    <xf numFmtId="171" fontId="0" fillId="0" borderId="68" xfId="0" applyNumberFormat="1" applyBorder="1"/>
    <xf numFmtId="172" fontId="0" fillId="0" borderId="6" xfId="0" applyNumberFormat="1" applyBorder="1"/>
    <xf numFmtId="172" fontId="0" fillId="0" borderId="0" xfId="0" applyNumberFormat="1"/>
    <xf numFmtId="0" fontId="0" fillId="0" borderId="72" xfId="0" applyBorder="1"/>
    <xf numFmtId="171" fontId="0" fillId="0" borderId="72" xfId="0" applyNumberFormat="1" applyBorder="1"/>
    <xf numFmtId="0" fontId="0" fillId="0" borderId="72" xfId="0" applyBorder="1" applyAlignment="1">
      <alignment wrapText="1"/>
    </xf>
    <xf numFmtId="0" fontId="0" fillId="0" borderId="72" xfId="0" applyBorder="1" applyAlignment="1">
      <alignment horizontal="left" vertical="top"/>
    </xf>
    <xf numFmtId="0" fontId="18" fillId="0" borderId="0" xfId="0" applyFont="1"/>
    <xf numFmtId="0" fontId="10" fillId="0" borderId="62" xfId="0" applyFont="1" applyBorder="1" applyAlignment="1">
      <alignment wrapText="1"/>
    </xf>
    <xf numFmtId="0" fontId="10" fillId="0" borderId="62" xfId="0" applyFont="1" applyBorder="1" applyAlignment="1">
      <alignment horizontal="left" vertical="top"/>
    </xf>
    <xf numFmtId="0" fontId="0" fillId="0" borderId="68" xfId="0" applyBorder="1" applyAlignment="1">
      <alignment horizontal="left" vertical="top"/>
    </xf>
    <xf numFmtId="169" fontId="0" fillId="0" borderId="53" xfId="0" applyNumberFormat="1" applyBorder="1" applyAlignment="1">
      <alignment vertical="top" wrapText="1"/>
    </xf>
    <xf numFmtId="171" fontId="0" fillId="0" borderId="65" xfId="0" applyNumberFormat="1" applyBorder="1"/>
    <xf numFmtId="0" fontId="0" fillId="0" borderId="65" xfId="0" applyBorder="1" applyAlignment="1">
      <alignment horizontal="left" vertical="top"/>
    </xf>
    <xf numFmtId="170" fontId="0" fillId="0" borderId="53" xfId="0" applyNumberFormat="1" applyBorder="1" applyAlignment="1">
      <alignment vertical="top" wrapText="1"/>
    </xf>
    <xf numFmtId="172" fontId="0" fillId="0" borderId="68" xfId="0" applyNumberFormat="1" applyBorder="1"/>
    <xf numFmtId="170" fontId="0" fillId="0" borderId="68" xfId="0" applyNumberFormat="1" applyBorder="1"/>
    <xf numFmtId="168" fontId="0" fillId="0" borderId="68" xfId="0" applyNumberFormat="1" applyBorder="1" applyAlignment="1">
      <alignment horizontal="right"/>
    </xf>
    <xf numFmtId="0" fontId="26" fillId="0" borderId="8" xfId="0" applyFont="1" applyBorder="1"/>
    <xf numFmtId="169" fontId="26" fillId="0" borderId="65" xfId="0" applyNumberFormat="1" applyFont="1" applyBorder="1"/>
    <xf numFmtId="0" fontId="26" fillId="0" borderId="65" xfId="0" applyFont="1" applyBorder="1"/>
    <xf numFmtId="0" fontId="26" fillId="0" borderId="65" xfId="0" applyFont="1" applyBorder="1" applyAlignment="1">
      <alignment wrapText="1"/>
    </xf>
    <xf numFmtId="0" fontId="26" fillId="0" borderId="65" xfId="0" applyFont="1" applyBorder="1" applyAlignment="1">
      <alignment horizontal="left" vertical="top"/>
    </xf>
    <xf numFmtId="0" fontId="0" fillId="0" borderId="68" xfId="0" applyBorder="1" applyAlignment="1">
      <alignment horizontal="right" wrapText="1"/>
    </xf>
    <xf numFmtId="169" fontId="0" fillId="0" borderId="65" xfId="0" applyNumberFormat="1" applyBorder="1"/>
    <xf numFmtId="0" fontId="0" fillId="0" borderId="65" xfId="0" applyBorder="1" applyAlignment="1">
      <alignment horizontal="right" wrapText="1"/>
    </xf>
    <xf numFmtId="0" fontId="0" fillId="0" borderId="73" xfId="0" applyBorder="1"/>
    <xf numFmtId="1" fontId="0" fillId="0" borderId="68" xfId="0" applyNumberFormat="1" applyBorder="1"/>
    <xf numFmtId="169" fontId="0" fillId="0" borderId="68" xfId="3" applyNumberFormat="1" applyFont="1" applyFill="1" applyBorder="1"/>
    <xf numFmtId="0" fontId="0" fillId="0" borderId="6" xfId="0" applyBorder="1" applyAlignment="1">
      <alignment wrapText="1"/>
    </xf>
    <xf numFmtId="0" fontId="19" fillId="0" borderId="0" xfId="0" applyFont="1" applyAlignment="1">
      <alignment horizontal="left" vertical="top" wrapText="1"/>
    </xf>
    <xf numFmtId="0" fontId="0" fillId="0" borderId="0" xfId="0" applyAlignment="1">
      <alignment horizontal="left" vertical="top" wrapText="1"/>
    </xf>
    <xf numFmtId="0" fontId="10" fillId="0" borderId="53" xfId="0" applyFont="1" applyBorder="1" applyAlignment="1">
      <alignment vertical="top"/>
    </xf>
    <xf numFmtId="170" fontId="0" fillId="0" borderId="53" xfId="3" applyNumberFormat="1" applyFont="1" applyBorder="1" applyAlignment="1">
      <alignment horizontal="right" vertical="top" wrapText="1"/>
    </xf>
    <xf numFmtId="9" fontId="0" fillId="0" borderId="53" xfId="1" applyFont="1" applyBorder="1" applyAlignment="1">
      <alignment vertical="top" wrapText="1"/>
    </xf>
    <xf numFmtId="2" fontId="0" fillId="0" borderId="62" xfId="0" applyNumberFormat="1" applyBorder="1" applyAlignment="1">
      <alignment vertical="top" wrapText="1"/>
    </xf>
    <xf numFmtId="43" fontId="0" fillId="0" borderId="0" xfId="0" applyNumberFormat="1" applyAlignment="1">
      <alignment horizontal="right" vertical="top" wrapText="1"/>
    </xf>
    <xf numFmtId="43" fontId="0" fillId="0" borderId="0" xfId="3" applyFont="1" applyBorder="1" applyAlignment="1">
      <alignment vertical="top" wrapText="1"/>
    </xf>
    <xf numFmtId="167" fontId="0" fillId="0" borderId="0" xfId="1" applyNumberFormat="1" applyFont="1" applyBorder="1" applyAlignment="1">
      <alignment vertical="top" wrapText="1"/>
    </xf>
    <xf numFmtId="167" fontId="0" fillId="0" borderId="0" xfId="1" applyNumberFormat="1" applyFont="1" applyAlignment="1">
      <alignment vertical="top" wrapText="1"/>
    </xf>
    <xf numFmtId="43" fontId="0" fillId="0" borderId="68" xfId="3" applyFont="1" applyBorder="1" applyAlignment="1">
      <alignment horizontal="left" vertical="top" wrapText="1"/>
    </xf>
    <xf numFmtId="43" fontId="0" fillId="0" borderId="65" xfId="3" applyFont="1" applyBorder="1" applyAlignment="1">
      <alignment vertical="top" wrapText="1"/>
    </xf>
    <xf numFmtId="43" fontId="0" fillId="0" borderId="65" xfId="3" applyFont="1" applyBorder="1" applyAlignment="1">
      <alignment horizontal="left" vertical="top" wrapText="1"/>
    </xf>
    <xf numFmtId="0" fontId="10" fillId="0" borderId="67" xfId="0" applyFont="1" applyBorder="1" applyAlignment="1">
      <alignment vertical="top" wrapText="1"/>
    </xf>
    <xf numFmtId="43" fontId="0" fillId="0" borderId="62" xfId="3" applyFont="1" applyBorder="1" applyAlignment="1">
      <alignment vertical="top" wrapText="1"/>
    </xf>
    <xf numFmtId="0" fontId="0" fillId="0" borderId="1" xfId="0" applyBorder="1" applyAlignment="1">
      <alignment vertical="top" wrapText="1"/>
    </xf>
    <xf numFmtId="0" fontId="0" fillId="0" borderId="65" xfId="0" applyBorder="1" applyAlignment="1">
      <alignment horizontal="left" vertical="top" wrapText="1"/>
    </xf>
    <xf numFmtId="164" fontId="0" fillId="0" borderId="65" xfId="0" applyNumberFormat="1" applyBorder="1" applyAlignment="1">
      <alignment horizontal="right" vertical="top" wrapText="1"/>
    </xf>
    <xf numFmtId="164" fontId="0" fillId="0" borderId="65" xfId="0" applyNumberFormat="1" applyBorder="1" applyAlignment="1">
      <alignment horizontal="left" vertical="top" wrapText="1"/>
    </xf>
    <xf numFmtId="0" fontId="0" fillId="0" borderId="68" xfId="0" applyBorder="1" applyAlignment="1">
      <alignment horizontal="right" vertical="top" wrapText="1"/>
    </xf>
    <xf numFmtId="164" fontId="0" fillId="0" borderId="68" xfId="0" applyNumberFormat="1" applyBorder="1" applyAlignment="1">
      <alignment horizontal="left" vertical="top" wrapText="1"/>
    </xf>
    <xf numFmtId="164" fontId="0" fillId="0" borderId="0" xfId="0" applyNumberFormat="1" applyAlignment="1">
      <alignment horizontal="left" vertical="top" wrapText="1"/>
    </xf>
    <xf numFmtId="164"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67" xfId="0" applyBorder="1" applyAlignment="1">
      <alignment vertical="top" wrapText="1"/>
    </xf>
    <xf numFmtId="0" fontId="0" fillId="0" borderId="0" xfId="0" applyAlignment="1">
      <alignment vertical="top"/>
    </xf>
    <xf numFmtId="0" fontId="10" fillId="0" borderId="6" xfId="0" applyFont="1" applyBorder="1" applyAlignment="1">
      <alignment vertical="top" wrapText="1"/>
    </xf>
    <xf numFmtId="0" fontId="10" fillId="0" borderId="68" xfId="0" applyFont="1" applyBorder="1" applyAlignment="1">
      <alignment vertical="top" wrapText="1"/>
    </xf>
    <xf numFmtId="169" fontId="0" fillId="0" borderId="6" xfId="0" applyNumberFormat="1" applyBorder="1" applyAlignment="1">
      <alignment vertical="top" wrapText="1"/>
    </xf>
    <xf numFmtId="2" fontId="0" fillId="0" borderId="68" xfId="0" applyNumberFormat="1" applyBorder="1"/>
    <xf numFmtId="169" fontId="0" fillId="0" borderId="74" xfId="0" applyNumberFormat="1" applyBorder="1"/>
    <xf numFmtId="169" fontId="0" fillId="0" borderId="6" xfId="3" applyNumberFormat="1" applyFont="1" applyFill="1" applyBorder="1" applyAlignment="1">
      <alignment vertical="top" wrapText="1"/>
    </xf>
    <xf numFmtId="170" fontId="0" fillId="0" borderId="6" xfId="0" applyNumberFormat="1" applyBorder="1" applyAlignment="1">
      <alignment vertical="top" wrapText="1"/>
    </xf>
    <xf numFmtId="167" fontId="0" fillId="0" borderId="68" xfId="0" applyNumberFormat="1" applyBorder="1" applyAlignment="1">
      <alignment horizontal="left" vertical="top"/>
    </xf>
    <xf numFmtId="166" fontId="0" fillId="0" borderId="6" xfId="0" applyNumberFormat="1" applyBorder="1" applyAlignment="1">
      <alignment vertical="top" wrapText="1"/>
    </xf>
    <xf numFmtId="0" fontId="0" fillId="0" borderId="0" xfId="0" quotePrefix="1"/>
    <xf numFmtId="170" fontId="0" fillId="0" borderId="0" xfId="3" applyNumberFormat="1" applyFont="1" applyFill="1"/>
    <xf numFmtId="171" fontId="0" fillId="0" borderId="6" xfId="0" applyNumberFormat="1" applyBorder="1" applyAlignment="1">
      <alignment vertical="top" wrapText="1"/>
    </xf>
    <xf numFmtId="170" fontId="0" fillId="0" borderId="0" xfId="0" applyNumberFormat="1"/>
    <xf numFmtId="172" fontId="0" fillId="0" borderId="6" xfId="0" applyNumberFormat="1" applyBorder="1" applyAlignment="1">
      <alignment vertical="top" wrapText="1"/>
    </xf>
    <xf numFmtId="0" fontId="0" fillId="0" borderId="0" xfId="0" applyAlignment="1">
      <alignment horizontal="center"/>
    </xf>
    <xf numFmtId="0" fontId="10" fillId="0" borderId="53" xfId="0" applyFont="1" applyBorder="1" applyAlignment="1">
      <alignment horizontal="center" wrapText="1"/>
    </xf>
    <xf numFmtId="0" fontId="0" fillId="0" borderId="53" xfId="0" applyBorder="1" applyAlignment="1">
      <alignment horizontal="center"/>
    </xf>
    <xf numFmtId="174" fontId="0" fillId="0" borderId="53" xfId="0" applyNumberFormat="1" applyBorder="1"/>
    <xf numFmtId="3" fontId="27" fillId="10" borderId="0" xfId="0" applyNumberFormat="1" applyFont="1" applyFill="1" applyProtection="1">
      <protection locked="0"/>
    </xf>
    <xf numFmtId="9" fontId="0" fillId="0" borderId="0" xfId="1" applyFont="1" applyBorder="1"/>
    <xf numFmtId="9" fontId="0" fillId="0" borderId="0" xfId="1" applyFont="1"/>
    <xf numFmtId="0" fontId="0" fillId="0" borderId="60" xfId="0" applyBorder="1"/>
    <xf numFmtId="9" fontId="0" fillId="0" borderId="17" xfId="1" applyFont="1" applyBorder="1"/>
    <xf numFmtId="9" fontId="0" fillId="0" borderId="75" xfId="1" applyFont="1" applyBorder="1"/>
    <xf numFmtId="0" fontId="0" fillId="0" borderId="18" xfId="0" applyBorder="1"/>
    <xf numFmtId="0" fontId="0" fillId="0" borderId="17" xfId="0" applyBorder="1"/>
    <xf numFmtId="0" fontId="0" fillId="0" borderId="61" xfId="0" applyBorder="1"/>
    <xf numFmtId="9" fontId="0" fillId="0" borderId="76" xfId="1" applyFont="1" applyBorder="1"/>
    <xf numFmtId="3" fontId="0" fillId="0" borderId="17" xfId="1" applyNumberFormat="1" applyFont="1" applyBorder="1"/>
    <xf numFmtId="0" fontId="0" fillId="0" borderId="77" xfId="0" applyBorder="1"/>
    <xf numFmtId="0" fontId="0" fillId="0" borderId="10" xfId="0" applyBorder="1" applyAlignment="1">
      <alignment horizontal="left"/>
    </xf>
    <xf numFmtId="0" fontId="0" fillId="0" borderId="10" xfId="0" applyBorder="1"/>
    <xf numFmtId="165" fontId="0" fillId="0" borderId="10" xfId="2" applyNumberFormat="1" applyFont="1" applyBorder="1"/>
    <xf numFmtId="9" fontId="0" fillId="0" borderId="10" xfId="1" applyFont="1" applyBorder="1"/>
    <xf numFmtId="0" fontId="0" fillId="0" borderId="11" xfId="0" applyBorder="1"/>
    <xf numFmtId="165" fontId="0" fillId="0" borderId="0" xfId="2" applyNumberFormat="1" applyFont="1" applyBorder="1"/>
    <xf numFmtId="0" fontId="0" fillId="0" borderId="26" xfId="0" applyBorder="1"/>
    <xf numFmtId="165" fontId="0" fillId="0" borderId="26" xfId="2" applyNumberFormat="1" applyFont="1" applyBorder="1"/>
    <xf numFmtId="9" fontId="0" fillId="0" borderId="26" xfId="1" applyFont="1" applyBorder="1"/>
    <xf numFmtId="0" fontId="0" fillId="0" borderId="27" xfId="0" applyBorder="1"/>
    <xf numFmtId="2" fontId="0" fillId="0" borderId="10" xfId="0" applyNumberFormat="1" applyBorder="1"/>
    <xf numFmtId="2" fontId="0" fillId="0" borderId="26" xfId="0" applyNumberFormat="1" applyBorder="1"/>
    <xf numFmtId="169" fontId="0" fillId="0" borderId="68" xfId="0" applyNumberFormat="1" applyBorder="1" applyAlignment="1">
      <alignment vertical="top" wrapText="1"/>
    </xf>
    <xf numFmtId="0" fontId="0" fillId="0" borderId="76" xfId="0" applyBorder="1"/>
    <xf numFmtId="0" fontId="0" fillId="0" borderId="75" xfId="0" applyBorder="1"/>
    <xf numFmtId="165" fontId="0" fillId="0" borderId="0" xfId="2" applyNumberFormat="1" applyFont="1" applyFill="1" applyBorder="1"/>
    <xf numFmtId="165" fontId="0" fillId="0" borderId="0" xfId="0" applyNumberFormat="1"/>
    <xf numFmtId="0" fontId="10" fillId="0" borderId="28" xfId="0" applyFont="1" applyBorder="1" applyAlignment="1">
      <alignment horizontal="left"/>
    </xf>
    <xf numFmtId="0" fontId="10" fillId="0" borderId="50" xfId="0" applyFont="1" applyBorder="1" applyAlignment="1">
      <alignment horizontal="left"/>
    </xf>
    <xf numFmtId="0" fontId="0" fillId="0" borderId="0" xfId="0" applyAlignment="1">
      <alignment horizontal="left"/>
    </xf>
    <xf numFmtId="0" fontId="0" fillId="0" borderId="26" xfId="0" applyBorder="1" applyAlignment="1">
      <alignment horizontal="left"/>
    </xf>
    <xf numFmtId="0" fontId="10" fillId="0" borderId="51" xfId="0" applyFont="1" applyBorder="1" applyAlignment="1">
      <alignment horizontal="left"/>
    </xf>
    <xf numFmtId="0" fontId="21" fillId="0" borderId="17" xfId="0" applyFont="1" applyBorder="1" applyAlignment="1">
      <alignment horizontal="right" vertical="top" wrapText="1"/>
    </xf>
    <xf numFmtId="0" fontId="19" fillId="0" borderId="0" xfId="0" applyFont="1"/>
    <xf numFmtId="9" fontId="19" fillId="11" borderId="53" xfId="1" applyFont="1" applyFill="1" applyBorder="1"/>
    <xf numFmtId="0" fontId="10" fillId="11" borderId="53" xfId="0" applyFont="1" applyFill="1" applyBorder="1"/>
    <xf numFmtId="0" fontId="0" fillId="11" borderId="53" xfId="0" applyFill="1" applyBorder="1"/>
    <xf numFmtId="9" fontId="0" fillId="0" borderId="68" xfId="1" applyFont="1" applyBorder="1"/>
    <xf numFmtId="9" fontId="0" fillId="0" borderId="68" xfId="1" applyFont="1" applyFill="1" applyBorder="1"/>
    <xf numFmtId="9" fontId="30" fillId="0" borderId="68" xfId="1" applyFont="1" applyBorder="1"/>
    <xf numFmtId="0" fontId="0" fillId="0" borderId="5" xfId="0" applyBorder="1"/>
    <xf numFmtId="9" fontId="30" fillId="0" borderId="5" xfId="0" applyNumberFormat="1" applyFont="1" applyBorder="1"/>
    <xf numFmtId="9" fontId="0" fillId="0" borderId="5" xfId="1" applyFont="1" applyBorder="1"/>
    <xf numFmtId="9" fontId="0" fillId="0" borderId="5" xfId="1" applyFont="1" applyFill="1" applyBorder="1"/>
    <xf numFmtId="9" fontId="0" fillId="0" borderId="5" xfId="0" applyNumberFormat="1" applyBorder="1"/>
    <xf numFmtId="9" fontId="0" fillId="0" borderId="68" xfId="0" applyNumberFormat="1" applyBorder="1"/>
    <xf numFmtId="9" fontId="30" fillId="0" borderId="5" xfId="1" applyFont="1" applyBorder="1"/>
    <xf numFmtId="9" fontId="30" fillId="0" borderId="68" xfId="0" applyNumberFormat="1" applyFont="1" applyBorder="1"/>
    <xf numFmtId="9" fontId="0" fillId="0" borderId="65" xfId="1" applyFont="1" applyBorder="1"/>
    <xf numFmtId="9" fontId="0" fillId="0" borderId="65" xfId="0" applyNumberFormat="1" applyBorder="1"/>
    <xf numFmtId="9" fontId="0" fillId="0" borderId="0" xfId="0" applyNumberFormat="1"/>
    <xf numFmtId="0" fontId="19" fillId="11" borderId="53" xfId="0" applyFont="1" applyFill="1" applyBorder="1"/>
    <xf numFmtId="0" fontId="0" fillId="11" borderId="68" xfId="0" applyFill="1" applyBorder="1"/>
    <xf numFmtId="9" fontId="0" fillId="0" borderId="62" xfId="1" applyFont="1" applyBorder="1"/>
    <xf numFmtId="9" fontId="8" fillId="0" borderId="68" xfId="1" applyFont="1" applyBorder="1"/>
    <xf numFmtId="0" fontId="10" fillId="11" borderId="53" xfId="0" applyFont="1" applyFill="1" applyBorder="1" applyAlignment="1">
      <alignment wrapText="1"/>
    </xf>
    <xf numFmtId="9" fontId="0" fillId="0" borderId="53" xfId="1" applyFont="1" applyFill="1" applyBorder="1" applyAlignment="1">
      <alignment horizontal="center"/>
    </xf>
    <xf numFmtId="9" fontId="0" fillId="0" borderId="53" xfId="1" applyFont="1" applyFill="1" applyBorder="1"/>
    <xf numFmtId="9" fontId="0" fillId="0" borderId="53" xfId="1" applyFont="1" applyBorder="1" applyAlignment="1">
      <alignment horizontal="center"/>
    </xf>
    <xf numFmtId="0" fontId="0" fillId="0" borderId="0" xfId="0" applyAlignment="1">
      <alignment horizontal="center" vertical="center" textRotation="90" wrapText="1"/>
    </xf>
    <xf numFmtId="9" fontId="0" fillId="0" borderId="0" xfId="1" applyFont="1" applyBorder="1" applyAlignment="1">
      <alignment horizontal="center"/>
    </xf>
    <xf numFmtId="0" fontId="0" fillId="0" borderId="78" xfId="0" applyBorder="1"/>
    <xf numFmtId="0" fontId="0" fillId="0" borderId="57" xfId="0" applyBorder="1"/>
    <xf numFmtId="170" fontId="0" fillId="0" borderId="62" xfId="0" applyNumberFormat="1" applyBorder="1"/>
    <xf numFmtId="0" fontId="0" fillId="0" borderId="62" xfId="0" applyBorder="1" applyAlignment="1">
      <alignment wrapText="1"/>
    </xf>
    <xf numFmtId="0" fontId="0" fillId="0" borderId="4" xfId="0" applyBorder="1" applyAlignment="1">
      <alignment horizontal="left" vertical="top"/>
    </xf>
    <xf numFmtId="0" fontId="0" fillId="0" borderId="1" xfId="0" applyBorder="1"/>
    <xf numFmtId="171" fontId="0" fillId="0" borderId="0" xfId="0" applyNumberFormat="1"/>
    <xf numFmtId="0" fontId="10" fillId="0" borderId="69" xfId="0" applyFont="1" applyBorder="1" applyAlignment="1">
      <alignment vertical="top" wrapText="1"/>
    </xf>
    <xf numFmtId="0" fontId="10" fillId="0" borderId="70" xfId="0" applyFont="1" applyBorder="1" applyAlignment="1">
      <alignment vertical="top" wrapText="1"/>
    </xf>
    <xf numFmtId="0" fontId="10" fillId="0" borderId="71" xfId="0" applyFont="1" applyBorder="1" applyAlignment="1">
      <alignment vertical="top" wrapText="1"/>
    </xf>
    <xf numFmtId="0" fontId="10" fillId="0" borderId="54" xfId="0" applyFont="1" applyBorder="1"/>
    <xf numFmtId="0" fontId="0" fillId="0" borderId="73" xfId="0" applyBorder="1" applyAlignment="1">
      <alignment vertical="top" wrapText="1"/>
    </xf>
    <xf numFmtId="169" fontId="0" fillId="0" borderId="56" xfId="0" applyNumberFormat="1" applyBorder="1" applyAlignment="1">
      <alignment vertical="top" wrapText="1"/>
    </xf>
    <xf numFmtId="173" fontId="0" fillId="0" borderId="68" xfId="0" applyNumberFormat="1" applyBorder="1"/>
    <xf numFmtId="0" fontId="0" fillId="0" borderId="7" xfId="0" applyBorder="1"/>
    <xf numFmtId="0" fontId="0" fillId="0" borderId="7" xfId="0" applyBorder="1" applyAlignment="1">
      <alignment wrapText="1"/>
    </xf>
    <xf numFmtId="0" fontId="0" fillId="0" borderId="7" xfId="0" applyBorder="1" applyAlignment="1">
      <alignment horizontal="left" vertical="top"/>
    </xf>
    <xf numFmtId="169" fontId="0" fillId="0" borderId="68" xfId="3" applyNumberFormat="1" applyFont="1" applyBorder="1" applyAlignment="1">
      <alignment vertical="top" wrapText="1"/>
    </xf>
    <xf numFmtId="43" fontId="0" fillId="0" borderId="0" xfId="3" applyFont="1" applyFill="1" applyBorder="1" applyAlignment="1">
      <alignment horizontal="right" vertical="top" wrapText="1"/>
    </xf>
    <xf numFmtId="168" fontId="0" fillId="0" borderId="0" xfId="0" applyNumberFormat="1" applyAlignment="1">
      <alignment horizontal="right" vertical="top" wrapText="1"/>
    </xf>
    <xf numFmtId="168" fontId="0" fillId="0" borderId="0" xfId="3" applyNumberFormat="1" applyFont="1" applyFill="1" applyBorder="1" applyAlignment="1">
      <alignment vertical="top" wrapText="1"/>
    </xf>
    <xf numFmtId="169" fontId="0" fillId="0" borderId="0" xfId="3" applyNumberFormat="1" applyFont="1" applyFill="1" applyBorder="1" applyAlignment="1">
      <alignment horizontal="right" vertical="top" wrapText="1"/>
    </xf>
    <xf numFmtId="170" fontId="0" fillId="0" borderId="0" xfId="3" applyNumberFormat="1" applyFont="1" applyFill="1" applyBorder="1" applyAlignment="1">
      <alignment vertical="top" wrapText="1"/>
    </xf>
    <xf numFmtId="43" fontId="0" fillId="0" borderId="0" xfId="3" applyFont="1" applyFill="1" applyBorder="1" applyAlignment="1">
      <alignment vertical="top" wrapText="1"/>
    </xf>
    <xf numFmtId="169" fontId="0" fillId="0" borderId="68" xfId="3" applyNumberFormat="1" applyFont="1" applyFill="1" applyBorder="1" applyAlignment="1">
      <alignment vertical="top" wrapText="1"/>
    </xf>
    <xf numFmtId="169" fontId="0" fillId="0" borderId="65" xfId="3" applyNumberFormat="1" applyFont="1" applyFill="1" applyBorder="1" applyAlignment="1">
      <alignment vertical="top" wrapText="1"/>
    </xf>
    <xf numFmtId="169" fontId="0" fillId="0" borderId="65" xfId="3" applyNumberFormat="1" applyFont="1" applyBorder="1" applyAlignment="1">
      <alignment vertical="top" wrapText="1"/>
    </xf>
    <xf numFmtId="169" fontId="0" fillId="0" borderId="62" xfId="0" applyNumberFormat="1" applyBorder="1" applyAlignment="1">
      <alignment vertical="top" wrapText="1"/>
    </xf>
    <xf numFmtId="169" fontId="0" fillId="0" borderId="0" xfId="0" applyNumberFormat="1" applyAlignment="1">
      <alignment vertical="top" wrapText="1"/>
    </xf>
    <xf numFmtId="169" fontId="10" fillId="9" borderId="53" xfId="0" applyNumberFormat="1" applyFont="1" applyFill="1" applyBorder="1" applyAlignment="1">
      <alignment vertical="top" wrapText="1"/>
    </xf>
    <xf numFmtId="164" fontId="0" fillId="0" borderId="0" xfId="0" applyNumberFormat="1" applyAlignment="1">
      <alignment vertical="top" wrapText="1"/>
    </xf>
    <xf numFmtId="168" fontId="0" fillId="0" borderId="68" xfId="0" applyNumberFormat="1" applyBorder="1" applyAlignment="1">
      <alignment vertical="top" wrapText="1"/>
    </xf>
    <xf numFmtId="43" fontId="0" fillId="0" borderId="0" xfId="0" applyNumberFormat="1" applyAlignment="1">
      <alignment vertical="top" wrapText="1"/>
    </xf>
    <xf numFmtId="169" fontId="0" fillId="0" borderId="68" xfId="0" applyNumberFormat="1" applyBorder="1" applyAlignment="1">
      <alignment horizontal="right" vertical="top" wrapText="1"/>
    </xf>
    <xf numFmtId="169" fontId="0" fillId="0" borderId="65" xfId="0" applyNumberFormat="1" applyBorder="1" applyAlignment="1">
      <alignment vertical="top" wrapText="1"/>
    </xf>
    <xf numFmtId="169" fontId="0" fillId="0" borderId="0" xfId="0" applyNumberFormat="1" applyAlignment="1">
      <alignment horizontal="right" vertical="top" wrapText="1"/>
    </xf>
    <xf numFmtId="169" fontId="0" fillId="0" borderId="1" xfId="0" applyNumberFormat="1" applyBorder="1" applyAlignment="1">
      <alignment vertical="top" wrapText="1"/>
    </xf>
    <xf numFmtId="169" fontId="0" fillId="0" borderId="65" xfId="0" applyNumberFormat="1" applyBorder="1" applyAlignment="1">
      <alignment horizontal="right" vertical="top" wrapText="1"/>
    </xf>
    <xf numFmtId="0" fontId="0" fillId="0" borderId="0" xfId="0" applyAlignment="1">
      <alignment horizontal="right"/>
    </xf>
    <xf numFmtId="169" fontId="0" fillId="0" borderId="0" xfId="3" applyNumberFormat="1" applyFont="1" applyBorder="1" applyAlignment="1">
      <alignment vertical="top" wrapText="1"/>
    </xf>
    <xf numFmtId="20" fontId="0" fillId="0" borderId="0" xfId="0" quotePrefix="1" applyNumberFormat="1"/>
    <xf numFmtId="168" fontId="0" fillId="0" borderId="68" xfId="3" applyNumberFormat="1" applyFont="1" applyBorder="1" applyAlignment="1">
      <alignment vertical="top" wrapText="1"/>
    </xf>
    <xf numFmtId="169" fontId="0" fillId="0" borderId="0" xfId="3" applyNumberFormat="1" applyFont="1" applyFill="1" applyBorder="1" applyAlignment="1">
      <alignment vertical="top" wrapText="1"/>
    </xf>
    <xf numFmtId="169" fontId="10" fillId="7" borderId="53" xfId="0" applyNumberFormat="1" applyFont="1" applyFill="1" applyBorder="1" applyAlignment="1">
      <alignment vertical="top" wrapText="1"/>
    </xf>
    <xf numFmtId="169" fontId="0" fillId="0" borderId="62" xfId="3" applyNumberFormat="1" applyFont="1" applyFill="1" applyBorder="1" applyAlignment="1">
      <alignment vertical="top" wrapText="1"/>
    </xf>
    <xf numFmtId="168" fontId="0" fillId="0" borderId="62" xfId="0" applyNumberFormat="1" applyBorder="1" applyAlignment="1">
      <alignment vertical="top" wrapText="1"/>
    </xf>
    <xf numFmtId="3" fontId="0" fillId="0" borderId="62" xfId="0" applyNumberFormat="1" applyBorder="1" applyAlignment="1">
      <alignment vertical="top" wrapText="1"/>
    </xf>
    <xf numFmtId="3" fontId="0" fillId="0" borderId="68" xfId="3" applyNumberFormat="1" applyFont="1" applyBorder="1" applyAlignment="1">
      <alignment vertical="top" wrapText="1"/>
    </xf>
    <xf numFmtId="169" fontId="32" fillId="13" borderId="53" xfId="0" applyNumberFormat="1" applyFont="1" applyFill="1" applyBorder="1" applyAlignment="1">
      <alignment vertical="top" wrapText="1"/>
    </xf>
    <xf numFmtId="0" fontId="32" fillId="13" borderId="53" xfId="0" applyFont="1" applyFill="1" applyBorder="1" applyAlignment="1">
      <alignment horizontal="left" vertical="top" wrapText="1"/>
    </xf>
    <xf numFmtId="0" fontId="29" fillId="0" borderId="62" xfId="0" applyFont="1" applyBorder="1" applyAlignment="1">
      <alignment vertical="top" wrapText="1"/>
    </xf>
    <xf numFmtId="3" fontId="29" fillId="0" borderId="62" xfId="0" applyNumberFormat="1" applyFont="1" applyBorder="1" applyAlignment="1">
      <alignment vertical="top" wrapText="1"/>
    </xf>
    <xf numFmtId="0" fontId="29" fillId="0" borderId="68" xfId="0" applyFont="1" applyBorder="1" applyAlignment="1">
      <alignment vertical="top" wrapText="1"/>
    </xf>
    <xf numFmtId="3" fontId="29" fillId="0" borderId="68" xfId="3" applyNumberFormat="1" applyFont="1" applyBorder="1" applyAlignment="1">
      <alignment vertical="top" wrapText="1"/>
    </xf>
    <xf numFmtId="0" fontId="29" fillId="0" borderId="65" xfId="0" applyFont="1" applyBorder="1" applyAlignment="1">
      <alignment vertical="top" wrapText="1"/>
    </xf>
    <xf numFmtId="44" fontId="0" fillId="0" borderId="0" xfId="2" applyFont="1" applyBorder="1"/>
    <xf numFmtId="44" fontId="0" fillId="0" borderId="17" xfId="2" applyFont="1" applyBorder="1"/>
    <xf numFmtId="43" fontId="0" fillId="0" borderId="62" xfId="0" applyNumberFormat="1" applyBorder="1" applyAlignment="1">
      <alignment vertical="top" wrapText="1"/>
    </xf>
    <xf numFmtId="44" fontId="0" fillId="0" borderId="0" xfId="0" applyNumberFormat="1"/>
    <xf numFmtId="0" fontId="10" fillId="0" borderId="52" xfId="0" applyFont="1" applyBorder="1"/>
    <xf numFmtId="4" fontId="2" fillId="2" borderId="0" xfId="0" applyNumberFormat="1" applyFont="1" applyFill="1" applyProtection="1">
      <protection locked="0"/>
    </xf>
    <xf numFmtId="0" fontId="10" fillId="0" borderId="50" xfId="0" applyFont="1" applyBorder="1" applyAlignment="1">
      <alignment horizontal="left" wrapText="1"/>
    </xf>
    <xf numFmtId="0" fontId="10" fillId="0" borderId="51" xfId="0" applyFont="1" applyBorder="1" applyAlignment="1">
      <alignment horizontal="left" wrapText="1"/>
    </xf>
    <xf numFmtId="166" fontId="0" fillId="0" borderId="10" xfId="0" applyNumberFormat="1" applyBorder="1"/>
    <xf numFmtId="166" fontId="0" fillId="0" borderId="0" xfId="0" applyNumberFormat="1"/>
    <xf numFmtId="166" fontId="0" fillId="0" borderId="26" xfId="0" applyNumberFormat="1" applyBorder="1"/>
    <xf numFmtId="44" fontId="6" fillId="2" borderId="0" xfId="2" applyFont="1" applyFill="1" applyBorder="1" applyAlignment="1" applyProtection="1">
      <alignment horizontal="left"/>
      <protection locked="0"/>
    </xf>
    <xf numFmtId="0" fontId="10" fillId="0" borderId="4" xfId="0" applyFont="1" applyBorder="1" applyAlignment="1">
      <alignment vertical="top" wrapText="1"/>
    </xf>
    <xf numFmtId="169" fontId="0" fillId="0" borderId="8" xfId="0" applyNumberFormat="1" applyBorder="1" applyAlignment="1">
      <alignment vertical="top" wrapText="1"/>
    </xf>
    <xf numFmtId="170" fontId="0" fillId="0" borderId="68" xfId="3" applyNumberFormat="1" applyFont="1" applyFill="1" applyBorder="1" applyAlignment="1">
      <alignment vertical="top" wrapText="1"/>
    </xf>
    <xf numFmtId="0" fontId="0" fillId="0" borderId="6" xfId="0" applyBorder="1" applyAlignment="1">
      <alignment vertical="top"/>
    </xf>
    <xf numFmtId="20" fontId="0" fillId="0" borderId="53" xfId="0" quotePrefix="1" applyNumberFormat="1" applyBorder="1"/>
    <xf numFmtId="170" fontId="0" fillId="0" borderId="54" xfId="0" applyNumberFormat="1" applyBorder="1"/>
    <xf numFmtId="2" fontId="0" fillId="0" borderId="56" xfId="0" applyNumberFormat="1" applyBorder="1"/>
    <xf numFmtId="169" fontId="0" fillId="0" borderId="57" xfId="3" applyNumberFormat="1" applyFont="1" applyFill="1" applyBorder="1"/>
    <xf numFmtId="0" fontId="0" fillId="0" borderId="52" xfId="0" applyBorder="1" applyAlignment="1">
      <alignment wrapText="1"/>
    </xf>
    <xf numFmtId="169" fontId="0" fillId="0" borderId="53" xfId="3" applyNumberFormat="1" applyFont="1" applyFill="1" applyBorder="1"/>
    <xf numFmtId="164" fontId="0" fillId="0" borderId="53" xfId="0" applyNumberFormat="1" applyBorder="1"/>
    <xf numFmtId="164" fontId="0" fillId="0" borderId="56" xfId="0" applyNumberFormat="1" applyBorder="1"/>
    <xf numFmtId="0" fontId="0" fillId="0" borderId="62" xfId="0" applyBorder="1" applyAlignment="1">
      <alignment horizontal="left" vertical="top"/>
    </xf>
    <xf numFmtId="169" fontId="0" fillId="0" borderId="65" xfId="3" applyNumberFormat="1" applyFont="1" applyFill="1" applyBorder="1"/>
    <xf numFmtId="0" fontId="0" fillId="0" borderId="68" xfId="0" applyBorder="1" applyAlignment="1">
      <alignment horizontal="left" wrapText="1"/>
    </xf>
    <xf numFmtId="168" fontId="0" fillId="0" borderId="68" xfId="0" applyNumberFormat="1" applyBorder="1"/>
    <xf numFmtId="0" fontId="10" fillId="0" borderId="55" xfId="0" applyFont="1" applyBorder="1" applyAlignment="1">
      <alignment vertical="top" wrapText="1"/>
    </xf>
    <xf numFmtId="0" fontId="10" fillId="0" borderId="9" xfId="0" applyFont="1" applyBorder="1"/>
    <xf numFmtId="0" fontId="0" fillId="0" borderId="71" xfId="0" applyBorder="1"/>
    <xf numFmtId="9" fontId="0" fillId="0" borderId="54" xfId="1" applyFont="1" applyFill="1" applyBorder="1"/>
    <xf numFmtId="9" fontId="0" fillId="0" borderId="57" xfId="1" applyFont="1" applyFill="1" applyBorder="1"/>
    <xf numFmtId="9" fontId="0" fillId="0" borderId="6" xfId="1" applyFont="1" applyFill="1" applyBorder="1" applyAlignment="1">
      <alignment horizontal="left" vertical="top"/>
    </xf>
    <xf numFmtId="171" fontId="0" fillId="0" borderId="6" xfId="0" applyNumberFormat="1" applyBorder="1"/>
    <xf numFmtId="0" fontId="10" fillId="0" borderId="17" xfId="0" applyFont="1" applyBorder="1"/>
    <xf numFmtId="0" fontId="0" fillId="12" borderId="53" xfId="0" applyFill="1" applyBorder="1" applyAlignment="1">
      <alignment horizontal="center"/>
    </xf>
    <xf numFmtId="0" fontId="0" fillId="12" borderId="53" xfId="1" applyNumberFormat="1" applyFont="1" applyFill="1" applyBorder="1" applyAlignment="1">
      <alignment horizontal="center"/>
    </xf>
    <xf numFmtId="180" fontId="0" fillId="0" borderId="0" xfId="3" applyNumberFormat="1" applyFont="1" applyFill="1" applyBorder="1" applyAlignment="1">
      <alignment horizontal="center" vertical="center"/>
    </xf>
    <xf numFmtId="179" fontId="0" fillId="0" borderId="17" xfId="3" applyNumberFormat="1" applyFont="1" applyBorder="1" applyAlignment="1">
      <alignment horizontal="center" vertical="center"/>
    </xf>
    <xf numFmtId="179" fontId="0" fillId="0" borderId="27" xfId="3" applyNumberFormat="1" applyFont="1" applyBorder="1" applyAlignment="1">
      <alignment horizontal="center" vertical="center"/>
    </xf>
    <xf numFmtId="180" fontId="0" fillId="0" borderId="0" xfId="3" applyNumberFormat="1" applyFont="1" applyBorder="1" applyAlignment="1">
      <alignment horizontal="center" vertical="center"/>
    </xf>
    <xf numFmtId="180" fontId="0" fillId="0" borderId="17" xfId="3" applyNumberFormat="1" applyFont="1" applyBorder="1" applyAlignment="1">
      <alignment horizontal="center" vertical="center"/>
    </xf>
    <xf numFmtId="1" fontId="0" fillId="12" borderId="53" xfId="0" applyNumberFormat="1" applyFill="1" applyBorder="1" applyAlignment="1">
      <alignment horizontal="center"/>
    </xf>
    <xf numFmtId="180" fontId="0" fillId="0" borderId="0" xfId="3" applyNumberFormat="1" applyFont="1" applyFill="1" applyBorder="1"/>
    <xf numFmtId="180" fontId="0" fillId="0" borderId="0" xfId="3" applyNumberFormat="1" applyFont="1" applyBorder="1"/>
    <xf numFmtId="180" fontId="0" fillId="0" borderId="17" xfId="3" applyNumberFormat="1" applyFont="1" applyBorder="1"/>
    <xf numFmtId="0" fontId="0" fillId="0" borderId="77" xfId="0" applyBorder="1" applyAlignment="1">
      <alignment vertical="top" wrapText="1"/>
    </xf>
    <xf numFmtId="180" fontId="0" fillId="0" borderId="26" xfId="3" applyNumberFormat="1" applyFont="1" applyBorder="1"/>
    <xf numFmtId="180" fontId="0" fillId="0" borderId="27" xfId="3" applyNumberFormat="1" applyFont="1" applyBorder="1"/>
    <xf numFmtId="180" fontId="0" fillId="0" borderId="6" xfId="3" applyNumberFormat="1" applyFont="1" applyBorder="1"/>
    <xf numFmtId="180" fontId="0" fillId="0" borderId="6" xfId="3" applyNumberFormat="1" applyFont="1" applyFill="1" applyBorder="1" applyAlignment="1">
      <alignment horizontal="center" vertical="center"/>
    </xf>
    <xf numFmtId="180" fontId="0" fillId="0" borderId="6" xfId="3" applyNumberFormat="1" applyFont="1" applyFill="1" applyBorder="1"/>
    <xf numFmtId="180" fontId="0" fillId="0" borderId="86" xfId="3" applyNumberFormat="1" applyFont="1" applyFill="1" applyBorder="1"/>
    <xf numFmtId="180" fontId="0" fillId="0" borderId="86" xfId="3" applyNumberFormat="1" applyFont="1" applyBorder="1"/>
    <xf numFmtId="44" fontId="0" fillId="0" borderId="5" xfId="2" applyFont="1" applyBorder="1"/>
    <xf numFmtId="44" fontId="0" fillId="0" borderId="6" xfId="2" applyFont="1" applyBorder="1"/>
    <xf numFmtId="0" fontId="0" fillId="0" borderId="87" xfId="0" applyBorder="1"/>
    <xf numFmtId="3" fontId="0" fillId="0" borderId="6" xfId="2" applyNumberFormat="1" applyFont="1" applyBorder="1"/>
    <xf numFmtId="4" fontId="0" fillId="0" borderId="6" xfId="2" applyNumberFormat="1" applyFont="1" applyBorder="1"/>
    <xf numFmtId="2" fontId="0" fillId="0" borderId="6" xfId="0" applyNumberFormat="1" applyBorder="1"/>
    <xf numFmtId="2" fontId="0" fillId="0" borderId="86" xfId="0" applyNumberFormat="1" applyBorder="1"/>
    <xf numFmtId="0" fontId="0" fillId="0" borderId="88" xfId="0" applyBorder="1"/>
    <xf numFmtId="3" fontId="0" fillId="0" borderId="68" xfId="2" applyNumberFormat="1" applyFont="1" applyBorder="1"/>
    <xf numFmtId="4" fontId="0" fillId="0" borderId="68" xfId="2" applyNumberFormat="1" applyFont="1" applyBorder="1"/>
    <xf numFmtId="4" fontId="0" fillId="0" borderId="81" xfId="2" applyNumberFormat="1" applyFont="1" applyBorder="1"/>
    <xf numFmtId="3" fontId="0" fillId="0" borderId="62" xfId="1" applyNumberFormat="1" applyFont="1" applyBorder="1"/>
    <xf numFmtId="3" fontId="0" fillId="0" borderId="68" xfId="1" applyNumberFormat="1" applyFont="1" applyBorder="1"/>
    <xf numFmtId="3" fontId="0" fillId="0" borderId="65" xfId="1" applyNumberFormat="1" applyFont="1" applyBorder="1"/>
    <xf numFmtId="3" fontId="0" fillId="0" borderId="81" xfId="1" applyNumberFormat="1" applyFont="1" applyBorder="1"/>
    <xf numFmtId="0" fontId="2" fillId="0" borderId="53" xfId="0" applyFont="1" applyBorder="1"/>
    <xf numFmtId="0" fontId="2" fillId="0" borderId="65" xfId="0" applyFont="1" applyBorder="1"/>
    <xf numFmtId="0" fontId="0" fillId="0" borderId="65" xfId="0" applyBorder="1" applyAlignment="1">
      <alignment horizontal="center"/>
    </xf>
    <xf numFmtId="0" fontId="30" fillId="0" borderId="5" xfId="0" applyFont="1" applyBorder="1"/>
    <xf numFmtId="9" fontId="30" fillId="0" borderId="65" xfId="1" applyFont="1" applyBorder="1"/>
    <xf numFmtId="0" fontId="30" fillId="0" borderId="68" xfId="0" applyFont="1" applyBorder="1"/>
    <xf numFmtId="1" fontId="0" fillId="0" borderId="53" xfId="0" applyNumberFormat="1" applyBorder="1" applyAlignment="1">
      <alignment horizontal="right"/>
    </xf>
    <xf numFmtId="0" fontId="0" fillId="0" borderId="7" xfId="0" applyBorder="1" applyAlignment="1">
      <alignment horizontal="left" vertical="top" wrapText="1"/>
    </xf>
    <xf numFmtId="169" fontId="0" fillId="0" borderId="53" xfId="3" applyNumberFormat="1" applyFont="1" applyBorder="1"/>
    <xf numFmtId="0" fontId="0" fillId="12" borderId="62" xfId="1" applyNumberFormat="1" applyFont="1" applyFill="1" applyBorder="1" applyAlignment="1">
      <alignment horizontal="center"/>
    </xf>
    <xf numFmtId="0" fontId="0" fillId="0" borderId="3" xfId="1" applyNumberFormat="1" applyFont="1" applyFill="1" applyBorder="1" applyAlignment="1">
      <alignment horizontal="center"/>
    </xf>
    <xf numFmtId="0" fontId="0" fillId="0" borderId="67" xfId="0" applyBorder="1"/>
    <xf numFmtId="0" fontId="0" fillId="0" borderId="92" xfId="0" applyBorder="1"/>
    <xf numFmtId="0" fontId="0" fillId="0" borderId="65" xfId="0" applyBorder="1" applyAlignment="1">
      <alignment horizontal="right"/>
    </xf>
    <xf numFmtId="43" fontId="0" fillId="0" borderId="0" xfId="3" applyFont="1" applyBorder="1"/>
    <xf numFmtId="1" fontId="0" fillId="12" borderId="53" xfId="1" applyNumberFormat="1" applyFont="1" applyFill="1" applyBorder="1" applyAlignment="1">
      <alignment horizontal="center"/>
    </xf>
    <xf numFmtId="1" fontId="0" fillId="0" borderId="53" xfId="0" applyNumberFormat="1" applyBorder="1" applyAlignment="1">
      <alignment horizontal="center"/>
    </xf>
    <xf numFmtId="1" fontId="0" fillId="12" borderId="59" xfId="0" applyNumberFormat="1" applyFill="1" applyBorder="1" applyAlignment="1">
      <alignment horizontal="center"/>
    </xf>
    <xf numFmtId="168" fontId="0" fillId="0" borderId="53" xfId="0" applyNumberFormat="1" applyBorder="1" applyAlignment="1">
      <alignment horizontal="right"/>
    </xf>
    <xf numFmtId="9" fontId="0" fillId="0" borderId="53" xfId="1" applyFont="1" applyBorder="1" applyAlignment="1">
      <alignment horizontal="left" vertical="top" wrapText="1"/>
    </xf>
    <xf numFmtId="0" fontId="10" fillId="0" borderId="53" xfId="0" applyFont="1" applyBorder="1" applyAlignment="1">
      <alignment horizontal="center" vertical="top"/>
    </xf>
    <xf numFmtId="0" fontId="0" fillId="0" borderId="0" xfId="0" applyAlignment="1">
      <alignment horizontal="center" vertical="top" wrapText="1"/>
    </xf>
    <xf numFmtId="0" fontId="10" fillId="0" borderId="53" xfId="0" applyFont="1" applyBorder="1" applyAlignment="1">
      <alignment horizontal="center" vertical="top" wrapText="1"/>
    </xf>
    <xf numFmtId="0" fontId="10" fillId="0" borderId="53" xfId="0" applyFont="1" applyBorder="1" applyAlignment="1">
      <alignment horizontal="left" vertical="top" wrapText="1"/>
    </xf>
    <xf numFmtId="1" fontId="0" fillId="0" borderId="68" xfId="3" applyNumberFormat="1" applyFont="1" applyFill="1" applyBorder="1" applyAlignment="1">
      <alignment horizontal="left" vertical="top"/>
    </xf>
    <xf numFmtId="1" fontId="0" fillId="0" borderId="68" xfId="0" applyNumberFormat="1" applyBorder="1" applyAlignment="1">
      <alignment horizontal="left" vertical="top"/>
    </xf>
    <xf numFmtId="1" fontId="0" fillId="0" borderId="6" xfId="0" applyNumberFormat="1" applyBorder="1" applyAlignment="1">
      <alignment horizontal="left" vertical="top"/>
    </xf>
    <xf numFmtId="169" fontId="0" fillId="0" borderId="6" xfId="3" applyNumberFormat="1" applyFont="1" applyBorder="1" applyAlignment="1">
      <alignment vertical="top"/>
    </xf>
    <xf numFmtId="1" fontId="0" fillId="0" borderId="6" xfId="3" applyNumberFormat="1" applyFont="1" applyFill="1" applyBorder="1" applyAlignment="1">
      <alignment horizontal="left" vertical="top"/>
    </xf>
    <xf numFmtId="0" fontId="0" fillId="0" borderId="68" xfId="0" applyBorder="1" applyAlignment="1">
      <alignment vertical="center"/>
    </xf>
    <xf numFmtId="1" fontId="0" fillId="0" borderId="68" xfId="0" applyNumberFormat="1" applyBorder="1" applyAlignment="1">
      <alignment horizontal="left" vertical="center"/>
    </xf>
    <xf numFmtId="169" fontId="0" fillId="0" borderId="68" xfId="3" applyNumberFormat="1" applyFont="1" applyFill="1" applyBorder="1" applyAlignment="1">
      <alignment vertical="center"/>
    </xf>
    <xf numFmtId="169" fontId="0" fillId="0" borderId="53" xfId="3" applyNumberFormat="1" applyFont="1" applyFill="1" applyBorder="1" applyAlignment="1">
      <alignment vertical="top" wrapText="1"/>
    </xf>
    <xf numFmtId="0" fontId="0" fillId="0" borderId="71" xfId="0" applyBorder="1" applyAlignment="1">
      <alignment vertical="top" wrapText="1"/>
    </xf>
    <xf numFmtId="169" fontId="0" fillId="0" borderId="70" xfId="0" applyNumberFormat="1" applyBorder="1"/>
    <xf numFmtId="0" fontId="0" fillId="0" borderId="67" xfId="0" applyBorder="1" applyAlignment="1">
      <alignment horizontal="left" vertical="top" wrapText="1"/>
    </xf>
    <xf numFmtId="0" fontId="0" fillId="0" borderId="67" xfId="0" applyBorder="1" applyAlignment="1">
      <alignment horizontal="left"/>
    </xf>
    <xf numFmtId="0" fontId="0" fillId="0" borderId="92" xfId="0" applyBorder="1" applyAlignment="1">
      <alignment horizontal="left"/>
    </xf>
    <xf numFmtId="0" fontId="0" fillId="0" borderId="79" xfId="0" applyBorder="1" applyAlignment="1">
      <alignment horizontal="left" vertical="top" wrapText="1"/>
    </xf>
    <xf numFmtId="169" fontId="0" fillId="0" borderId="67" xfId="3" applyNumberFormat="1" applyFont="1" applyBorder="1" applyAlignment="1">
      <alignment horizontal="left"/>
    </xf>
    <xf numFmtId="0" fontId="0" fillId="0" borderId="79" xfId="0" applyBorder="1" applyAlignment="1">
      <alignment horizontal="left"/>
    </xf>
    <xf numFmtId="0" fontId="0" fillId="0" borderId="94" xfId="0" applyBorder="1"/>
    <xf numFmtId="169" fontId="0" fillId="0" borderId="70" xfId="3" applyNumberFormat="1" applyFont="1" applyBorder="1"/>
    <xf numFmtId="0" fontId="0" fillId="0" borderId="56" xfId="0" applyBorder="1" applyAlignment="1">
      <alignment horizontal="left"/>
    </xf>
    <xf numFmtId="0" fontId="10" fillId="0" borderId="69" xfId="0" applyFont="1" applyBorder="1" applyAlignment="1">
      <alignment vertical="center"/>
    </xf>
    <xf numFmtId="0" fontId="10" fillId="0" borderId="79" xfId="0" applyFont="1" applyBorder="1" applyAlignment="1">
      <alignment horizontal="left" vertical="center" wrapText="1"/>
    </xf>
    <xf numFmtId="0" fontId="10" fillId="0" borderId="70" xfId="0" applyFont="1" applyBorder="1" applyAlignment="1">
      <alignment vertical="center" wrapText="1"/>
    </xf>
    <xf numFmtId="0" fontId="10" fillId="0" borderId="71" xfId="0" applyFont="1" applyBorder="1" applyAlignment="1">
      <alignment vertical="center" wrapText="1"/>
    </xf>
    <xf numFmtId="0" fontId="10" fillId="0" borderId="0" xfId="0" applyFont="1" applyAlignment="1">
      <alignment horizontal="center" vertical="top" wrapText="1"/>
    </xf>
    <xf numFmtId="0" fontId="0" fillId="0" borderId="68" xfId="0" applyBorder="1" applyAlignment="1">
      <alignment horizontal="right"/>
    </xf>
    <xf numFmtId="169" fontId="0" fillId="0" borderId="0" xfId="3" applyNumberFormat="1" applyFont="1" applyBorder="1"/>
    <xf numFmtId="0" fontId="10" fillId="0" borderId="0" xfId="0" applyFont="1" applyAlignment="1">
      <alignment horizontal="center"/>
    </xf>
    <xf numFmtId="43" fontId="0" fillId="0" borderId="0" xfId="3" applyFont="1" applyFill="1" applyBorder="1"/>
    <xf numFmtId="0" fontId="0" fillId="0" borderId="53" xfId="0" applyBorder="1" applyAlignment="1">
      <alignment horizontal="right"/>
    </xf>
    <xf numFmtId="179" fontId="0" fillId="0" borderId="17" xfId="3" applyNumberFormat="1" applyFont="1" applyFill="1" applyBorder="1"/>
    <xf numFmtId="179" fontId="0" fillId="0" borderId="17" xfId="3" applyNumberFormat="1" applyFont="1" applyFill="1" applyBorder="1" applyAlignment="1">
      <alignment horizontal="center" vertical="center"/>
    </xf>
    <xf numFmtId="0" fontId="10" fillId="0" borderId="0" xfId="0" applyFont="1" applyAlignment="1">
      <alignment horizontal="right"/>
    </xf>
    <xf numFmtId="0" fontId="10" fillId="0" borderId="6" xfId="0" applyFont="1" applyBorder="1" applyAlignment="1">
      <alignment horizontal="right"/>
    </xf>
    <xf numFmtId="0" fontId="0" fillId="0" borderId="6" xfId="0" applyBorder="1" applyAlignment="1">
      <alignment horizontal="right"/>
    </xf>
    <xf numFmtId="2" fontId="0" fillId="0" borderId="6" xfId="0" applyNumberFormat="1" applyBorder="1" applyAlignment="1">
      <alignment horizontal="right" vertical="top"/>
    </xf>
    <xf numFmtId="0" fontId="0" fillId="0" borderId="8" xfId="0" applyBorder="1" applyAlignment="1">
      <alignment horizontal="right"/>
    </xf>
    <xf numFmtId="166" fontId="0" fillId="0" borderId="6" xfId="0" applyNumberFormat="1" applyBorder="1" applyAlignment="1">
      <alignment horizontal="right" vertical="top"/>
    </xf>
    <xf numFmtId="0" fontId="0" fillId="0" borderId="6" xfId="0" applyBorder="1" applyAlignment="1">
      <alignment horizontal="right" vertical="top"/>
    </xf>
    <xf numFmtId="0" fontId="0" fillId="0" borderId="4" xfId="0" applyBorder="1" applyAlignment="1">
      <alignment horizontal="right"/>
    </xf>
    <xf numFmtId="0" fontId="0" fillId="0" borderId="72" xfId="0" applyBorder="1" applyAlignment="1">
      <alignment horizontal="right"/>
    </xf>
    <xf numFmtId="0" fontId="10" fillId="0" borderId="62" xfId="0" applyFont="1" applyBorder="1" applyAlignment="1">
      <alignment horizontal="right"/>
    </xf>
    <xf numFmtId="2" fontId="0" fillId="0" borderId="68" xfId="0" applyNumberFormat="1" applyBorder="1" applyAlignment="1">
      <alignment horizontal="right" vertical="top"/>
    </xf>
    <xf numFmtId="0" fontId="26" fillId="0" borderId="65" xfId="0" applyFont="1" applyBorder="1" applyAlignment="1">
      <alignment horizontal="right"/>
    </xf>
    <xf numFmtId="0" fontId="0" fillId="0" borderId="68" xfId="0" applyBorder="1" applyAlignment="1">
      <alignment horizontal="right" vertical="top"/>
    </xf>
    <xf numFmtId="0" fontId="0" fillId="0" borderId="68" xfId="0" applyBorder="1" applyAlignment="1">
      <alignment horizontal="right" vertical="center"/>
    </xf>
    <xf numFmtId="0" fontId="0" fillId="0" borderId="7" xfId="0" applyBorder="1" applyAlignment="1">
      <alignment horizontal="right"/>
    </xf>
    <xf numFmtId="0" fontId="0" fillId="0" borderId="62" xfId="0" applyBorder="1" applyAlignment="1">
      <alignment horizontal="right"/>
    </xf>
    <xf numFmtId="169" fontId="0" fillId="0" borderId="68" xfId="0" applyNumberFormat="1" applyBorder="1" applyAlignment="1">
      <alignment horizontal="right"/>
    </xf>
    <xf numFmtId="169" fontId="0" fillId="0" borderId="65" xfId="3" applyNumberFormat="1" applyFont="1" applyFill="1" applyBorder="1" applyAlignment="1">
      <alignment horizontal="right"/>
    </xf>
    <xf numFmtId="166" fontId="0" fillId="0" borderId="68" xfId="0" applyNumberFormat="1" applyBorder="1" applyAlignment="1">
      <alignment horizontal="right" vertical="top"/>
    </xf>
    <xf numFmtId="0" fontId="10" fillId="14" borderId="53" xfId="0" applyFont="1" applyFill="1" applyBorder="1" applyAlignment="1">
      <alignment horizontal="left" vertical="top" wrapText="1"/>
    </xf>
    <xf numFmtId="0" fontId="10" fillId="14" borderId="53" xfId="0" applyFont="1" applyFill="1" applyBorder="1" applyAlignment="1">
      <alignment vertical="top" wrapText="1"/>
    </xf>
    <xf numFmtId="169" fontId="0" fillId="0" borderId="6" xfId="3" applyNumberFormat="1" applyFont="1" applyFill="1" applyBorder="1" applyAlignment="1">
      <alignment horizontal="right"/>
    </xf>
    <xf numFmtId="169" fontId="0" fillId="0" borderId="68" xfId="3" applyNumberFormat="1" applyFont="1" applyFill="1" applyBorder="1" applyAlignment="1">
      <alignment horizontal="right"/>
    </xf>
    <xf numFmtId="169" fontId="0" fillId="0" borderId="53" xfId="0" applyNumberFormat="1" applyBorder="1" applyAlignment="1">
      <alignment horizontal="right"/>
    </xf>
    <xf numFmtId="169" fontId="0" fillId="0" borderId="53" xfId="0" applyNumberFormat="1" applyBorder="1" applyAlignment="1">
      <alignment horizontal="right" vertical="top" wrapText="1"/>
    </xf>
    <xf numFmtId="2" fontId="0" fillId="0" borderId="53" xfId="0" applyNumberFormat="1" applyBorder="1" applyAlignment="1">
      <alignment horizontal="right" vertical="top" wrapText="1"/>
    </xf>
    <xf numFmtId="170" fontId="0" fillId="0" borderId="53" xfId="3" applyNumberFormat="1" applyFont="1" applyFill="1" applyBorder="1" applyAlignment="1">
      <alignment horizontal="right"/>
    </xf>
    <xf numFmtId="9" fontId="0" fillId="0" borderId="53" xfId="0" applyNumberFormat="1" applyBorder="1"/>
    <xf numFmtId="0" fontId="0" fillId="0" borderId="68" xfId="0" applyBorder="1" applyAlignment="1">
      <alignment horizontal="left"/>
    </xf>
    <xf numFmtId="0" fontId="10" fillId="0" borderId="0" xfId="0" applyFont="1" applyAlignment="1">
      <alignment horizontal="left" vertical="top" wrapText="1"/>
    </xf>
    <xf numFmtId="0" fontId="0" fillId="0" borderId="1" xfId="0" applyBorder="1" applyAlignment="1">
      <alignment horizontal="left" vertical="top"/>
    </xf>
    <xf numFmtId="9" fontId="0" fillId="0" borderId="53" xfId="1" applyFont="1" applyFill="1" applyBorder="1" applyAlignment="1">
      <alignment horizontal="center" vertical="top" wrapText="1"/>
    </xf>
    <xf numFmtId="44" fontId="0" fillId="0" borderId="82" xfId="2" applyFont="1" applyBorder="1"/>
    <xf numFmtId="44" fontId="0" fillId="0" borderId="86" xfId="2" applyFont="1" applyBorder="1"/>
    <xf numFmtId="44" fontId="0" fillId="0" borderId="27" xfId="2" applyFont="1" applyBorder="1"/>
    <xf numFmtId="44" fontId="0" fillId="0" borderId="5" xfId="0" applyNumberFormat="1" applyBorder="1"/>
    <xf numFmtId="44" fontId="0" fillId="0" borderId="5" xfId="2" applyFont="1" applyFill="1" applyBorder="1"/>
    <xf numFmtId="44" fontId="0" fillId="0" borderId="6" xfId="2" applyFont="1" applyFill="1" applyBorder="1"/>
    <xf numFmtId="44" fontId="0" fillId="0" borderId="17" xfId="2" applyFont="1" applyFill="1" applyBorder="1"/>
    <xf numFmtId="0" fontId="6" fillId="3" borderId="0" xfId="2" applyNumberFormat="1" applyFont="1" applyFill="1" applyBorder="1" applyAlignment="1" applyProtection="1">
      <alignment horizontal="right"/>
      <protection locked="0"/>
    </xf>
    <xf numFmtId="0" fontId="0" fillId="0" borderId="10" xfId="2" applyNumberFormat="1" applyFont="1" applyBorder="1"/>
    <xf numFmtId="0" fontId="0" fillId="0" borderId="0" xfId="1" applyNumberFormat="1" applyFont="1" applyBorder="1"/>
    <xf numFmtId="0" fontId="0" fillId="0" borderId="10" xfId="1" applyNumberFormat="1" applyFont="1" applyBorder="1"/>
    <xf numFmtId="0" fontId="0" fillId="0" borderId="26" xfId="1" applyNumberFormat="1" applyFont="1" applyBorder="1"/>
    <xf numFmtId="0" fontId="0" fillId="0" borderId="8" xfId="0" applyBorder="1" applyAlignment="1">
      <alignment horizontal="left" wrapText="1"/>
    </xf>
    <xf numFmtId="43" fontId="0" fillId="0" borderId="10" xfId="3" applyFont="1" applyBorder="1"/>
    <xf numFmtId="0" fontId="0" fillId="0" borderId="0" xfId="0" applyAlignment="1">
      <alignment horizontal="center" vertical="center" wrapText="1"/>
    </xf>
    <xf numFmtId="9" fontId="0" fillId="0" borderId="0" xfId="1" applyFont="1" applyFill="1" applyBorder="1"/>
    <xf numFmtId="0" fontId="0" fillId="0" borderId="0" xfId="1" applyNumberFormat="1" applyFont="1" applyFill="1" applyBorder="1"/>
    <xf numFmtId="9" fontId="0" fillId="0" borderId="26" xfId="1" applyFont="1" applyFill="1" applyBorder="1"/>
    <xf numFmtId="0" fontId="0" fillId="0" borderId="26" xfId="1" applyNumberFormat="1" applyFont="1" applyFill="1" applyBorder="1"/>
    <xf numFmtId="43" fontId="0" fillId="0" borderId="26" xfId="3" applyFont="1" applyFill="1" applyBorder="1"/>
    <xf numFmtId="9" fontId="0" fillId="0" borderId="10" xfId="1" applyFont="1" applyFill="1" applyBorder="1"/>
    <xf numFmtId="0" fontId="0" fillId="0" borderId="10" xfId="1" applyNumberFormat="1" applyFont="1" applyFill="1" applyBorder="1"/>
    <xf numFmtId="43" fontId="0" fillId="0" borderId="10" xfId="3" applyFont="1" applyFill="1" applyBorder="1"/>
    <xf numFmtId="43" fontId="0" fillId="0" borderId="26" xfId="3" applyFont="1" applyBorder="1"/>
    <xf numFmtId="0" fontId="0" fillId="0" borderId="74" xfId="0" applyBorder="1"/>
    <xf numFmtId="44" fontId="15" fillId="0" borderId="0" xfId="6" applyNumberFormat="1"/>
    <xf numFmtId="169" fontId="0" fillId="0" borderId="0" xfId="3" applyNumberFormat="1" applyFont="1" applyBorder="1" applyAlignment="1">
      <alignment horizontal="right"/>
    </xf>
    <xf numFmtId="2" fontId="10" fillId="0" borderId="50" xfId="0" applyNumberFormat="1" applyFont="1" applyBorder="1" applyAlignment="1">
      <alignment horizontal="center" vertical="center" wrapText="1"/>
    </xf>
    <xf numFmtId="2" fontId="0" fillId="0" borderId="10" xfId="3" applyNumberFormat="1" applyFont="1" applyBorder="1"/>
    <xf numFmtId="2" fontId="0" fillId="0" borderId="0" xfId="3" applyNumberFormat="1" applyFont="1" applyBorder="1"/>
    <xf numFmtId="2" fontId="0" fillId="0" borderId="26" xfId="3" applyNumberFormat="1" applyFont="1" applyBorder="1"/>
    <xf numFmtId="2" fontId="0" fillId="0" borderId="10" xfId="3" applyNumberFormat="1" applyFont="1" applyFill="1" applyBorder="1"/>
    <xf numFmtId="2" fontId="0" fillId="0" borderId="0" xfId="3" applyNumberFormat="1" applyFont="1" applyFill="1" applyBorder="1"/>
    <xf numFmtId="2" fontId="0" fillId="0" borderId="26" xfId="3" applyNumberFormat="1" applyFont="1" applyFill="1" applyBorder="1"/>
    <xf numFmtId="0" fontId="0" fillId="3" borderId="0" xfId="0" applyFill="1"/>
    <xf numFmtId="0" fontId="0" fillId="3" borderId="0" xfId="0" applyFill="1" applyAlignment="1">
      <alignment horizontal="left"/>
    </xf>
    <xf numFmtId="9" fontId="0" fillId="3" borderId="0" xfId="1" applyFont="1" applyFill="1" applyBorder="1"/>
    <xf numFmtId="0" fontId="0" fillId="3" borderId="0" xfId="1" applyNumberFormat="1" applyFont="1" applyFill="1" applyBorder="1"/>
    <xf numFmtId="43" fontId="0" fillId="3" borderId="0" xfId="3" applyFont="1" applyFill="1" applyBorder="1"/>
    <xf numFmtId="2" fontId="0" fillId="3" borderId="0" xfId="0" applyNumberFormat="1" applyFill="1"/>
    <xf numFmtId="2" fontId="0" fillId="3" borderId="0" xfId="3" applyNumberFormat="1" applyFont="1" applyFill="1" applyBorder="1"/>
    <xf numFmtId="169" fontId="0" fillId="3" borderId="0" xfId="3" applyNumberFormat="1" applyFont="1" applyFill="1" applyBorder="1"/>
    <xf numFmtId="43" fontId="0" fillId="0" borderId="68" xfId="0" applyNumberFormat="1" applyBorder="1" applyAlignment="1">
      <alignment vertical="top" wrapText="1"/>
    </xf>
    <xf numFmtId="169" fontId="0" fillId="0" borderId="10" xfId="3" applyNumberFormat="1" applyFont="1" applyBorder="1"/>
    <xf numFmtId="169" fontId="0" fillId="0" borderId="0" xfId="3" applyNumberFormat="1" applyFont="1" applyFill="1" applyBorder="1"/>
    <xf numFmtId="43" fontId="0" fillId="0" borderId="0" xfId="3" applyFont="1" applyFill="1" applyBorder="1" applyAlignment="1">
      <alignment horizontal="right"/>
    </xf>
    <xf numFmtId="0" fontId="0" fillId="0" borderId="9" xfId="0" applyBorder="1"/>
    <xf numFmtId="0" fontId="2" fillId="10" borderId="0" xfId="2" applyNumberFormat="1" applyFont="1" applyFill="1" applyBorder="1" applyAlignment="1" applyProtection="1">
      <protection locked="0"/>
    </xf>
    <xf numFmtId="164" fontId="0" fillId="0" borderId="0" xfId="0" applyNumberFormat="1"/>
    <xf numFmtId="43" fontId="0" fillId="0" borderId="10" xfId="3" applyFont="1" applyBorder="1" applyAlignment="1"/>
    <xf numFmtId="43" fontId="0" fillId="0" borderId="0" xfId="3" applyFont="1" applyBorder="1" applyAlignment="1"/>
    <xf numFmtId="43" fontId="0" fillId="0" borderId="26" xfId="3" applyFont="1" applyBorder="1" applyAlignment="1"/>
    <xf numFmtId="43" fontId="0" fillId="0" borderId="0" xfId="3" applyFont="1" applyFill="1" applyBorder="1" applyAlignment="1"/>
    <xf numFmtId="165" fontId="0" fillId="0" borderId="26" xfId="2" applyNumberFormat="1" applyFont="1" applyFill="1" applyBorder="1"/>
    <xf numFmtId="165" fontId="0" fillId="0" borderId="10" xfId="2" applyNumberFormat="1" applyFont="1" applyFill="1" applyBorder="1"/>
    <xf numFmtId="0" fontId="0" fillId="0" borderId="0" xfId="0" applyAlignment="1">
      <alignment vertical="center" wrapText="1"/>
    </xf>
    <xf numFmtId="0" fontId="10" fillId="0" borderId="11" xfId="0" applyFont="1" applyBorder="1"/>
    <xf numFmtId="179" fontId="0" fillId="0" borderId="11" xfId="3" applyNumberFormat="1" applyFont="1" applyBorder="1" applyAlignment="1">
      <alignment horizontal="center" vertical="center"/>
    </xf>
    <xf numFmtId="167" fontId="0" fillId="0" borderId="62" xfId="1" applyNumberFormat="1" applyFont="1" applyFill="1" applyBorder="1"/>
    <xf numFmtId="0" fontId="10" fillId="0" borderId="61" xfId="0" applyFont="1" applyBorder="1"/>
    <xf numFmtId="0" fontId="10" fillId="0" borderId="55" xfId="0" applyFont="1" applyBorder="1"/>
    <xf numFmtId="179" fontId="0" fillId="0" borderId="27" xfId="3" applyNumberFormat="1" applyFont="1" applyFill="1" applyBorder="1"/>
    <xf numFmtId="0" fontId="0" fillId="0" borderId="0" xfId="0" applyAlignment="1">
      <alignment horizontal="center" vertical="center"/>
    </xf>
    <xf numFmtId="179" fontId="0" fillId="0" borderId="11" xfId="3" applyNumberFormat="1" applyFont="1" applyFill="1" applyBorder="1"/>
    <xf numFmtId="4" fontId="0" fillId="0" borderId="74" xfId="2" applyNumberFormat="1" applyFont="1" applyBorder="1"/>
    <xf numFmtId="179" fontId="0" fillId="0" borderId="11" xfId="3" applyNumberFormat="1" applyFont="1" applyFill="1" applyBorder="1" applyAlignment="1">
      <alignment horizontal="center" vertical="center"/>
    </xf>
    <xf numFmtId="179" fontId="0" fillId="0" borderId="27" xfId="3" applyNumberFormat="1" applyFont="1" applyFill="1" applyBorder="1" applyAlignment="1">
      <alignment horizontal="center" vertical="center"/>
    </xf>
    <xf numFmtId="0" fontId="3" fillId="0" borderId="18" xfId="0" applyFont="1" applyBorder="1"/>
    <xf numFmtId="0" fontId="10" fillId="0" borderId="18" xfId="0" applyFont="1" applyBorder="1"/>
    <xf numFmtId="0" fontId="0" fillId="0" borderId="25" xfId="0" applyBorder="1"/>
    <xf numFmtId="179" fontId="0" fillId="0" borderId="18" xfId="3" applyNumberFormat="1" applyFont="1" applyFill="1" applyBorder="1" applyAlignment="1">
      <alignment horizontal="center" vertical="center"/>
    </xf>
    <xf numFmtId="179" fontId="0" fillId="0" borderId="25" xfId="0" applyNumberFormat="1" applyBorder="1"/>
    <xf numFmtId="179" fontId="0" fillId="0" borderId="27" xfId="0" applyNumberFormat="1" applyBorder="1"/>
    <xf numFmtId="179" fontId="0" fillId="0" borderId="9" xfId="3" applyNumberFormat="1" applyFont="1" applyFill="1" applyBorder="1" applyAlignment="1">
      <alignment horizontal="center" vertical="center"/>
    </xf>
    <xf numFmtId="179" fontId="0" fillId="0" borderId="25" xfId="3" applyNumberFormat="1" applyFont="1" applyFill="1" applyBorder="1" applyAlignment="1">
      <alignment horizontal="center" vertical="center"/>
    </xf>
    <xf numFmtId="43" fontId="0" fillId="0" borderId="18" xfId="3" applyFont="1" applyFill="1" applyBorder="1"/>
    <xf numFmtId="43" fontId="0" fillId="0" borderId="17" xfId="3" applyFont="1" applyFill="1" applyBorder="1"/>
    <xf numFmtId="179" fontId="0" fillId="0" borderId="9" xfId="3" applyNumberFormat="1" applyFont="1" applyFill="1" applyBorder="1"/>
    <xf numFmtId="179" fontId="0" fillId="0" borderId="18" xfId="3" applyNumberFormat="1" applyFont="1" applyFill="1" applyBorder="1"/>
    <xf numFmtId="181" fontId="0" fillId="0" borderId="18" xfId="3" applyNumberFormat="1" applyFont="1" applyFill="1" applyBorder="1" applyAlignment="1">
      <alignment horizontal="center" vertical="center"/>
    </xf>
    <xf numFmtId="181" fontId="0" fillId="0" borderId="25" xfId="3" applyNumberFormat="1" applyFont="1" applyFill="1" applyBorder="1" applyAlignment="1">
      <alignment horizontal="center" vertical="center"/>
    </xf>
    <xf numFmtId="179" fontId="0" fillId="0" borderId="25" xfId="3" applyNumberFormat="1" applyFont="1" applyBorder="1" applyAlignment="1">
      <alignment horizontal="center" vertical="center"/>
    </xf>
    <xf numFmtId="181" fontId="0" fillId="0" borderId="9" xfId="3" applyNumberFormat="1" applyFont="1" applyFill="1" applyBorder="1" applyAlignment="1">
      <alignment horizontal="center" vertical="center"/>
    </xf>
    <xf numFmtId="179" fontId="0" fillId="0" borderId="18" xfId="3" applyNumberFormat="1" applyFont="1" applyBorder="1" applyAlignment="1">
      <alignment horizontal="center" vertical="center"/>
    </xf>
    <xf numFmtId="179" fontId="0" fillId="0" borderId="9" xfId="3" applyNumberFormat="1" applyFont="1" applyBorder="1" applyAlignment="1">
      <alignment horizontal="center" vertical="center"/>
    </xf>
    <xf numFmtId="179" fontId="0" fillId="0" borderId="25" xfId="3" applyNumberFormat="1" applyFont="1" applyFill="1" applyBorder="1"/>
    <xf numFmtId="0" fontId="10" fillId="0" borderId="18" xfId="0" applyFont="1" applyBorder="1" applyAlignment="1">
      <alignment horizontal="center"/>
    </xf>
    <xf numFmtId="0" fontId="10" fillId="0" borderId="17" xfId="0" applyFont="1" applyBorder="1" applyAlignment="1">
      <alignment horizontal="center"/>
    </xf>
    <xf numFmtId="165" fontId="0" fillId="0" borderId="26" xfId="0" applyNumberFormat="1" applyBorder="1"/>
    <xf numFmtId="169" fontId="0" fillId="0" borderId="17" xfId="3" applyNumberFormat="1" applyFont="1" applyBorder="1"/>
    <xf numFmtId="2" fontId="0" fillId="0" borderId="27" xfId="2" applyNumberFormat="1" applyFont="1" applyBorder="1"/>
    <xf numFmtId="0" fontId="10" fillId="0" borderId="64" xfId="0" applyFont="1" applyBorder="1"/>
    <xf numFmtId="0" fontId="10" fillId="0" borderId="65" xfId="0" applyFont="1" applyBorder="1"/>
    <xf numFmtId="0" fontId="10" fillId="0" borderId="75" xfId="0" applyFont="1" applyBorder="1"/>
    <xf numFmtId="0" fontId="0" fillId="0" borderId="3" xfId="0" applyBorder="1" applyAlignment="1">
      <alignment vertical="top" wrapText="1"/>
    </xf>
    <xf numFmtId="0" fontId="10" fillId="0" borderId="50" xfId="0" applyFont="1" applyBorder="1" applyAlignment="1">
      <alignment horizontal="left" vertical="center" wrapText="1"/>
    </xf>
    <xf numFmtId="0" fontId="10" fillId="0" borderId="51" xfId="0" applyFont="1" applyBorder="1" applyAlignment="1">
      <alignment horizontal="left" vertical="center" wrapText="1"/>
    </xf>
    <xf numFmtId="0" fontId="0" fillId="0" borderId="0" xfId="0" applyAlignment="1">
      <alignment vertical="center"/>
    </xf>
    <xf numFmtId="0" fontId="0" fillId="0" borderId="62" xfId="0" applyBorder="1" applyAlignment="1">
      <alignment horizontal="left"/>
    </xf>
    <xf numFmtId="0" fontId="0" fillId="0" borderId="63" xfId="0" applyBorder="1"/>
    <xf numFmtId="0" fontId="0" fillId="0" borderId="70" xfId="0" applyBorder="1"/>
    <xf numFmtId="1" fontId="0" fillId="0" borderId="53" xfId="0" applyNumberFormat="1" applyBorder="1"/>
    <xf numFmtId="43" fontId="0" fillId="0" borderId="26" xfId="3" applyFont="1" applyFill="1" applyBorder="1" applyAlignment="1"/>
    <xf numFmtId="168" fontId="0" fillId="0" borderId="68" xfId="0" applyNumberFormat="1" applyBorder="1" applyAlignment="1">
      <alignment horizontal="right" vertical="top" wrapText="1"/>
    </xf>
    <xf numFmtId="170" fontId="0" fillId="0" borderId="0" xfId="3" applyNumberFormat="1" applyFont="1" applyFill="1" applyBorder="1"/>
    <xf numFmtId="170" fontId="0" fillId="0" borderId="10" xfId="3" applyNumberFormat="1" applyFont="1" applyFill="1" applyBorder="1"/>
    <xf numFmtId="169" fontId="0" fillId="0" borderId="10" xfId="3" applyNumberFormat="1" applyFont="1" applyFill="1" applyBorder="1"/>
    <xf numFmtId="169" fontId="0" fillId="0" borderId="0" xfId="3" applyNumberFormat="1" applyFont="1" applyBorder="1" applyAlignment="1"/>
    <xf numFmtId="169" fontId="0" fillId="0" borderId="10" xfId="3" applyNumberFormat="1" applyFont="1" applyFill="1" applyBorder="1" applyAlignment="1"/>
    <xf numFmtId="169" fontId="0" fillId="0" borderId="0" xfId="3" applyNumberFormat="1" applyFont="1" applyFill="1" applyBorder="1" applyAlignment="1"/>
    <xf numFmtId="169" fontId="0" fillId="0" borderId="26" xfId="3" applyNumberFormat="1" applyFont="1" applyFill="1" applyBorder="1" applyAlignment="1"/>
    <xf numFmtId="169" fontId="0" fillId="0" borderId="10" xfId="3" applyNumberFormat="1" applyFont="1" applyBorder="1" applyAlignment="1"/>
    <xf numFmtId="169" fontId="0" fillId="0" borderId="26" xfId="3" applyNumberFormat="1" applyFont="1" applyFill="1" applyBorder="1"/>
    <xf numFmtId="0" fontId="10" fillId="0" borderId="30" xfId="0" applyFont="1" applyBorder="1" applyAlignment="1">
      <alignment horizontal="center" vertical="center" wrapText="1"/>
    </xf>
    <xf numFmtId="0" fontId="10" fillId="0" borderId="31" xfId="0" applyFont="1" applyBorder="1" applyAlignment="1">
      <alignment vertical="center" wrapText="1"/>
    </xf>
    <xf numFmtId="0" fontId="10" fillId="0" borderId="100" xfId="0" applyFont="1" applyBorder="1" applyAlignment="1">
      <alignment horizontal="center" vertical="center" wrapText="1"/>
    </xf>
    <xf numFmtId="0" fontId="10" fillId="0" borderId="100" xfId="0" applyFont="1" applyBorder="1" applyAlignment="1">
      <alignment horizontal="left" vertical="center" wrapText="1"/>
    </xf>
    <xf numFmtId="0" fontId="10" fillId="0" borderId="51" xfId="0" applyFont="1" applyBorder="1" applyAlignment="1">
      <alignment vertical="center" wrapText="1"/>
    </xf>
    <xf numFmtId="2" fontId="10" fillId="0" borderId="100" xfId="0" applyNumberFormat="1" applyFont="1" applyBorder="1" applyAlignment="1">
      <alignment horizontal="left" vertical="center" wrapText="1"/>
    </xf>
    <xf numFmtId="0" fontId="10" fillId="0" borderId="79" xfId="0" applyFont="1" applyBorder="1" applyAlignment="1">
      <alignment horizontal="center" vertical="center" wrapText="1"/>
    </xf>
    <xf numFmtId="2" fontId="10" fillId="0" borderId="100" xfId="0" applyNumberFormat="1" applyFont="1" applyBorder="1" applyAlignment="1">
      <alignment horizontal="center" vertical="center" wrapText="1"/>
    </xf>
    <xf numFmtId="0" fontId="10" fillId="0" borderId="100" xfId="0" applyFont="1" applyBorder="1" applyAlignment="1">
      <alignment vertical="center" wrapText="1"/>
    </xf>
    <xf numFmtId="166" fontId="0" fillId="0" borderId="0" xfId="1" applyNumberFormat="1" applyFont="1" applyFill="1" applyBorder="1"/>
    <xf numFmtId="1" fontId="0" fillId="0" borderId="0" xfId="2" applyNumberFormat="1" applyFont="1" applyBorder="1"/>
    <xf numFmtId="1" fontId="0" fillId="0" borderId="26" xfId="2" applyNumberFormat="1" applyFont="1" applyBorder="1"/>
    <xf numFmtId="1" fontId="0" fillId="0" borderId="10" xfId="2" applyNumberFormat="1" applyFont="1" applyBorder="1"/>
    <xf numFmtId="1" fontId="0" fillId="0" borderId="0" xfId="2" applyNumberFormat="1" applyFont="1" applyFill="1" applyBorder="1"/>
    <xf numFmtId="1" fontId="0" fillId="0" borderId="10" xfId="2" applyNumberFormat="1" applyFont="1" applyFill="1" applyBorder="1"/>
    <xf numFmtId="1" fontId="0" fillId="0" borderId="26" xfId="0" applyNumberFormat="1" applyBorder="1"/>
    <xf numFmtId="1" fontId="0" fillId="0" borderId="10" xfId="0" applyNumberFormat="1" applyBorder="1"/>
    <xf numFmtId="170" fontId="0" fillId="0" borderId="68" xfId="3" applyNumberFormat="1" applyFont="1" applyFill="1" applyBorder="1"/>
    <xf numFmtId="169" fontId="0" fillId="0" borderId="62" xfId="3" applyNumberFormat="1" applyFont="1" applyFill="1" applyBorder="1"/>
    <xf numFmtId="169" fontId="0" fillId="0" borderId="5" xfId="3" applyNumberFormat="1" applyFont="1" applyFill="1" applyBorder="1"/>
    <xf numFmtId="169" fontId="0" fillId="0" borderId="81" xfId="3" applyNumberFormat="1" applyFont="1" applyFill="1" applyBorder="1"/>
    <xf numFmtId="179" fontId="0" fillId="0" borderId="68" xfId="3" applyNumberFormat="1" applyFont="1" applyFill="1" applyBorder="1"/>
    <xf numFmtId="43" fontId="37" fillId="16" borderId="93" xfId="12" applyNumberFormat="1" applyBorder="1"/>
    <xf numFmtId="43" fontId="36" fillId="15" borderId="93" xfId="11" applyNumberFormat="1" applyBorder="1"/>
    <xf numFmtId="170" fontId="36" fillId="15" borderId="93" xfId="11" applyNumberFormat="1" applyBorder="1"/>
    <xf numFmtId="0" fontId="10" fillId="17" borderId="33" xfId="0" applyFont="1" applyFill="1" applyBorder="1"/>
    <xf numFmtId="0" fontId="10" fillId="17" borderId="85" xfId="0" applyFont="1" applyFill="1" applyBorder="1"/>
    <xf numFmtId="167" fontId="0" fillId="0" borderId="65" xfId="1" applyNumberFormat="1" applyFont="1" applyFill="1" applyBorder="1"/>
    <xf numFmtId="167" fontId="0" fillId="0" borderId="68" xfId="1" applyNumberFormat="1" applyFont="1" applyFill="1" applyBorder="1"/>
    <xf numFmtId="0" fontId="0" fillId="17" borderId="95" xfId="0" applyFill="1" applyBorder="1"/>
    <xf numFmtId="44" fontId="36" fillId="15" borderId="72" xfId="11" applyNumberFormat="1" applyBorder="1"/>
    <xf numFmtId="44" fontId="37" fillId="16" borderId="72" xfId="12" applyNumberFormat="1" applyBorder="1"/>
    <xf numFmtId="44" fontId="36" fillId="15" borderId="95" xfId="11" applyNumberFormat="1" applyBorder="1"/>
    <xf numFmtId="44" fontId="37" fillId="16" borderId="96" xfId="12" applyNumberFormat="1" applyBorder="1"/>
    <xf numFmtId="0" fontId="0" fillId="17" borderId="73" xfId="0" applyFill="1" applyBorder="1"/>
    <xf numFmtId="0" fontId="0" fillId="17" borderId="77" xfId="0" applyFill="1" applyBorder="1"/>
    <xf numFmtId="0" fontId="0" fillId="17" borderId="89" xfId="0" applyFill="1" applyBorder="1"/>
    <xf numFmtId="0" fontId="2" fillId="2" borderId="1" xfId="0" applyFont="1" applyFill="1" applyBorder="1"/>
    <xf numFmtId="3" fontId="27" fillId="10" borderId="1" xfId="0" applyNumberFormat="1" applyFont="1" applyFill="1" applyBorder="1"/>
    <xf numFmtId="0" fontId="38" fillId="0" borderId="4" xfId="0" applyFont="1" applyBorder="1" applyAlignment="1">
      <alignment vertical="top" wrapText="1"/>
    </xf>
    <xf numFmtId="171" fontId="0" fillId="0" borderId="8" xfId="0" applyNumberFormat="1" applyBorder="1"/>
    <xf numFmtId="166" fontId="0" fillId="0" borderId="26" xfId="1" applyNumberFormat="1" applyFont="1" applyFill="1" applyBorder="1"/>
    <xf numFmtId="170" fontId="0" fillId="0" borderId="26" xfId="3" applyNumberFormat="1" applyFont="1" applyFill="1" applyBorder="1"/>
    <xf numFmtId="0" fontId="10" fillId="9" borderId="67" xfId="0" applyFont="1" applyFill="1" applyBorder="1" applyAlignment="1">
      <alignment horizontal="left" vertical="top" wrapText="1"/>
    </xf>
    <xf numFmtId="176" fontId="0" fillId="0" borderId="68" xfId="3" applyNumberFormat="1" applyFont="1" applyBorder="1" applyAlignment="1">
      <alignment vertical="top" wrapText="1"/>
    </xf>
    <xf numFmtId="43" fontId="0" fillId="0" borderId="68" xfId="0" applyNumberFormat="1" applyBorder="1" applyAlignment="1">
      <alignment horizontal="right" vertical="top" wrapText="1"/>
    </xf>
    <xf numFmtId="43" fontId="0" fillId="0" borderId="6" xfId="0" applyNumberFormat="1" applyBorder="1"/>
    <xf numFmtId="4" fontId="0" fillId="0" borderId="68" xfId="3" applyNumberFormat="1" applyFont="1" applyBorder="1" applyAlignment="1">
      <alignment vertical="top" wrapText="1"/>
    </xf>
    <xf numFmtId="0" fontId="0" fillId="0" borderId="101" xfId="0" applyBorder="1" applyAlignment="1">
      <alignment vertical="top" wrapText="1"/>
    </xf>
    <xf numFmtId="169" fontId="0" fillId="0" borderId="101" xfId="3" applyNumberFormat="1" applyFont="1" applyBorder="1" applyAlignment="1">
      <alignment vertical="top" wrapText="1"/>
    </xf>
    <xf numFmtId="43" fontId="0" fillId="0" borderId="101" xfId="3" applyFont="1" applyBorder="1" applyAlignment="1">
      <alignment horizontal="left" vertical="top" wrapText="1"/>
    </xf>
    <xf numFmtId="167" fontId="11" fillId="0" borderId="0" xfId="1" applyNumberFormat="1" applyFont="1"/>
    <xf numFmtId="9" fontId="0" fillId="0" borderId="0" xfId="1" applyFont="1" applyAlignment="1">
      <alignment vertical="top" wrapText="1"/>
    </xf>
    <xf numFmtId="43" fontId="0" fillId="0" borderId="10" xfId="3" applyFont="1" applyFill="1" applyBorder="1" applyAlignment="1"/>
    <xf numFmtId="0" fontId="0" fillId="0" borderId="53" xfId="0" applyBorder="1" applyAlignment="1">
      <alignment wrapText="1"/>
    </xf>
    <xf numFmtId="43" fontId="0" fillId="0" borderId="53" xfId="0" applyNumberFormat="1" applyBorder="1"/>
    <xf numFmtId="2" fontId="0" fillId="0" borderId="53" xfId="0" quotePrefix="1" applyNumberFormat="1" applyBorder="1"/>
    <xf numFmtId="169" fontId="0" fillId="0" borderId="0" xfId="0" applyNumberFormat="1" applyAlignment="1">
      <alignment horizontal="right"/>
    </xf>
    <xf numFmtId="169" fontId="0" fillId="0" borderId="0" xfId="3" applyNumberFormat="1" applyFont="1" applyFill="1" applyBorder="1" applyAlignment="1">
      <alignment horizontal="right"/>
    </xf>
    <xf numFmtId="179" fontId="0" fillId="0" borderId="9" xfId="3" applyNumberFormat="1" applyFont="1" applyBorder="1"/>
    <xf numFmtId="0" fontId="0" fillId="0" borderId="98" xfId="0" applyBorder="1"/>
    <xf numFmtId="0" fontId="0" fillId="0" borderId="99" xfId="0" applyBorder="1"/>
    <xf numFmtId="179" fontId="0" fillId="0" borderId="17" xfId="3" applyNumberFormat="1" applyFont="1" applyBorder="1"/>
    <xf numFmtId="169" fontId="0" fillId="0" borderId="7" xfId="3" applyNumberFormat="1" applyFont="1" applyBorder="1" applyAlignment="1">
      <alignment vertical="top" wrapText="1"/>
    </xf>
    <xf numFmtId="182" fontId="0" fillId="0" borderId="0" xfId="3" applyNumberFormat="1" applyFont="1" applyBorder="1"/>
    <xf numFmtId="179" fontId="0" fillId="0" borderId="0" xfId="3" applyNumberFormat="1" applyFont="1" applyBorder="1"/>
    <xf numFmtId="0" fontId="30" fillId="0" borderId="53" xfId="0" applyFont="1" applyBorder="1"/>
    <xf numFmtId="0" fontId="39" fillId="0" borderId="0" xfId="0" applyFont="1" applyAlignment="1">
      <alignment vertical="center"/>
    </xf>
    <xf numFmtId="44" fontId="0" fillId="0" borderId="0" xfId="2" applyFont="1" applyFill="1" applyBorder="1"/>
    <xf numFmtId="3" fontId="0" fillId="0" borderId="0" xfId="0" applyNumberFormat="1"/>
    <xf numFmtId="166" fontId="0" fillId="0" borderId="68" xfId="0" applyNumberFormat="1" applyBorder="1"/>
    <xf numFmtId="183" fontId="0" fillId="0" borderId="68" xfId="0" applyNumberFormat="1" applyBorder="1" applyAlignment="1">
      <alignment horizontal="right" vertical="center"/>
    </xf>
    <xf numFmtId="0" fontId="0" fillId="0" borderId="99" xfId="0" applyBorder="1" applyAlignment="1">
      <alignment vertical="center"/>
    </xf>
    <xf numFmtId="0" fontId="11" fillId="3" borderId="5" xfId="0" applyFont="1" applyFill="1" applyBorder="1" applyAlignment="1" applyProtection="1">
      <alignment vertical="center"/>
      <protection locked="0"/>
    </xf>
    <xf numFmtId="0" fontId="11" fillId="3" borderId="2" xfId="0" applyFont="1" applyFill="1" applyBorder="1" applyAlignment="1" applyProtection="1">
      <alignment vertical="center"/>
      <protection locked="0"/>
    </xf>
    <xf numFmtId="0" fontId="2" fillId="3" borderId="5" xfId="0" applyFont="1" applyFill="1" applyBorder="1" applyAlignment="1" applyProtection="1">
      <alignment vertical="center"/>
      <protection locked="0"/>
    </xf>
    <xf numFmtId="0" fontId="2" fillId="3" borderId="7" xfId="0" applyFont="1" applyFill="1" applyBorder="1" applyAlignment="1" applyProtection="1">
      <alignment vertical="center"/>
      <protection locked="0"/>
    </xf>
    <xf numFmtId="0" fontId="2" fillId="3" borderId="2" xfId="0" applyFont="1" applyFill="1" applyBorder="1" applyAlignment="1" applyProtection="1">
      <alignment vertical="center"/>
      <protection locked="0"/>
    </xf>
    <xf numFmtId="0" fontId="11" fillId="3" borderId="4" xfId="0" applyFont="1" applyFill="1" applyBorder="1" applyAlignment="1" applyProtection="1">
      <alignment vertical="center"/>
      <protection locked="0"/>
    </xf>
    <xf numFmtId="0" fontId="11" fillId="3" borderId="6" xfId="0" applyFont="1" applyFill="1" applyBorder="1" applyAlignment="1" applyProtection="1">
      <alignment vertical="center"/>
      <protection locked="0"/>
    </xf>
    <xf numFmtId="0" fontId="2" fillId="3" borderId="6" xfId="0" applyFont="1" applyFill="1" applyBorder="1" applyAlignment="1" applyProtection="1">
      <alignment vertical="center"/>
      <protection locked="0"/>
    </xf>
    <xf numFmtId="0" fontId="2" fillId="3" borderId="8" xfId="0" applyFont="1" applyFill="1" applyBorder="1" applyAlignment="1" applyProtection="1">
      <alignment vertical="center"/>
      <protection locked="0"/>
    </xf>
    <xf numFmtId="0" fontId="2" fillId="2" borderId="0" xfId="0" applyFont="1" applyFill="1" applyAlignment="1" applyProtection="1">
      <alignment vertical="center"/>
      <protection locked="0"/>
    </xf>
    <xf numFmtId="3" fontId="0" fillId="0" borderId="65" xfId="0" applyNumberFormat="1" applyBorder="1" applyAlignment="1">
      <alignment vertical="top" wrapText="1"/>
    </xf>
    <xf numFmtId="0" fontId="0" fillId="0" borderId="98" xfId="0" applyBorder="1" applyAlignment="1">
      <alignment vertical="center"/>
    </xf>
    <xf numFmtId="175" fontId="0" fillId="0" borderId="0" xfId="0" applyNumberFormat="1" applyAlignment="1">
      <alignment vertical="top" wrapText="1"/>
    </xf>
    <xf numFmtId="174" fontId="0" fillId="0" borderId="0" xfId="0" applyNumberFormat="1" applyAlignment="1">
      <alignment vertical="top" wrapText="1"/>
    </xf>
    <xf numFmtId="184" fontId="0" fillId="0" borderId="0" xfId="0" applyNumberFormat="1" applyAlignment="1">
      <alignment vertical="top" wrapText="1"/>
    </xf>
    <xf numFmtId="185" fontId="0" fillId="0" borderId="0" xfId="0" applyNumberFormat="1" applyAlignment="1">
      <alignment vertical="top" wrapText="1"/>
    </xf>
    <xf numFmtId="14" fontId="0" fillId="0" borderId="0" xfId="0" applyNumberFormat="1"/>
    <xf numFmtId="0" fontId="0" fillId="0" borderId="67" xfId="0" applyBorder="1" applyAlignment="1">
      <alignment wrapText="1"/>
    </xf>
    <xf numFmtId="0" fontId="0" fillId="0" borderId="61" xfId="0" applyBorder="1" applyAlignment="1">
      <alignment wrapText="1"/>
    </xf>
    <xf numFmtId="0" fontId="0" fillId="0" borderId="73" xfId="0" applyBorder="1" applyAlignment="1">
      <alignment wrapText="1"/>
    </xf>
    <xf numFmtId="0" fontId="10" fillId="0" borderId="58" xfId="0" applyFont="1" applyBorder="1" applyAlignment="1">
      <alignment wrapText="1"/>
    </xf>
    <xf numFmtId="0" fontId="10" fillId="0" borderId="64" xfId="0" applyFont="1" applyBorder="1" applyAlignment="1">
      <alignment wrapText="1"/>
    </xf>
    <xf numFmtId="0" fontId="0" fillId="0" borderId="25" xfId="0" applyBorder="1" applyAlignment="1">
      <alignment wrapText="1"/>
    </xf>
    <xf numFmtId="0" fontId="0" fillId="0" borderId="9" xfId="0" applyBorder="1" applyAlignment="1">
      <alignment wrapText="1"/>
    </xf>
    <xf numFmtId="0" fontId="0" fillId="0" borderId="26" xfId="0" applyBorder="1" applyAlignment="1">
      <alignment horizontal="left" wrapText="1"/>
    </xf>
    <xf numFmtId="0" fontId="0" fillId="0" borderId="26" xfId="0" applyBorder="1" applyAlignment="1">
      <alignment wrapText="1"/>
    </xf>
    <xf numFmtId="0" fontId="0" fillId="0" borderId="18" xfId="0" applyBorder="1" applyAlignment="1">
      <alignment wrapText="1"/>
    </xf>
    <xf numFmtId="0" fontId="0" fillId="0" borderId="0" xfId="0" applyAlignment="1">
      <alignment horizontal="left" wrapText="1"/>
    </xf>
    <xf numFmtId="0" fontId="0" fillId="0" borderId="98" xfId="0" applyBorder="1" applyAlignment="1">
      <alignment wrapText="1"/>
    </xf>
    <xf numFmtId="0" fontId="0" fillId="0" borderId="97" xfId="0" applyBorder="1"/>
    <xf numFmtId="0" fontId="21" fillId="0" borderId="0" xfId="0" applyFont="1" applyAlignment="1">
      <alignment vertical="top" wrapText="1"/>
    </xf>
    <xf numFmtId="0" fontId="4" fillId="0" borderId="0" xfId="0" applyFont="1" applyAlignment="1">
      <alignment wrapText="1"/>
    </xf>
    <xf numFmtId="0" fontId="3" fillId="0" borderId="0" xfId="0" applyFont="1" applyAlignment="1">
      <alignment wrapText="1"/>
    </xf>
    <xf numFmtId="0" fontId="0" fillId="0" borderId="53" xfId="0" applyBorder="1" applyAlignment="1">
      <alignment horizontal="center" wrapText="1"/>
    </xf>
    <xf numFmtId="9" fontId="0" fillId="0" borderId="53" xfId="1" applyFont="1" applyBorder="1" applyAlignment="1">
      <alignment horizontal="center" wrapText="1"/>
    </xf>
    <xf numFmtId="9" fontId="0" fillId="0" borderId="53" xfId="1" applyFont="1" applyFill="1" applyBorder="1" applyAlignment="1">
      <alignment horizontal="center" wrapText="1"/>
    </xf>
    <xf numFmtId="0" fontId="35" fillId="0" borderId="0" xfId="0" applyFont="1" applyAlignment="1">
      <alignment wrapText="1"/>
    </xf>
    <xf numFmtId="9" fontId="0" fillId="0" borderId="68" xfId="1" applyFont="1" applyBorder="1" applyAlignment="1">
      <alignment wrapText="1"/>
    </xf>
    <xf numFmtId="9" fontId="0" fillId="0" borderId="68" xfId="1" applyFont="1" applyFill="1" applyBorder="1" applyAlignment="1">
      <alignment wrapText="1"/>
    </xf>
    <xf numFmtId="9" fontId="0" fillId="0" borderId="5" xfId="1" applyFont="1" applyBorder="1" applyAlignment="1">
      <alignment wrapText="1"/>
    </xf>
    <xf numFmtId="0" fontId="0" fillId="11" borderId="53" xfId="0" applyFill="1" applyBorder="1" applyAlignment="1">
      <alignment wrapText="1"/>
    </xf>
    <xf numFmtId="9" fontId="0" fillId="0" borderId="65" xfId="1" applyFont="1" applyBorder="1" applyAlignment="1">
      <alignment wrapText="1"/>
    </xf>
    <xf numFmtId="9" fontId="0" fillId="0" borderId="65" xfId="1" applyFont="1" applyFill="1" applyBorder="1" applyAlignment="1">
      <alignment wrapText="1"/>
    </xf>
    <xf numFmtId="0" fontId="11" fillId="3" borderId="14" xfId="4" applyFill="1" applyBorder="1" applyAlignment="1">
      <alignment vertical="center" wrapText="1"/>
    </xf>
    <xf numFmtId="0" fontId="11" fillId="3" borderId="19" xfId="4" applyFill="1" applyBorder="1" applyAlignment="1">
      <alignment vertical="center" wrapText="1"/>
    </xf>
    <xf numFmtId="0" fontId="12" fillId="4" borderId="28" xfId="4" applyFont="1" applyFill="1" applyBorder="1" applyAlignment="1">
      <alignment horizontal="center" vertical="center" wrapText="1"/>
    </xf>
    <xf numFmtId="0" fontId="12" fillId="4" borderId="31" xfId="4" applyFont="1" applyFill="1" applyBorder="1" applyAlignment="1">
      <alignment horizontal="center" vertical="center" wrapText="1"/>
    </xf>
    <xf numFmtId="0" fontId="14" fillId="3" borderId="38" xfId="4" applyFont="1" applyFill="1" applyBorder="1" applyAlignment="1">
      <alignment horizontal="left" vertical="center" wrapText="1"/>
    </xf>
    <xf numFmtId="0" fontId="12" fillId="5" borderId="12" xfId="4" applyFont="1" applyFill="1" applyBorder="1" applyAlignment="1">
      <alignment vertical="center" wrapText="1"/>
    </xf>
    <xf numFmtId="0" fontId="30" fillId="0" borderId="53" xfId="0" applyFont="1" applyBorder="1" applyAlignment="1">
      <alignment wrapText="1"/>
    </xf>
    <xf numFmtId="0" fontId="0" fillId="0" borderId="53" xfId="0" applyBorder="1" applyAlignment="1">
      <alignment horizontal="left" wrapText="1"/>
    </xf>
    <xf numFmtId="0" fontId="0" fillId="0" borderId="55" xfId="0" applyBorder="1" applyAlignment="1">
      <alignment wrapText="1"/>
    </xf>
    <xf numFmtId="0" fontId="10" fillId="0" borderId="69" xfId="0" applyFont="1" applyBorder="1" applyAlignment="1">
      <alignment wrapText="1"/>
    </xf>
    <xf numFmtId="0" fontId="10" fillId="0" borderId="4" xfId="0" applyFont="1" applyBorder="1" applyAlignment="1">
      <alignment wrapText="1"/>
    </xf>
    <xf numFmtId="0" fontId="10" fillId="0" borderId="6" xfId="0" applyFont="1" applyBorder="1" applyAlignment="1">
      <alignment wrapText="1"/>
    </xf>
    <xf numFmtId="0" fontId="0" fillId="0" borderId="53" xfId="0" applyBorder="1" applyAlignment="1">
      <alignment horizontal="left" vertical="center"/>
    </xf>
    <xf numFmtId="0" fontId="10" fillId="0" borderId="28" xfId="0" applyFont="1" applyBorder="1" applyAlignment="1">
      <alignment horizontal="left" wrapText="1"/>
    </xf>
    <xf numFmtId="0" fontId="18" fillId="0" borderId="0" xfId="0" applyFont="1" applyAlignment="1">
      <alignment vertical="top" wrapText="1"/>
    </xf>
    <xf numFmtId="0" fontId="0" fillId="0" borderId="10" xfId="0" applyBorder="1" applyAlignment="1">
      <alignment horizontal="left" wrapText="1"/>
    </xf>
    <xf numFmtId="0" fontId="0" fillId="0" borderId="26" xfId="0" applyBorder="1" applyAlignment="1">
      <alignment vertical="top" wrapText="1"/>
    </xf>
    <xf numFmtId="0" fontId="0" fillId="0" borderId="10" xfId="0" applyBorder="1" applyAlignment="1">
      <alignment wrapText="1"/>
    </xf>
    <xf numFmtId="0" fontId="0" fillId="0" borderId="17" xfId="0" applyBorder="1" applyAlignment="1">
      <alignment wrapText="1"/>
    </xf>
    <xf numFmtId="0" fontId="21" fillId="0" borderId="0" xfId="0" applyFont="1" applyAlignment="1">
      <alignment wrapText="1"/>
    </xf>
    <xf numFmtId="0" fontId="18" fillId="0" borderId="0" xfId="0" applyFont="1" applyAlignment="1">
      <alignment wrapText="1"/>
    </xf>
    <xf numFmtId="0" fontId="11" fillId="3" borderId="2" xfId="0" applyFont="1" applyFill="1" applyBorder="1" applyAlignment="1" applyProtection="1">
      <alignment vertical="center" wrapText="1"/>
      <protection locked="0"/>
    </xf>
    <xf numFmtId="0" fontId="10" fillId="0" borderId="53" xfId="0" applyFont="1" applyBorder="1" applyAlignment="1">
      <alignment horizontal="center"/>
    </xf>
    <xf numFmtId="3" fontId="8" fillId="0" borderId="68" xfId="3" applyNumberFormat="1" applyFont="1" applyBorder="1" applyAlignment="1">
      <alignment vertical="top" wrapText="1"/>
    </xf>
    <xf numFmtId="176" fontId="8" fillId="0" borderId="68" xfId="3" applyNumberFormat="1" applyFont="1" applyBorder="1" applyAlignment="1">
      <alignment vertical="top" wrapText="1"/>
    </xf>
    <xf numFmtId="168" fontId="8" fillId="0" borderId="68" xfId="0" applyNumberFormat="1" applyFont="1" applyBorder="1" applyAlignment="1">
      <alignment vertical="top" wrapText="1"/>
    </xf>
    <xf numFmtId="0" fontId="14" fillId="0" borderId="0" xfId="4" applyFont="1"/>
    <xf numFmtId="0" fontId="11" fillId="0" borderId="0" xfId="4" applyAlignment="1">
      <alignment vertical="top" wrapText="1"/>
    </xf>
    <xf numFmtId="0" fontId="0" fillId="10" borderId="0" xfId="0" applyFill="1"/>
    <xf numFmtId="0" fontId="0" fillId="10" borderId="9" xfId="0" applyFill="1" applyBorder="1"/>
    <xf numFmtId="0" fontId="0" fillId="10" borderId="10" xfId="0" applyFill="1" applyBorder="1"/>
    <xf numFmtId="0" fontId="0" fillId="10" borderId="11" xfId="0" applyFill="1" applyBorder="1"/>
    <xf numFmtId="0" fontId="0" fillId="10" borderId="18" xfId="0" applyFill="1" applyBorder="1"/>
    <xf numFmtId="0" fontId="10" fillId="10" borderId="0" xfId="0" applyFont="1" applyFill="1"/>
    <xf numFmtId="0" fontId="0" fillId="10" borderId="17" xfId="0" applyFill="1" applyBorder="1"/>
    <xf numFmtId="0" fontId="0" fillId="10" borderId="25" xfId="0" applyFill="1" applyBorder="1"/>
    <xf numFmtId="0" fontId="0" fillId="10" borderId="26" xfId="0" applyFill="1" applyBorder="1"/>
    <xf numFmtId="0" fontId="0" fillId="10" borderId="27" xfId="0" applyFill="1" applyBorder="1"/>
    <xf numFmtId="0" fontId="19" fillId="10" borderId="0" xfId="0" applyFont="1" applyFill="1"/>
    <xf numFmtId="0" fontId="0" fillId="19" borderId="62" xfId="0" applyFill="1" applyBorder="1" applyAlignment="1">
      <alignment vertical="top" wrapText="1"/>
    </xf>
    <xf numFmtId="169" fontId="0" fillId="19" borderId="53" xfId="3" applyNumberFormat="1" applyFont="1" applyFill="1" applyBorder="1" applyAlignment="1">
      <alignment vertical="top" wrapText="1"/>
    </xf>
    <xf numFmtId="1" fontId="0" fillId="19" borderId="56" xfId="0" applyNumberFormat="1" applyFill="1" applyBorder="1" applyAlignment="1">
      <alignment vertical="top" wrapText="1"/>
    </xf>
    <xf numFmtId="166" fontId="0" fillId="19" borderId="53" xfId="0" applyNumberFormat="1" applyFill="1" applyBorder="1" applyAlignment="1">
      <alignment horizontal="right" vertical="top" wrapText="1"/>
    </xf>
    <xf numFmtId="0" fontId="0" fillId="19" borderId="53" xfId="0" applyFill="1" applyBorder="1" applyAlignment="1">
      <alignment horizontal="right" vertical="top" wrapText="1"/>
    </xf>
    <xf numFmtId="43" fontId="0" fillId="19" borderId="53" xfId="0" applyNumberFormat="1" applyFill="1" applyBorder="1" applyAlignment="1">
      <alignment horizontal="right" vertical="top" wrapText="1"/>
    </xf>
    <xf numFmtId="164" fontId="0" fillId="19" borderId="53" xfId="0" applyNumberFormat="1" applyFill="1" applyBorder="1" applyAlignment="1">
      <alignment horizontal="right" vertical="top" wrapText="1"/>
    </xf>
    <xf numFmtId="166" fontId="0" fillId="19" borderId="53" xfId="0" applyNumberFormat="1" applyFill="1" applyBorder="1" applyAlignment="1">
      <alignment vertical="top" wrapText="1"/>
    </xf>
    <xf numFmtId="0" fontId="0" fillId="19" borderId="53" xfId="0" applyFill="1" applyBorder="1" applyAlignment="1">
      <alignment vertical="top" wrapText="1"/>
    </xf>
    <xf numFmtId="0" fontId="0" fillId="19" borderId="56" xfId="0" applyFill="1" applyBorder="1" applyAlignment="1">
      <alignment vertical="top" wrapText="1"/>
    </xf>
    <xf numFmtId="0" fontId="0" fillId="19" borderId="0" xfId="0" applyFill="1"/>
    <xf numFmtId="9" fontId="0" fillId="19" borderId="53" xfId="1" applyFont="1" applyFill="1" applyBorder="1"/>
    <xf numFmtId="0" fontId="0" fillId="19" borderId="68" xfId="0" applyFill="1" applyBorder="1" applyAlignment="1">
      <alignment horizontal="left" vertical="top"/>
    </xf>
    <xf numFmtId="0" fontId="0" fillId="19" borderId="6" xfId="0" applyFill="1" applyBorder="1" applyAlignment="1">
      <alignment horizontal="left" vertical="top"/>
    </xf>
    <xf numFmtId="167" fontId="0" fillId="19" borderId="6" xfId="1" applyNumberFormat="1" applyFont="1" applyFill="1" applyBorder="1" applyAlignment="1">
      <alignment horizontal="left" vertical="top"/>
    </xf>
    <xf numFmtId="9" fontId="0" fillId="19" borderId="56" xfId="1" applyFont="1" applyFill="1" applyBorder="1"/>
    <xf numFmtId="9" fontId="0" fillId="19" borderId="68" xfId="1" applyFont="1" applyFill="1" applyBorder="1" applyAlignment="1">
      <alignment horizontal="left" vertical="top"/>
    </xf>
    <xf numFmtId="167" fontId="0" fillId="19" borderId="68" xfId="0" applyNumberFormat="1" applyFill="1" applyBorder="1" applyAlignment="1">
      <alignment horizontal="left" vertical="top"/>
    </xf>
    <xf numFmtId="164" fontId="0" fillId="0" borderId="53" xfId="3" applyNumberFormat="1" applyFont="1" applyFill="1" applyBorder="1" applyAlignment="1">
      <alignment vertical="top" wrapText="1"/>
    </xf>
    <xf numFmtId="164" fontId="0" fillId="0" borderId="81" xfId="3" applyNumberFormat="1" applyFont="1" applyFill="1" applyBorder="1" applyAlignment="1">
      <alignment vertical="top" wrapText="1"/>
    </xf>
    <xf numFmtId="165" fontId="0" fillId="19" borderId="0" xfId="2" applyNumberFormat="1" applyFont="1" applyFill="1" applyBorder="1"/>
    <xf numFmtId="165" fontId="0" fillId="19" borderId="26" xfId="2" applyNumberFormat="1" applyFont="1" applyFill="1" applyBorder="1"/>
    <xf numFmtId="165" fontId="0" fillId="19" borderId="10" xfId="2" applyNumberFormat="1" applyFont="1" applyFill="1" applyBorder="1"/>
    <xf numFmtId="9" fontId="0" fillId="19" borderId="0" xfId="1" applyFont="1" applyFill="1" applyBorder="1"/>
    <xf numFmtId="9" fontId="0" fillId="19" borderId="26" xfId="1" applyFont="1" applyFill="1" applyBorder="1"/>
    <xf numFmtId="9" fontId="0" fillId="19" borderId="10" xfId="1" applyFont="1" applyFill="1" applyBorder="1"/>
    <xf numFmtId="2" fontId="0" fillId="19" borderId="0" xfId="0" applyNumberFormat="1" applyFill="1"/>
    <xf numFmtId="2" fontId="0" fillId="19" borderId="26" xfId="0" applyNumberFormat="1" applyFill="1" applyBorder="1"/>
    <xf numFmtId="0" fontId="0" fillId="19" borderId="10" xfId="0" applyFill="1" applyBorder="1"/>
    <xf numFmtId="0" fontId="0" fillId="19" borderId="26" xfId="0" applyFill="1" applyBorder="1"/>
    <xf numFmtId="166" fontId="0" fillId="19" borderId="56" xfId="0" applyNumberFormat="1" applyFill="1" applyBorder="1" applyAlignment="1">
      <alignment vertical="top" wrapText="1"/>
    </xf>
    <xf numFmtId="9" fontId="0" fillId="19" borderId="53" xfId="1" applyFont="1" applyFill="1" applyBorder="1" applyAlignment="1">
      <alignment vertical="top" wrapText="1"/>
    </xf>
    <xf numFmtId="0" fontId="0" fillId="19" borderId="68" xfId="0" applyFill="1" applyBorder="1" applyAlignment="1">
      <alignment horizontal="left" vertical="top" wrapText="1"/>
    </xf>
    <xf numFmtId="3" fontId="29" fillId="0" borderId="0" xfId="3" applyNumberFormat="1" applyFont="1" applyBorder="1" applyAlignment="1">
      <alignment vertical="top" wrapText="1"/>
    </xf>
    <xf numFmtId="3" fontId="0" fillId="0" borderId="68" xfId="3" applyNumberFormat="1" applyFont="1" applyFill="1" applyBorder="1" applyAlignment="1">
      <alignment vertical="top" wrapText="1"/>
    </xf>
    <xf numFmtId="3" fontId="0" fillId="0" borderId="65" xfId="3" applyNumberFormat="1" applyFont="1" applyFill="1" applyBorder="1" applyAlignment="1">
      <alignment vertical="top" wrapText="1"/>
    </xf>
    <xf numFmtId="0" fontId="0" fillId="0" borderId="7" xfId="0" applyBorder="1" applyAlignment="1">
      <alignment vertical="top" wrapText="1"/>
    </xf>
    <xf numFmtId="176" fontId="0" fillId="0" borderId="68" xfId="3" applyNumberFormat="1" applyFont="1" applyFill="1" applyBorder="1" applyAlignment="1">
      <alignment vertical="top" wrapText="1"/>
    </xf>
    <xf numFmtId="186" fontId="0" fillId="0" borderId="68" xfId="3" applyNumberFormat="1" applyFont="1" applyFill="1" applyBorder="1" applyAlignment="1">
      <alignment vertical="top" wrapText="1"/>
    </xf>
    <xf numFmtId="174" fontId="0" fillId="19" borderId="68" xfId="0" applyNumberFormat="1" applyFill="1" applyBorder="1" applyAlignment="1">
      <alignment horizontal="left" vertical="top"/>
    </xf>
    <xf numFmtId="166" fontId="0" fillId="19" borderId="0" xfId="0" applyNumberFormat="1" applyFill="1"/>
    <xf numFmtId="168" fontId="0" fillId="0" borderId="81" xfId="3" applyNumberFormat="1" applyFont="1" applyFill="1" applyBorder="1" applyAlignment="1">
      <alignment vertical="top" wrapText="1"/>
    </xf>
    <xf numFmtId="0" fontId="21" fillId="0" borderId="17" xfId="0" applyFont="1" applyBorder="1" applyAlignment="1">
      <alignment horizontal="center" vertical="top" wrapText="1"/>
    </xf>
    <xf numFmtId="0" fontId="0" fillId="19" borderId="68" xfId="0" applyFill="1" applyBorder="1" applyAlignment="1">
      <alignment wrapText="1"/>
    </xf>
    <xf numFmtId="0" fontId="0" fillId="19" borderId="68" xfId="0" applyFill="1" applyBorder="1" applyAlignment="1">
      <alignment vertical="top" wrapText="1"/>
    </xf>
    <xf numFmtId="169" fontId="0" fillId="0" borderId="67" xfId="0" applyNumberFormat="1" applyBorder="1" applyAlignment="1">
      <alignment horizontal="right"/>
    </xf>
    <xf numFmtId="2" fontId="0" fillId="19" borderId="10" xfId="0" applyNumberFormat="1" applyFill="1" applyBorder="1"/>
    <xf numFmtId="1" fontId="0" fillId="19" borderId="0" xfId="0" applyNumberFormat="1" applyFill="1"/>
    <xf numFmtId="43" fontId="0" fillId="19" borderId="10" xfId="3" applyFont="1" applyFill="1" applyBorder="1" applyAlignment="1">
      <alignment horizontal="right"/>
    </xf>
    <xf numFmtId="43" fontId="0" fillId="19" borderId="0" xfId="3" applyFont="1" applyFill="1" applyBorder="1" applyAlignment="1">
      <alignment horizontal="right"/>
    </xf>
    <xf numFmtId="43" fontId="0" fillId="19" borderId="0" xfId="3" applyFont="1" applyFill="1" applyBorder="1"/>
    <xf numFmtId="43" fontId="0" fillId="19" borderId="26" xfId="3" applyFont="1" applyFill="1" applyBorder="1"/>
    <xf numFmtId="166" fontId="0" fillId="19" borderId="10" xfId="0" applyNumberFormat="1" applyFill="1" applyBorder="1"/>
    <xf numFmtId="43" fontId="0" fillId="19" borderId="10" xfId="3" applyFont="1" applyFill="1" applyBorder="1"/>
    <xf numFmtId="166" fontId="0" fillId="19" borderId="26" xfId="0" applyNumberFormat="1" applyFill="1" applyBorder="1"/>
    <xf numFmtId="1" fontId="0" fillId="19" borderId="26" xfId="0" applyNumberFormat="1" applyFill="1" applyBorder="1"/>
    <xf numFmtId="43" fontId="0" fillId="19" borderId="53" xfId="3" applyFont="1" applyFill="1" applyBorder="1" applyAlignment="1">
      <alignment horizontal="right" vertical="top" wrapText="1"/>
    </xf>
    <xf numFmtId="0" fontId="0" fillId="19" borderId="65" xfId="0" applyFill="1" applyBorder="1"/>
    <xf numFmtId="43" fontId="0" fillId="19" borderId="70" xfId="3" applyFont="1" applyFill="1" applyBorder="1" applyAlignment="1">
      <alignment horizontal="right" vertical="top" wrapText="1"/>
    </xf>
    <xf numFmtId="0" fontId="0" fillId="19" borderId="53" xfId="0" applyFill="1" applyBorder="1"/>
    <xf numFmtId="0" fontId="11" fillId="19" borderId="15" xfId="4" applyFill="1" applyBorder="1" applyAlignment="1">
      <alignment vertical="center"/>
    </xf>
    <xf numFmtId="0" fontId="11" fillId="19" borderId="20" xfId="4" applyFill="1" applyBorder="1" applyAlignment="1">
      <alignment horizontal="right" vertical="center"/>
    </xf>
    <xf numFmtId="0" fontId="11" fillId="19" borderId="23" xfId="4" applyFill="1" applyBorder="1" applyAlignment="1">
      <alignment horizontal="right" vertical="center"/>
    </xf>
    <xf numFmtId="2" fontId="11" fillId="19" borderId="36" xfId="4" applyNumberFormat="1" applyFill="1" applyBorder="1" applyAlignment="1">
      <alignment vertical="center"/>
    </xf>
    <xf numFmtId="2" fontId="11" fillId="19" borderId="40" xfId="4" applyNumberFormat="1" applyFill="1" applyBorder="1" applyAlignment="1">
      <alignment vertical="center"/>
    </xf>
    <xf numFmtId="2" fontId="11" fillId="19" borderId="44" xfId="4" applyNumberFormat="1" applyFill="1" applyBorder="1" applyAlignment="1">
      <alignment vertical="center"/>
    </xf>
    <xf numFmtId="2" fontId="11" fillId="0" borderId="40" xfId="4" applyNumberFormat="1" applyBorder="1" applyAlignment="1">
      <alignment vertical="center"/>
    </xf>
    <xf numFmtId="2" fontId="11" fillId="0" borderId="44" xfId="4" applyNumberFormat="1" applyBorder="1" applyAlignment="1">
      <alignment vertical="center"/>
    </xf>
    <xf numFmtId="0" fontId="11" fillId="0" borderId="44" xfId="4" applyBorder="1" applyAlignment="1">
      <alignment vertical="center"/>
    </xf>
    <xf numFmtId="2" fontId="11" fillId="0" borderId="48" xfId="4" applyNumberFormat="1" applyBorder="1" applyAlignment="1">
      <alignment vertical="center"/>
    </xf>
    <xf numFmtId="9" fontId="0" fillId="19" borderId="68" xfId="1" applyFont="1" applyFill="1" applyBorder="1"/>
    <xf numFmtId="9" fontId="10" fillId="0" borderId="68" xfId="1" applyFont="1" applyBorder="1" applyAlignment="1">
      <alignment wrapText="1"/>
    </xf>
    <xf numFmtId="0" fontId="10" fillId="0" borderId="5" xfId="0" applyFont="1" applyBorder="1" applyAlignment="1">
      <alignment wrapText="1"/>
    </xf>
    <xf numFmtId="9" fontId="10" fillId="0" borderId="5" xfId="1" applyFont="1" applyFill="1" applyBorder="1"/>
    <xf numFmtId="9" fontId="8" fillId="19" borderId="68" xfId="1" applyFont="1" applyFill="1" applyBorder="1"/>
    <xf numFmtId="9" fontId="30" fillId="19" borderId="68" xfId="1" applyFont="1" applyFill="1" applyBorder="1"/>
    <xf numFmtId="9" fontId="30" fillId="19" borderId="5" xfId="1" applyFont="1" applyFill="1" applyBorder="1"/>
    <xf numFmtId="9" fontId="0" fillId="19" borderId="5" xfId="1" applyFont="1" applyFill="1" applyBorder="1"/>
    <xf numFmtId="9" fontId="30" fillId="19" borderId="5" xfId="0" applyNumberFormat="1" applyFont="1" applyFill="1" applyBorder="1"/>
    <xf numFmtId="9" fontId="0" fillId="19" borderId="65" xfId="1" applyFont="1" applyFill="1" applyBorder="1"/>
    <xf numFmtId="9" fontId="0" fillId="19" borderId="67" xfId="1" applyFont="1" applyFill="1" applyBorder="1"/>
    <xf numFmtId="165" fontId="0" fillId="19" borderId="62" xfId="2" applyNumberFormat="1" applyFont="1" applyFill="1" applyBorder="1"/>
    <xf numFmtId="165" fontId="0" fillId="19" borderId="68" xfId="2" applyNumberFormat="1" applyFont="1" applyFill="1" applyBorder="1"/>
    <xf numFmtId="177" fontId="0" fillId="19" borderId="68" xfId="2" applyNumberFormat="1" applyFont="1" applyFill="1" applyBorder="1"/>
    <xf numFmtId="178" fontId="0" fillId="19" borderId="68" xfId="2" applyNumberFormat="1" applyFont="1" applyFill="1" applyBorder="1"/>
    <xf numFmtId="165" fontId="0" fillId="19" borderId="81" xfId="2" applyNumberFormat="1" applyFont="1" applyFill="1" applyBorder="1"/>
    <xf numFmtId="3" fontId="41" fillId="19" borderId="0" xfId="0" applyNumberFormat="1" applyFont="1" applyFill="1" applyProtection="1">
      <protection locked="0"/>
    </xf>
    <xf numFmtId="0" fontId="2" fillId="19" borderId="0" xfId="0" applyFont="1" applyFill="1" applyProtection="1">
      <protection locked="0"/>
    </xf>
    <xf numFmtId="0" fontId="42" fillId="19" borderId="0" xfId="0" applyFont="1" applyFill="1" applyProtection="1">
      <protection locked="0"/>
    </xf>
    <xf numFmtId="0" fontId="41" fillId="19" borderId="0" xfId="0" applyFont="1" applyFill="1" applyAlignment="1" applyProtection="1">
      <alignment horizontal="left"/>
      <protection locked="0"/>
    </xf>
    <xf numFmtId="0" fontId="42" fillId="19" borderId="0" xfId="2" applyNumberFormat="1" applyFont="1" applyFill="1" applyBorder="1" applyAlignment="1" applyProtection="1">
      <protection locked="0"/>
    </xf>
    <xf numFmtId="3" fontId="41" fillId="19" borderId="1" xfId="0" applyNumberFormat="1" applyFont="1" applyFill="1" applyBorder="1" applyProtection="1">
      <protection locked="0"/>
    </xf>
    <xf numFmtId="0" fontId="41" fillId="19" borderId="0" xfId="0" applyFont="1" applyFill="1" applyAlignment="1" applyProtection="1">
      <alignment horizontal="right"/>
      <protection locked="0"/>
    </xf>
    <xf numFmtId="0" fontId="41" fillId="19" borderId="0" xfId="2" applyNumberFormat="1" applyFont="1" applyFill="1" applyBorder="1" applyAlignment="1" applyProtection="1">
      <protection locked="0"/>
    </xf>
    <xf numFmtId="0" fontId="30" fillId="0" borderId="73" xfId="0" applyFont="1" applyBorder="1"/>
    <xf numFmtId="0" fontId="18" fillId="10" borderId="0" xfId="0" applyFont="1" applyFill="1"/>
    <xf numFmtId="187" fontId="0" fillId="0" borderId="10" xfId="0" applyNumberFormat="1" applyBorder="1"/>
    <xf numFmtId="187" fontId="0" fillId="0" borderId="26" xfId="0" applyNumberFormat="1" applyBorder="1"/>
    <xf numFmtId="187" fontId="0" fillId="0" borderId="0" xfId="0" applyNumberFormat="1"/>
    <xf numFmtId="187" fontId="0" fillId="19" borderId="10" xfId="0" applyNumberFormat="1" applyFill="1" applyBorder="1"/>
    <xf numFmtId="187" fontId="0" fillId="19" borderId="26" xfId="0" applyNumberFormat="1" applyFill="1" applyBorder="1"/>
    <xf numFmtId="187" fontId="0" fillId="19" borderId="0" xfId="0" applyNumberFormat="1" applyFill="1"/>
    <xf numFmtId="42" fontId="0" fillId="0" borderId="10" xfId="0" applyNumberFormat="1" applyBorder="1"/>
    <xf numFmtId="42" fontId="0" fillId="0" borderId="26" xfId="0" applyNumberFormat="1" applyBorder="1"/>
    <xf numFmtId="42" fontId="0" fillId="0" borderId="0" xfId="0" applyNumberFormat="1"/>
    <xf numFmtId="2" fontId="45" fillId="0" borderId="0" xfId="1" applyNumberFormat="1" applyFont="1"/>
    <xf numFmtId="4" fontId="45" fillId="0" borderId="0" xfId="0" applyNumberFormat="1" applyFont="1"/>
    <xf numFmtId="167" fontId="11" fillId="0" borderId="0" xfId="1" applyNumberFormat="1" applyFont="1" applyFill="1" applyBorder="1"/>
    <xf numFmtId="0" fontId="11" fillId="0" borderId="0" xfId="1" applyNumberFormat="1" applyFont="1" applyFill="1" applyBorder="1"/>
    <xf numFmtId="188" fontId="11" fillId="0" borderId="0" xfId="1" applyNumberFormat="1" applyFont="1" applyFill="1" applyBorder="1"/>
    <xf numFmtId="0" fontId="0" fillId="10" borderId="9" xfId="0" applyFill="1" applyBorder="1" applyAlignment="1">
      <alignment vertical="top" wrapText="1"/>
    </xf>
    <xf numFmtId="0" fontId="0" fillId="10" borderId="10" xfId="0" applyFill="1" applyBorder="1" applyAlignment="1">
      <alignment vertical="top" wrapText="1"/>
    </xf>
    <xf numFmtId="0" fontId="0" fillId="10" borderId="11" xfId="0" applyFill="1" applyBorder="1" applyAlignment="1">
      <alignment vertical="top" wrapText="1"/>
    </xf>
    <xf numFmtId="0" fontId="0" fillId="10" borderId="18" xfId="0" applyFill="1" applyBorder="1" applyAlignment="1">
      <alignment vertical="top" wrapText="1"/>
    </xf>
    <xf numFmtId="0" fontId="0" fillId="10" borderId="0" xfId="0" applyFill="1" applyAlignment="1">
      <alignment vertical="top" wrapText="1"/>
    </xf>
    <xf numFmtId="0" fontId="0" fillId="10" borderId="17" xfId="0" applyFill="1" applyBorder="1" applyAlignment="1">
      <alignment vertical="top" wrapText="1"/>
    </xf>
    <xf numFmtId="0" fontId="0" fillId="10" borderId="25" xfId="0" applyFill="1" applyBorder="1" applyAlignment="1">
      <alignment vertical="top" wrapText="1"/>
    </xf>
    <xf numFmtId="0" fontId="0" fillId="10" borderId="26" xfId="0" applyFill="1" applyBorder="1" applyAlignment="1">
      <alignment vertical="top" wrapText="1"/>
    </xf>
    <xf numFmtId="0" fontId="0" fillId="10" borderId="27" xfId="0" applyFill="1" applyBorder="1" applyAlignment="1">
      <alignment vertical="top" wrapText="1"/>
    </xf>
    <xf numFmtId="0" fontId="3" fillId="2" borderId="5"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10" fillId="0" borderId="28" xfId="0" applyFont="1" applyBorder="1" applyAlignment="1">
      <alignment horizontal="center" vertical="center" wrapText="1"/>
    </xf>
    <xf numFmtId="0" fontId="14" fillId="3" borderId="38" xfId="4" applyFont="1" applyFill="1" applyBorder="1" applyAlignment="1">
      <alignment horizontal="left" vertical="center"/>
    </xf>
    <xf numFmtId="3" fontId="0" fillId="0" borderId="0" xfId="0" applyNumberFormat="1" applyAlignment="1">
      <alignment vertical="top" wrapText="1"/>
    </xf>
    <xf numFmtId="2" fontId="11" fillId="19" borderId="20" xfId="4" applyNumberFormat="1" applyFill="1" applyBorder="1" applyAlignment="1">
      <alignment vertical="center"/>
    </xf>
    <xf numFmtId="189" fontId="0" fillId="0" borderId="0" xfId="0" applyNumberFormat="1" applyAlignment="1">
      <alignment vertical="top" wrapText="1"/>
    </xf>
    <xf numFmtId="175" fontId="25" fillId="0" borderId="53" xfId="0" applyNumberFormat="1" applyFont="1" applyBorder="1"/>
    <xf numFmtId="179" fontId="0" fillId="0" borderId="6" xfId="0" applyNumberFormat="1" applyBorder="1" applyAlignment="1">
      <alignment vertical="top" wrapText="1"/>
    </xf>
    <xf numFmtId="179" fontId="0" fillId="0" borderId="6" xfId="0" applyNumberFormat="1" applyBorder="1"/>
    <xf numFmtId="190" fontId="0" fillId="0" borderId="68" xfId="0" applyNumberFormat="1" applyBorder="1" applyAlignment="1">
      <alignment horizontal="right" vertical="center"/>
    </xf>
    <xf numFmtId="0" fontId="10" fillId="0" borderId="0" xfId="0" applyFont="1" applyAlignment="1">
      <alignment vertical="center" wrapText="1"/>
    </xf>
    <xf numFmtId="191" fontId="0" fillId="0" borderId="53" xfId="0" applyNumberFormat="1" applyBorder="1"/>
    <xf numFmtId="0" fontId="47" fillId="0" borderId="53" xfId="0" applyFont="1" applyBorder="1" applyAlignment="1">
      <alignment wrapText="1"/>
    </xf>
    <xf numFmtId="191" fontId="0" fillId="0" borderId="53" xfId="0" applyNumberFormat="1" applyBorder="1" applyAlignment="1">
      <alignment wrapText="1"/>
    </xf>
    <xf numFmtId="11" fontId="47" fillId="0" borderId="53" xfId="0" applyNumberFormat="1" applyFont="1" applyBorder="1" applyAlignment="1">
      <alignment wrapText="1"/>
    </xf>
    <xf numFmtId="0" fontId="39" fillId="0" borderId="53" xfId="0" applyFont="1" applyBorder="1" applyAlignment="1">
      <alignment vertical="center" wrapText="1"/>
    </xf>
    <xf numFmtId="0" fontId="47" fillId="0" borderId="53" xfId="0" applyFont="1" applyBorder="1" applyAlignment="1">
      <alignment horizontal="left" wrapText="1"/>
    </xf>
    <xf numFmtId="0" fontId="0" fillId="0" borderId="53" xfId="0" applyBorder="1" applyAlignment="1">
      <alignment vertical="center" wrapText="1"/>
    </xf>
    <xf numFmtId="9" fontId="0" fillId="0" borderId="6" xfId="1" applyFont="1" applyBorder="1"/>
    <xf numFmtId="9" fontId="0" fillId="0" borderId="8" xfId="1" applyFont="1" applyBorder="1"/>
    <xf numFmtId="9" fontId="0" fillId="0" borderId="6" xfId="1" applyFont="1" applyFill="1" applyBorder="1" applyAlignment="1">
      <alignment wrapText="1"/>
    </xf>
    <xf numFmtId="9" fontId="0" fillId="0" borderId="6" xfId="1" applyFont="1" applyFill="1" applyBorder="1"/>
    <xf numFmtId="180" fontId="0" fillId="0" borderId="11" xfId="3" applyNumberFormat="1" applyFont="1" applyFill="1" applyBorder="1" applyAlignment="1">
      <alignment horizontal="center" vertical="center"/>
    </xf>
    <xf numFmtId="180" fontId="0" fillId="0" borderId="18" xfId="3" applyNumberFormat="1" applyFont="1" applyFill="1" applyBorder="1" applyAlignment="1">
      <alignment horizontal="center" vertical="center"/>
    </xf>
    <xf numFmtId="180" fontId="0" fillId="0" borderId="17" xfId="3" applyNumberFormat="1" applyFont="1" applyFill="1" applyBorder="1" applyAlignment="1">
      <alignment horizontal="center" vertical="center"/>
    </xf>
    <xf numFmtId="180" fontId="0" fillId="0" borderId="25" xfId="3" applyNumberFormat="1" applyFont="1" applyFill="1" applyBorder="1" applyAlignment="1">
      <alignment horizontal="center" vertical="center"/>
    </xf>
    <xf numFmtId="180" fontId="0" fillId="0" borderId="27" xfId="3" applyNumberFormat="1" applyFont="1" applyFill="1" applyBorder="1" applyAlignment="1">
      <alignment horizontal="center" vertical="center"/>
    </xf>
    <xf numFmtId="180" fontId="0" fillId="0" borderId="27" xfId="3" applyNumberFormat="1" applyFont="1" applyFill="1" applyBorder="1" applyAlignment="1">
      <alignment horizontal="center"/>
    </xf>
    <xf numFmtId="180" fontId="0" fillId="0" borderId="9" xfId="3" applyNumberFormat="1" applyFont="1" applyFill="1" applyBorder="1" applyAlignment="1">
      <alignment horizontal="center"/>
    </xf>
    <xf numFmtId="180" fontId="0" fillId="0" borderId="11" xfId="3" applyNumberFormat="1" applyFont="1" applyFill="1" applyBorder="1" applyAlignment="1">
      <alignment horizontal="center"/>
    </xf>
    <xf numFmtId="180" fontId="0" fillId="0" borderId="18" xfId="3" applyNumberFormat="1" applyFont="1" applyFill="1" applyBorder="1" applyAlignment="1">
      <alignment horizontal="center"/>
    </xf>
    <xf numFmtId="180" fontId="0" fillId="0" borderId="17" xfId="3" applyNumberFormat="1" applyFont="1" applyFill="1" applyBorder="1" applyAlignment="1">
      <alignment horizontal="center"/>
    </xf>
    <xf numFmtId="180" fontId="0" fillId="0" borderId="25" xfId="3" applyNumberFormat="1" applyFont="1" applyFill="1" applyBorder="1" applyAlignment="1">
      <alignment horizontal="center"/>
    </xf>
    <xf numFmtId="0" fontId="0" fillId="19" borderId="0" xfId="0" applyFill="1" applyBorder="1"/>
    <xf numFmtId="0" fontId="0" fillId="0" borderId="0" xfId="0" applyFill="1"/>
    <xf numFmtId="1" fontId="6" fillId="10" borderId="0" xfId="0" applyNumberFormat="1" applyFont="1" applyFill="1" applyAlignment="1" applyProtection="1">
      <alignment horizontal="right"/>
      <protection locked="0"/>
    </xf>
    <xf numFmtId="1" fontId="0" fillId="0" borderId="65" xfId="0" applyNumberFormat="1" applyBorder="1" applyAlignment="1">
      <alignment horizontal="right"/>
    </xf>
    <xf numFmtId="0" fontId="48" fillId="0" borderId="0" xfId="0" applyFont="1" applyAlignment="1">
      <alignment horizontal="left" vertical="center"/>
    </xf>
    <xf numFmtId="2" fontId="6" fillId="10" borderId="0" xfId="2" applyNumberFormat="1" applyFont="1" applyFill="1" applyBorder="1" applyAlignment="1" applyProtection="1">
      <protection locked="0"/>
    </xf>
    <xf numFmtId="2" fontId="6" fillId="10" borderId="0" xfId="2" applyNumberFormat="1" applyFont="1" applyFill="1" applyBorder="1" applyAlignment="1" applyProtection="1">
      <alignment horizontal="right"/>
      <protection locked="0"/>
    </xf>
    <xf numFmtId="2" fontId="6" fillId="3" borderId="0" xfId="2" applyNumberFormat="1" applyFont="1" applyFill="1" applyBorder="1" applyAlignment="1" applyProtection="1">
      <protection locked="0"/>
    </xf>
    <xf numFmtId="1" fontId="6" fillId="3" borderId="0" xfId="0" applyNumberFormat="1" applyFont="1" applyFill="1" applyAlignment="1" applyProtection="1">
      <alignment horizontal="right"/>
      <protection locked="0"/>
    </xf>
    <xf numFmtId="179" fontId="0" fillId="3" borderId="68" xfId="3" applyNumberFormat="1" applyFont="1" applyFill="1" applyBorder="1"/>
    <xf numFmtId="0" fontId="0" fillId="6" borderId="0" xfId="0" applyFill="1"/>
    <xf numFmtId="0" fontId="20" fillId="6" borderId="0" xfId="0" applyFont="1" applyFill="1"/>
    <xf numFmtId="0" fontId="0" fillId="6" borderId="1" xfId="0" applyFill="1" applyBorder="1"/>
    <xf numFmtId="0" fontId="0" fillId="6" borderId="59" xfId="0" applyFill="1" applyBorder="1"/>
    <xf numFmtId="10" fontId="0" fillId="0" borderId="0" xfId="1" applyNumberFormat="1" applyFont="1" applyBorder="1"/>
    <xf numFmtId="164" fontId="0" fillId="0" borderId="18" xfId="0" applyNumberFormat="1" applyBorder="1"/>
    <xf numFmtId="3" fontId="0" fillId="0" borderId="18" xfId="0" applyNumberFormat="1" applyBorder="1"/>
    <xf numFmtId="3" fontId="0" fillId="0" borderId="0" xfId="0" applyNumberFormat="1" applyBorder="1"/>
    <xf numFmtId="3" fontId="0" fillId="0" borderId="17" xfId="0" applyNumberFormat="1" applyBorder="1"/>
    <xf numFmtId="0" fontId="0" fillId="0" borderId="0" xfId="0" applyBorder="1"/>
    <xf numFmtId="10" fontId="0" fillId="0" borderId="18" xfId="1" applyNumberFormat="1" applyFont="1" applyBorder="1"/>
    <xf numFmtId="10" fontId="0" fillId="0" borderId="17" xfId="1" applyNumberFormat="1" applyFont="1" applyBorder="1"/>
    <xf numFmtId="0" fontId="0" fillId="0" borderId="98" xfId="0" applyBorder="1" applyAlignment="1"/>
    <xf numFmtId="0" fontId="0" fillId="0" borderId="99" xfId="0" applyBorder="1" applyAlignment="1"/>
    <xf numFmtId="164" fontId="0" fillId="0" borderId="98" xfId="0" applyNumberFormat="1" applyBorder="1"/>
    <xf numFmtId="3" fontId="0" fillId="0" borderId="98" xfId="0" applyNumberFormat="1" applyBorder="1"/>
    <xf numFmtId="10" fontId="0" fillId="0" borderId="98" xfId="1" applyNumberFormat="1" applyFont="1" applyBorder="1"/>
    <xf numFmtId="164" fontId="0" fillId="3" borderId="99" xfId="0" applyNumberFormat="1" applyFill="1" applyBorder="1"/>
    <xf numFmtId="0" fontId="0" fillId="3" borderId="98" xfId="0" applyNumberFormat="1" applyFill="1" applyBorder="1"/>
    <xf numFmtId="0" fontId="0" fillId="0" borderId="0" xfId="0" applyFont="1"/>
    <xf numFmtId="0" fontId="0" fillId="0" borderId="0" xfId="0" quotePrefix="1" applyAlignment="1">
      <alignment horizontal="right"/>
    </xf>
    <xf numFmtId="0" fontId="0" fillId="3" borderId="18" xfId="0" applyNumberFormat="1" applyFill="1" applyBorder="1"/>
    <xf numFmtId="164" fontId="0" fillId="0" borderId="18" xfId="0" applyNumberFormat="1" applyFill="1" applyBorder="1"/>
    <xf numFmtId="164" fontId="0" fillId="3" borderId="25" xfId="0" applyNumberFormat="1" applyFill="1" applyBorder="1"/>
    <xf numFmtId="0" fontId="0" fillId="3" borderId="17" xfId="0" applyNumberFormat="1" applyFill="1" applyBorder="1"/>
    <xf numFmtId="0" fontId="0" fillId="0" borderId="98" xfId="0" quotePrefix="1" applyBorder="1" applyAlignment="1">
      <alignment horizontal="right"/>
    </xf>
    <xf numFmtId="173" fontId="0" fillId="3" borderId="98" xfId="0" applyNumberFormat="1" applyFill="1" applyBorder="1"/>
    <xf numFmtId="173" fontId="0" fillId="3" borderId="18" xfId="0" applyNumberFormat="1" applyFill="1" applyBorder="1"/>
    <xf numFmtId="173" fontId="0" fillId="3" borderId="18" xfId="3" applyNumberFormat="1" applyFont="1" applyFill="1" applyBorder="1"/>
    <xf numFmtId="173" fontId="0" fillId="3" borderId="98" xfId="3" applyNumberFormat="1" applyFont="1" applyFill="1" applyBorder="1"/>
    <xf numFmtId="173" fontId="0" fillId="3" borderId="98" xfId="0" applyNumberFormat="1" applyFill="1" applyBorder="1" applyAlignment="1">
      <alignment horizontal="right"/>
    </xf>
    <xf numFmtId="170" fontId="0" fillId="3" borderId="98" xfId="3" applyNumberFormat="1" applyFont="1" applyFill="1" applyBorder="1"/>
    <xf numFmtId="170" fontId="0" fillId="3" borderId="17" xfId="3" applyNumberFormat="1" applyFont="1" applyFill="1" applyBorder="1"/>
    <xf numFmtId="173" fontId="0" fillId="3" borderId="99" xfId="0" applyNumberFormat="1" applyFill="1" applyBorder="1"/>
    <xf numFmtId="169" fontId="0" fillId="0" borderId="98" xfId="3" applyNumberFormat="1" applyFont="1" applyBorder="1"/>
    <xf numFmtId="0" fontId="0" fillId="0" borderId="0" xfId="0" quotePrefix="1" applyFill="1"/>
    <xf numFmtId="169" fontId="0" fillId="0" borderId="98" xfId="3" applyNumberFormat="1" applyFont="1" applyFill="1" applyBorder="1"/>
    <xf numFmtId="1" fontId="0" fillId="0" borderId="98" xfId="0" applyNumberFormat="1" applyBorder="1"/>
    <xf numFmtId="1" fontId="0" fillId="0" borderId="17" xfId="0" applyNumberFormat="1" applyBorder="1"/>
    <xf numFmtId="1" fontId="0" fillId="0" borderId="98" xfId="0" applyNumberFormat="1" applyBorder="1" applyAlignment="1">
      <alignment horizontal="right"/>
    </xf>
    <xf numFmtId="1" fontId="0" fillId="0" borderId="98" xfId="3" applyNumberFormat="1" applyFont="1" applyBorder="1" applyAlignment="1"/>
    <xf numFmtId="1" fontId="0" fillId="0" borderId="17" xfId="3" applyNumberFormat="1" applyFont="1" applyBorder="1" applyAlignment="1"/>
    <xf numFmtId="173" fontId="0" fillId="3" borderId="0" xfId="0" applyNumberFormat="1" applyFill="1" applyBorder="1"/>
    <xf numFmtId="173" fontId="0" fillId="3" borderId="17" xfId="0" applyNumberFormat="1" applyFill="1" applyBorder="1"/>
    <xf numFmtId="1" fontId="0" fillId="0" borderId="17" xfId="0" applyNumberFormat="1" applyBorder="1" applyAlignment="1">
      <alignment horizontal="right"/>
    </xf>
    <xf numFmtId="169" fontId="0" fillId="0" borderId="17" xfId="3" applyNumberFormat="1" applyFont="1" applyFill="1" applyBorder="1"/>
    <xf numFmtId="173" fontId="0" fillId="3" borderId="17" xfId="0" applyNumberFormat="1" applyFill="1" applyBorder="1" applyAlignment="1">
      <alignment horizontal="right"/>
    </xf>
    <xf numFmtId="173" fontId="0" fillId="3" borderId="27" xfId="0" applyNumberFormat="1" applyFill="1" applyBorder="1"/>
    <xf numFmtId="1" fontId="0" fillId="0" borderId="0" xfId="0" applyNumberFormat="1" applyBorder="1"/>
    <xf numFmtId="1" fontId="0" fillId="0" borderId="0" xfId="0" applyNumberFormat="1" applyBorder="1" applyAlignment="1">
      <alignment horizontal="right"/>
    </xf>
    <xf numFmtId="1" fontId="0" fillId="0" borderId="0" xfId="3" applyNumberFormat="1" applyFont="1" applyBorder="1" applyAlignment="1"/>
    <xf numFmtId="170" fontId="0" fillId="3" borderId="0" xfId="3" applyNumberFormat="1" applyFont="1" applyFill="1" applyBorder="1"/>
    <xf numFmtId="0" fontId="0" fillId="3" borderId="0" xfId="0" applyNumberFormat="1" applyFill="1" applyBorder="1"/>
    <xf numFmtId="164" fontId="0" fillId="0" borderId="0" xfId="0" applyNumberFormat="1" applyFill="1" applyBorder="1"/>
    <xf numFmtId="173" fontId="0" fillId="3" borderId="0" xfId="0" applyNumberFormat="1" applyFill="1" applyBorder="1" applyAlignment="1">
      <alignment horizontal="right"/>
    </xf>
    <xf numFmtId="173" fontId="0" fillId="3" borderId="26" xfId="0" applyNumberFormat="1" applyFill="1" applyBorder="1"/>
    <xf numFmtId="0" fontId="19" fillId="0" borderId="9" xfId="0" applyFont="1" applyBorder="1" applyAlignment="1">
      <alignment horizontal="center"/>
    </xf>
    <xf numFmtId="0" fontId="19" fillId="0" borderId="97" xfId="0" applyFont="1" applyBorder="1" applyAlignment="1">
      <alignment horizontal="center"/>
    </xf>
    <xf numFmtId="0" fontId="19" fillId="0" borderId="10" xfId="0" applyFont="1" applyBorder="1" applyAlignment="1">
      <alignment horizontal="center"/>
    </xf>
    <xf numFmtId="0" fontId="19" fillId="0" borderId="11" xfId="0" applyFont="1" applyBorder="1" applyAlignment="1">
      <alignment horizontal="center"/>
    </xf>
    <xf numFmtId="0" fontId="0" fillId="6" borderId="1" xfId="0" applyFont="1" applyFill="1" applyBorder="1"/>
    <xf numFmtId="0" fontId="49" fillId="0" borderId="87" xfId="0" applyFont="1" applyBorder="1" applyAlignment="1">
      <alignment wrapText="1"/>
    </xf>
    <xf numFmtId="0" fontId="49" fillId="0" borderId="87" xfId="0" applyFont="1" applyBorder="1" applyAlignment="1">
      <alignment horizontal="left" wrapText="1"/>
    </xf>
    <xf numFmtId="14" fontId="0" fillId="0" borderId="0" xfId="0" applyNumberFormat="1" applyFill="1"/>
    <xf numFmtId="0" fontId="32" fillId="0" borderId="0" xfId="0" applyFont="1" applyFill="1" applyBorder="1"/>
    <xf numFmtId="165" fontId="0" fillId="0" borderId="62" xfId="2" applyNumberFormat="1" applyFont="1" applyFill="1" applyBorder="1"/>
    <xf numFmtId="44" fontId="0" fillId="0" borderId="68" xfId="2" applyFont="1" applyFill="1" applyBorder="1"/>
    <xf numFmtId="165" fontId="0" fillId="0" borderId="68" xfId="2" applyNumberFormat="1" applyFont="1" applyFill="1" applyBorder="1"/>
    <xf numFmtId="177" fontId="0" fillId="0" borderId="68" xfId="2" applyNumberFormat="1" applyFont="1" applyFill="1" applyBorder="1"/>
    <xf numFmtId="178" fontId="0" fillId="0" borderId="68" xfId="2" applyNumberFormat="1" applyFont="1" applyFill="1" applyBorder="1"/>
    <xf numFmtId="165" fontId="0" fillId="0" borderId="81" xfId="2" applyNumberFormat="1" applyFont="1" applyFill="1" applyBorder="1"/>
    <xf numFmtId="0" fontId="0" fillId="0" borderId="0" xfId="0" applyNumberFormat="1"/>
    <xf numFmtId="0" fontId="0" fillId="0" borderId="17" xfId="0" applyFill="1" applyBorder="1"/>
    <xf numFmtId="0" fontId="0" fillId="0" borderId="27" xfId="0" applyFill="1" applyBorder="1"/>
    <xf numFmtId="165" fontId="0" fillId="0" borderId="26" xfId="0" applyNumberFormat="1" applyFill="1" applyBorder="1"/>
    <xf numFmtId="165" fontId="0" fillId="0" borderId="0" xfId="0" applyNumberFormat="1" applyFill="1"/>
    <xf numFmtId="1" fontId="0" fillId="0" borderId="26" xfId="2" applyNumberFormat="1" applyFont="1" applyFill="1" applyBorder="1"/>
    <xf numFmtId="1" fontId="0" fillId="0" borderId="26" xfId="0" applyNumberFormat="1" applyFill="1" applyBorder="1"/>
    <xf numFmtId="175" fontId="0" fillId="0" borderId="53" xfId="0" applyNumberFormat="1" applyFill="1" applyBorder="1"/>
    <xf numFmtId="174" fontId="0" fillId="0" borderId="53" xfId="0" applyNumberFormat="1" applyFill="1" applyBorder="1"/>
    <xf numFmtId="2" fontId="0" fillId="0" borderId="53" xfId="0" applyNumberFormat="1" applyFill="1" applyBorder="1"/>
    <xf numFmtId="2" fontId="30" fillId="0" borderId="53" xfId="0" applyNumberFormat="1" applyFont="1" applyFill="1" applyBorder="1"/>
    <xf numFmtId="174" fontId="30" fillId="0" borderId="53" xfId="3" applyNumberFormat="1" applyFont="1" applyFill="1" applyBorder="1"/>
    <xf numFmtId="2" fontId="0" fillId="0" borderId="68" xfId="0" applyNumberFormat="1" applyFill="1" applyBorder="1"/>
    <xf numFmtId="1" fontId="0" fillId="0" borderId="53" xfId="0" applyNumberFormat="1" applyFill="1" applyBorder="1" applyAlignment="1">
      <alignment horizontal="right"/>
    </xf>
    <xf numFmtId="0" fontId="10" fillId="19" borderId="0" xfId="0" applyFont="1" applyFill="1"/>
    <xf numFmtId="44" fontId="0" fillId="19" borderId="68" xfId="2" applyFont="1" applyFill="1" applyBorder="1" applyProtection="1"/>
    <xf numFmtId="17" fontId="0" fillId="19" borderId="0" xfId="2" applyNumberFormat="1" applyFont="1" applyFill="1" applyBorder="1"/>
    <xf numFmtId="166" fontId="0" fillId="19" borderId="68" xfId="2" applyNumberFormat="1" applyFont="1" applyFill="1" applyBorder="1" applyProtection="1"/>
    <xf numFmtId="166" fontId="0" fillId="19" borderId="0" xfId="2" applyNumberFormat="1" applyFont="1" applyFill="1" applyBorder="1"/>
    <xf numFmtId="17" fontId="0" fillId="19" borderId="26" xfId="2" applyNumberFormat="1" applyFont="1" applyFill="1" applyBorder="1"/>
    <xf numFmtId="166" fontId="0" fillId="19" borderId="81" xfId="2" applyNumberFormat="1" applyFont="1" applyFill="1" applyBorder="1" applyProtection="1"/>
    <xf numFmtId="166" fontId="0" fillId="19" borderId="26" xfId="2" applyNumberFormat="1" applyFont="1" applyFill="1" applyBorder="1"/>
    <xf numFmtId="0" fontId="0" fillId="19" borderId="0" xfId="2" applyNumberFormat="1" applyFont="1" applyFill="1" applyBorder="1"/>
    <xf numFmtId="0" fontId="0" fillId="19" borderId="26" xfId="2" applyNumberFormat="1" applyFont="1" applyFill="1" applyBorder="1"/>
    <xf numFmtId="17" fontId="0" fillId="19" borderId="10" xfId="2" applyNumberFormat="1" applyFont="1" applyFill="1" applyBorder="1"/>
    <xf numFmtId="0" fontId="0" fillId="19" borderId="10" xfId="2" applyNumberFormat="1" applyFont="1" applyFill="1" applyBorder="1"/>
    <xf numFmtId="0" fontId="0" fillId="10" borderId="0" xfId="0" applyFill="1" applyAlignment="1">
      <alignment horizontal="left" vertical="top" wrapText="1"/>
    </xf>
    <xf numFmtId="0" fontId="46" fillId="10" borderId="0" xfId="6" applyFont="1" applyFill="1" applyBorder="1" applyAlignment="1">
      <alignment horizontal="center" vertical="center" wrapText="1"/>
    </xf>
    <xf numFmtId="0" fontId="3" fillId="2" borderId="78" xfId="0" applyFont="1" applyFill="1" applyBorder="1" applyAlignment="1" applyProtection="1">
      <alignment horizontal="center"/>
      <protection locked="0"/>
    </xf>
    <xf numFmtId="0" fontId="3" fillId="2" borderId="67"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43" fillId="2" borderId="0" xfId="0" applyFont="1" applyFill="1" applyAlignment="1" applyProtection="1">
      <alignment horizontal="center" vertical="center"/>
      <protection locked="0"/>
    </xf>
    <xf numFmtId="0" fontId="3" fillId="2" borderId="2" xfId="0" applyFont="1" applyFill="1" applyBorder="1" applyAlignment="1" applyProtection="1">
      <alignment horizontal="center" wrapText="1"/>
      <protection locked="0"/>
    </xf>
    <xf numFmtId="0" fontId="3" fillId="2" borderId="5"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1" fillId="2" borderId="0" xfId="0" applyFont="1" applyFill="1" applyAlignment="1" applyProtection="1">
      <alignment horizontal="center" vertical="center"/>
      <protection locked="0"/>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97" xfId="0" applyBorder="1" applyAlignment="1">
      <alignment horizontal="center" vertical="center" wrapText="1"/>
    </xf>
    <xf numFmtId="0" fontId="0" fillId="0" borderId="98" xfId="0" applyBorder="1" applyAlignment="1">
      <alignment horizontal="center" vertical="center"/>
    </xf>
    <xf numFmtId="0" fontId="0" fillId="0" borderId="99" xfId="0" applyBorder="1" applyAlignment="1">
      <alignment horizontal="center" vertical="center"/>
    </xf>
    <xf numFmtId="0" fontId="18" fillId="3" borderId="18" xfId="0" applyFont="1" applyFill="1" applyBorder="1" applyAlignment="1">
      <alignment horizontal="center"/>
    </xf>
    <xf numFmtId="0" fontId="18" fillId="3" borderId="17" xfId="0" applyFont="1" applyFill="1" applyBorder="1" applyAlignment="1">
      <alignment horizontal="center"/>
    </xf>
    <xf numFmtId="0" fontId="10" fillId="0" borderId="28" xfId="0" applyFont="1" applyBorder="1" applyAlignment="1">
      <alignment horizontal="center"/>
    </xf>
    <xf numFmtId="0" fontId="10" fillId="0" borderId="50" xfId="0" applyFont="1" applyBorder="1" applyAlignment="1">
      <alignment horizontal="center"/>
    </xf>
    <xf numFmtId="0" fontId="10" fillId="0" borderId="51" xfId="0" applyFont="1" applyBorder="1" applyAlignment="1">
      <alignment horizontal="center"/>
    </xf>
    <xf numFmtId="43" fontId="0" fillId="0" borderId="83" xfId="0" applyNumberFormat="1" applyBorder="1" applyAlignment="1">
      <alignment vertical="center"/>
    </xf>
    <xf numFmtId="43" fontId="0" fillId="0" borderId="84" xfId="0" applyNumberFormat="1" applyBorder="1" applyAlignment="1">
      <alignment vertical="center"/>
    </xf>
    <xf numFmtId="43" fontId="0" fillId="0" borderId="85" xfId="0" applyNumberFormat="1" applyBorder="1"/>
    <xf numFmtId="43" fontId="0" fillId="0" borderId="84" xfId="0" applyNumberFormat="1" applyBorder="1"/>
    <xf numFmtId="170" fontId="0" fillId="0" borderId="85" xfId="0" applyNumberFormat="1" applyBorder="1"/>
    <xf numFmtId="170" fontId="0" fillId="0" borderId="83" xfId="0" applyNumberFormat="1" applyBorder="1"/>
    <xf numFmtId="0" fontId="0" fillId="0" borderId="98" xfId="0" applyBorder="1" applyAlignment="1">
      <alignment horizontal="center" vertical="center" wrapText="1"/>
    </xf>
    <xf numFmtId="0" fontId="0" fillId="0" borderId="99" xfId="0" applyBorder="1" applyAlignment="1">
      <alignment horizontal="center" vertical="center" wrapText="1"/>
    </xf>
    <xf numFmtId="0" fontId="0" fillId="10" borderId="97" xfId="0" applyFill="1" applyBorder="1" applyAlignment="1">
      <alignment horizontal="center" vertical="center"/>
    </xf>
    <xf numFmtId="0" fontId="0" fillId="10" borderId="98" xfId="0" applyFill="1" applyBorder="1" applyAlignment="1">
      <alignment horizontal="center" vertical="center"/>
    </xf>
    <xf numFmtId="0" fontId="0" fillId="10" borderId="99" xfId="0" applyFill="1" applyBorder="1" applyAlignment="1">
      <alignment horizontal="center" vertical="center"/>
    </xf>
    <xf numFmtId="0" fontId="10" fillId="17" borderId="28" xfId="0" applyFont="1" applyFill="1" applyBorder="1" applyAlignment="1">
      <alignment horizontal="center"/>
    </xf>
    <xf numFmtId="0" fontId="10" fillId="17" borderId="50" xfId="0" applyFont="1" applyFill="1" applyBorder="1" applyAlignment="1">
      <alignment horizontal="center"/>
    </xf>
    <xf numFmtId="0" fontId="10" fillId="17" borderId="51" xfId="0" applyFont="1" applyFill="1" applyBorder="1" applyAlignment="1">
      <alignment horizontal="center"/>
    </xf>
    <xf numFmtId="0" fontId="10" fillId="0" borderId="28" xfId="0" applyFont="1" applyBorder="1" applyAlignment="1">
      <alignment horizontal="center" vertical="center" wrapText="1"/>
    </xf>
    <xf numFmtId="0" fontId="10" fillId="0" borderId="50" xfId="0" applyFont="1" applyBorder="1" applyAlignment="1">
      <alignment horizontal="center" vertical="center"/>
    </xf>
    <xf numFmtId="0" fontId="10" fillId="0" borderId="51" xfId="0" applyFont="1" applyBorder="1" applyAlignment="1">
      <alignment horizontal="center" vertical="center"/>
    </xf>
    <xf numFmtId="0" fontId="10" fillId="17" borderId="9" xfId="0" applyFont="1" applyFill="1" applyBorder="1" applyAlignment="1">
      <alignment horizontal="center"/>
    </xf>
    <xf numFmtId="0" fontId="10" fillId="17" borderId="10" xfId="0" applyFont="1" applyFill="1" applyBorder="1" applyAlignment="1">
      <alignment horizontal="center"/>
    </xf>
    <xf numFmtId="0" fontId="10" fillId="17" borderId="11" xfId="0" applyFont="1" applyFill="1" applyBorder="1" applyAlignment="1">
      <alignment horizontal="center"/>
    </xf>
    <xf numFmtId="0" fontId="10" fillId="0" borderId="58"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0" fontId="18" fillId="3" borderId="65" xfId="0" applyFont="1" applyFill="1" applyBorder="1" applyAlignment="1">
      <alignment horizontal="center"/>
    </xf>
    <xf numFmtId="0" fontId="10" fillId="0" borderId="89" xfId="0" applyFont="1" applyBorder="1" applyAlignment="1">
      <alignment horizontal="center" vertical="center" wrapText="1"/>
    </xf>
    <xf numFmtId="0" fontId="10" fillId="0" borderId="102" xfId="0" applyFont="1" applyBorder="1" applyAlignment="1">
      <alignment horizontal="center" vertical="center" wrapText="1"/>
    </xf>
    <xf numFmtId="0" fontId="10" fillId="0" borderId="80" xfId="0" applyFont="1" applyBorder="1" applyAlignment="1">
      <alignment horizontal="center"/>
    </xf>
    <xf numFmtId="0" fontId="10" fillId="0" borderId="103" xfId="0" applyFont="1" applyBorder="1" applyAlignment="1">
      <alignment horizontal="center"/>
    </xf>
    <xf numFmtId="0" fontId="10" fillId="0" borderId="79" xfId="0" applyFont="1" applyBorder="1" applyAlignment="1">
      <alignment horizontal="center"/>
    </xf>
    <xf numFmtId="0" fontId="10" fillId="0" borderId="9" xfId="0" applyFont="1" applyBorder="1" applyAlignment="1">
      <alignment horizontal="center" vertical="center"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18" fillId="3" borderId="66" xfId="0" applyFont="1" applyFill="1" applyBorder="1" applyAlignment="1">
      <alignment horizontal="center"/>
    </xf>
    <xf numFmtId="0" fontId="10" fillId="0" borderId="90" xfId="0" applyFont="1" applyBorder="1" applyAlignment="1">
      <alignment horizontal="center"/>
    </xf>
    <xf numFmtId="0" fontId="11" fillId="3" borderId="34" xfId="4" applyFill="1" applyBorder="1" applyAlignment="1">
      <alignment horizontal="left" vertical="center" wrapText="1"/>
    </xf>
    <xf numFmtId="0" fontId="11" fillId="3" borderId="38" xfId="4" applyFill="1" applyBorder="1" applyAlignment="1">
      <alignment horizontal="left" vertical="center" wrapText="1"/>
    </xf>
    <xf numFmtId="0" fontId="11" fillId="3" borderId="46" xfId="4" applyFill="1" applyBorder="1" applyAlignment="1">
      <alignment horizontal="left" vertical="center" wrapText="1"/>
    </xf>
    <xf numFmtId="0" fontId="11" fillId="3" borderId="42" xfId="4" applyFill="1" applyBorder="1" applyAlignment="1">
      <alignment horizontal="left" vertical="center" wrapText="1"/>
    </xf>
    <xf numFmtId="0" fontId="12" fillId="4" borderId="28" xfId="4" applyFont="1" applyFill="1" applyBorder="1" applyAlignment="1">
      <alignment horizontal="center" vertical="center"/>
    </xf>
    <xf numFmtId="0" fontId="12" fillId="4" borderId="50" xfId="4" applyFont="1" applyFill="1" applyBorder="1" applyAlignment="1">
      <alignment horizontal="center" vertical="center"/>
    </xf>
    <xf numFmtId="0" fontId="11" fillId="0" borderId="0" xfId="4" applyAlignment="1">
      <alignment horizontal="right"/>
    </xf>
    <xf numFmtId="0" fontId="12" fillId="4" borderId="9" xfId="4" applyFont="1" applyFill="1" applyBorder="1" applyAlignment="1">
      <alignment horizontal="center" vertical="center"/>
    </xf>
    <xf numFmtId="0" fontId="12" fillId="4" borderId="10" xfId="4" applyFont="1" applyFill="1" applyBorder="1" applyAlignment="1">
      <alignment horizontal="center" vertical="center"/>
    </xf>
    <xf numFmtId="0" fontId="12" fillId="4" borderId="11" xfId="4" applyFont="1" applyFill="1" applyBorder="1" applyAlignment="1">
      <alignment horizontal="center" vertical="center"/>
    </xf>
    <xf numFmtId="0" fontId="14" fillId="3" borderId="34" xfId="4" applyFont="1" applyFill="1" applyBorder="1" applyAlignment="1">
      <alignment horizontal="left" vertical="center" wrapText="1"/>
    </xf>
    <xf numFmtId="0" fontId="14" fillId="3" borderId="38" xfId="4" applyFont="1" applyFill="1" applyBorder="1" applyAlignment="1">
      <alignment horizontal="left" vertical="center"/>
    </xf>
    <xf numFmtId="0" fontId="0" fillId="0" borderId="78" xfId="0" applyBorder="1" applyAlignment="1">
      <alignment horizontal="center"/>
    </xf>
    <xf numFmtId="0" fontId="0" fillId="0" borderId="59" xfId="0" applyBorder="1" applyAlignment="1">
      <alignment horizontal="center"/>
    </xf>
    <xf numFmtId="0" fontId="0" fillId="0" borderId="67" xfId="0" applyBorder="1" applyAlignment="1">
      <alignment horizontal="center"/>
    </xf>
    <xf numFmtId="0" fontId="0" fillId="0" borderId="53" xfId="0" applyBorder="1" applyAlignment="1">
      <alignment horizontal="center"/>
    </xf>
    <xf numFmtId="0" fontId="0" fillId="0" borderId="9" xfId="0" applyBorder="1" applyAlignment="1">
      <alignment horizontal="center" vertical="center"/>
    </xf>
    <xf numFmtId="0" fontId="0" fillId="0" borderId="18"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wrapText="1"/>
    </xf>
    <xf numFmtId="0" fontId="0" fillId="0" borderId="18" xfId="0" applyBorder="1" applyAlignment="1">
      <alignment horizontal="center" vertical="center" wrapText="1"/>
    </xf>
    <xf numFmtId="0" fontId="0" fillId="0" borderId="25" xfId="0" applyBorder="1" applyAlignment="1">
      <alignment horizontal="center" vertical="center" wrapText="1"/>
    </xf>
    <xf numFmtId="0" fontId="0" fillId="0" borderId="53" xfId="0" applyBorder="1" applyAlignment="1">
      <alignment horizontal="center" wrapText="1"/>
    </xf>
    <xf numFmtId="0" fontId="0" fillId="0" borderId="73" xfId="0" applyBorder="1" applyAlignment="1">
      <alignment horizontal="left" vertical="top" wrapText="1"/>
    </xf>
    <xf numFmtId="0" fontId="0" fillId="0" borderId="73" xfId="0" applyBorder="1" applyAlignment="1">
      <alignment horizontal="left" vertical="top"/>
    </xf>
    <xf numFmtId="0" fontId="0" fillId="0" borderId="77" xfId="0" applyBorder="1" applyAlignment="1">
      <alignment horizontal="left" vertical="top"/>
    </xf>
    <xf numFmtId="0" fontId="0" fillId="0" borderId="61" xfId="0" applyBorder="1" applyAlignment="1">
      <alignment horizontal="left" vertical="top" wrapText="1"/>
    </xf>
    <xf numFmtId="0" fontId="0" fillId="0" borderId="77" xfId="0" applyBorder="1" applyAlignment="1">
      <alignment horizontal="left" vertical="top" wrapText="1"/>
    </xf>
    <xf numFmtId="0" fontId="0" fillId="0" borderId="89" xfId="0" applyBorder="1" applyAlignment="1">
      <alignment horizontal="left" vertical="top" wrapText="1"/>
    </xf>
    <xf numFmtId="2" fontId="0" fillId="0" borderId="89" xfId="0" applyNumberFormat="1" applyBorder="1" applyAlignment="1">
      <alignment horizontal="left" vertical="top"/>
    </xf>
    <xf numFmtId="2" fontId="0" fillId="0" borderId="73" xfId="0" applyNumberFormat="1" applyBorder="1" applyAlignment="1">
      <alignment horizontal="left" vertical="top"/>
    </xf>
    <xf numFmtId="2" fontId="0" fillId="0" borderId="77" xfId="0" applyNumberFormat="1" applyBorder="1" applyAlignment="1">
      <alignment horizontal="left" vertical="top"/>
    </xf>
    <xf numFmtId="0" fontId="0" fillId="3" borderId="0" xfId="0" applyFill="1" applyAlignment="1">
      <alignment horizontal="center"/>
    </xf>
    <xf numFmtId="0" fontId="0" fillId="3" borderId="26" xfId="0" applyFill="1" applyBorder="1" applyAlignment="1">
      <alignment horizontal="center"/>
    </xf>
    <xf numFmtId="43" fontId="0" fillId="3" borderId="0" xfId="3" applyFont="1" applyFill="1" applyBorder="1" applyAlignment="1">
      <alignment horizontal="center"/>
    </xf>
    <xf numFmtId="0" fontId="10" fillId="11" borderId="78" xfId="0" applyFont="1" applyFill="1" applyBorder="1" applyAlignment="1">
      <alignment horizontal="center"/>
    </xf>
    <xf numFmtId="0" fontId="10" fillId="11" borderId="59" xfId="0" applyFont="1" applyFill="1" applyBorder="1" applyAlignment="1">
      <alignment horizontal="center"/>
    </xf>
    <xf numFmtId="0" fontId="10" fillId="11" borderId="67" xfId="0" applyFont="1" applyFill="1" applyBorder="1" applyAlignment="1">
      <alignment horizontal="center"/>
    </xf>
    <xf numFmtId="0" fontId="0" fillId="18" borderId="0" xfId="0" applyFill="1" applyAlignment="1">
      <alignment horizontal="left" vertical="top" wrapText="1"/>
    </xf>
    <xf numFmtId="0" fontId="10" fillId="11" borderId="78" xfId="0" applyFont="1" applyFill="1" applyBorder="1" applyAlignment="1">
      <alignment horizontal="center" wrapText="1"/>
    </xf>
    <xf numFmtId="0" fontId="10" fillId="11" borderId="59" xfId="0" applyFont="1" applyFill="1" applyBorder="1" applyAlignment="1">
      <alignment horizontal="center" wrapText="1"/>
    </xf>
    <xf numFmtId="0" fontId="10" fillId="11" borderId="67" xfId="0" applyFont="1" applyFill="1" applyBorder="1" applyAlignment="1">
      <alignment horizontal="center" wrapText="1"/>
    </xf>
    <xf numFmtId="0" fontId="0" fillId="18" borderId="5" xfId="0" applyFill="1" applyBorder="1" applyAlignment="1">
      <alignment horizontal="center" vertical="center" wrapText="1"/>
    </xf>
    <xf numFmtId="0" fontId="0" fillId="18" borderId="0" xfId="0" applyFill="1" applyAlignment="1">
      <alignment horizontal="center" vertical="center" wrapText="1"/>
    </xf>
    <xf numFmtId="0" fontId="0" fillId="0" borderId="53" xfId="0" applyBorder="1" applyAlignment="1">
      <alignment horizontal="center" vertical="center" textRotation="90"/>
    </xf>
    <xf numFmtId="0" fontId="0" fillId="12" borderId="78" xfId="0" applyFill="1" applyBorder="1" applyAlignment="1">
      <alignment horizontal="center"/>
    </xf>
    <xf numFmtId="0" fontId="0" fillId="12" borderId="67" xfId="0" applyFill="1" applyBorder="1" applyAlignment="1">
      <alignment horizontal="center"/>
    </xf>
    <xf numFmtId="0" fontId="0" fillId="0" borderId="62" xfId="0" applyBorder="1" applyAlignment="1">
      <alignment horizontal="center" vertical="center" textRotation="90" wrapText="1"/>
    </xf>
    <xf numFmtId="0" fontId="0" fillId="0" borderId="68" xfId="0" applyBorder="1" applyAlignment="1">
      <alignment horizontal="center" vertical="center" textRotation="90" wrapText="1"/>
    </xf>
    <xf numFmtId="0" fontId="0" fillId="0" borderId="65" xfId="0" applyBorder="1" applyAlignment="1">
      <alignment horizontal="center" vertical="center" textRotation="90" wrapText="1"/>
    </xf>
    <xf numFmtId="0" fontId="0" fillId="0" borderId="53" xfId="0" applyBorder="1" applyAlignment="1">
      <alignment horizontal="center" vertical="center" textRotation="90" wrapText="1"/>
    </xf>
    <xf numFmtId="1" fontId="0" fillId="0" borderId="78" xfId="0" applyNumberFormat="1" applyBorder="1" applyAlignment="1">
      <alignment horizontal="center"/>
    </xf>
    <xf numFmtId="1" fontId="0" fillId="0" borderId="59" xfId="0" applyNumberFormat="1" applyBorder="1" applyAlignment="1">
      <alignment horizontal="center"/>
    </xf>
    <xf numFmtId="1" fontId="0" fillId="12" borderId="78" xfId="0" applyNumberFormat="1" applyFill="1" applyBorder="1" applyAlignment="1">
      <alignment horizontal="center"/>
    </xf>
    <xf numFmtId="1" fontId="0" fillId="12" borderId="67" xfId="0" applyNumberFormat="1" applyFill="1" applyBorder="1" applyAlignment="1">
      <alignment horizontal="center"/>
    </xf>
    <xf numFmtId="0" fontId="0" fillId="0" borderId="91" xfId="0" applyBorder="1" applyAlignment="1">
      <alignment horizontal="center"/>
    </xf>
    <xf numFmtId="0" fontId="0" fillId="0" borderId="92" xfId="0" applyBorder="1" applyAlignment="1">
      <alignment horizontal="center"/>
    </xf>
    <xf numFmtId="0" fontId="0" fillId="0" borderId="62" xfId="0" applyBorder="1" applyAlignment="1">
      <alignment horizontal="center" vertical="center" textRotation="90"/>
    </xf>
    <xf numFmtId="0" fontId="0" fillId="0" borderId="68" xfId="0" applyBorder="1" applyAlignment="1">
      <alignment horizontal="center" vertical="center" textRotation="90"/>
    </xf>
  </cellXfs>
  <cellStyles count="13">
    <cellStyle name="Gut" xfId="11" builtinId="26"/>
    <cellStyle name="Komma" xfId="3" builtinId="3"/>
    <cellStyle name="Link" xfId="6" builtinId="8"/>
    <cellStyle name="Prozent" xfId="1" builtinId="5"/>
    <cellStyle name="Prozent 2" xfId="5" xr:uid="{00000000-0005-0000-0000-000004000000}"/>
    <cellStyle name="Prozent 2 2" xfId="8" xr:uid="{00000000-0005-0000-0000-000005000000}"/>
    <cellStyle name="Schlecht" xfId="12" builtinId="27"/>
    <cellStyle name="Standard" xfId="0" builtinId="0"/>
    <cellStyle name="Standard 2" xfId="4" xr:uid="{00000000-0005-0000-0000-000008000000}"/>
    <cellStyle name="Standard 3" xfId="9" xr:uid="{00000000-0005-0000-0000-000009000000}"/>
    <cellStyle name="Überschrift 5" xfId="7" xr:uid="{00000000-0005-0000-0000-00000A000000}"/>
    <cellStyle name="Währung" xfId="2" builtinId="4"/>
    <cellStyle name="Währung 2" xfId="10" xr:uid="{00000000-0005-0000-0000-00000C000000}"/>
  </cellStyles>
  <dxfs count="0"/>
  <tableStyles count="0" defaultTableStyle="TableStyleMedium2" defaultPivotStyle="PivotStyleLight16"/>
  <colors>
    <mruColors>
      <color rgb="FF99B2BC"/>
      <color rgb="FFFA6E00"/>
      <color rgb="FF0C4E63"/>
      <color rgb="FFFFC000"/>
      <color rgb="FFAEBEB6"/>
      <color rgb="FF003F57"/>
      <color rgb="FFA9D08E"/>
      <color rgb="FFD35915"/>
      <color rgb="FF0B5D63"/>
      <color rgb="FF145F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Investment</a:t>
            </a:r>
          </a:p>
        </c:rich>
      </c:tx>
      <c:layout>
        <c:manualLayout>
          <c:xMode val="edge"/>
          <c:yMode val="edge"/>
          <c:x val="0.43150416797746233"/>
          <c:y val="2.6179089709762533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Evaluation!$O$4</c:f>
              <c:strCache>
                <c:ptCount val="1"/>
                <c:pt idx="0">
                  <c:v>Investments</c:v>
                </c:pt>
              </c:strCache>
            </c:strRef>
          </c:tx>
          <c:spPr>
            <a:solidFill>
              <a:srgbClr val="003F57"/>
            </a:solidFill>
            <a:ln>
              <a:noFill/>
            </a:ln>
            <a:effectLst/>
          </c:spPr>
          <c:invertIfNegative val="0"/>
          <c:dPt>
            <c:idx val="1"/>
            <c:invertIfNegative val="0"/>
            <c:bubble3D val="0"/>
            <c:spPr>
              <a:solidFill>
                <a:srgbClr val="FA6E00"/>
              </a:solidFill>
              <a:ln>
                <a:noFill/>
              </a:ln>
              <a:effectLst/>
            </c:spPr>
            <c:extLst>
              <c:ext xmlns:c16="http://schemas.microsoft.com/office/drawing/2014/chart" uri="{C3380CC4-5D6E-409C-BE32-E72D297353CC}">
                <c16:uniqueId val="{00000001-859F-4E72-B034-E1D93141185B}"/>
              </c:ext>
            </c:extLst>
          </c:dPt>
          <c:dPt>
            <c:idx val="2"/>
            <c:invertIfNegative val="0"/>
            <c:bubble3D val="0"/>
            <c:spPr>
              <a:solidFill>
                <a:srgbClr val="99B2BC"/>
              </a:solidFill>
              <a:ln>
                <a:noFill/>
              </a:ln>
              <a:effectLst/>
            </c:spPr>
            <c:extLst>
              <c:ext xmlns:c16="http://schemas.microsoft.com/office/drawing/2014/chart" uri="{C3380CC4-5D6E-409C-BE32-E72D297353CC}">
                <c16:uniqueId val="{00000002-859F-4E72-B034-E1D93141185B}"/>
              </c:ext>
            </c:extLst>
          </c:dPt>
          <c:cat>
            <c:strRef>
              <c:f>Evaluation!$P$3:$R$3</c:f>
              <c:strCache>
                <c:ptCount val="3"/>
                <c:pt idx="0">
                  <c:v>Route 1</c:v>
                </c:pt>
                <c:pt idx="1">
                  <c:v>Route 2</c:v>
                </c:pt>
                <c:pt idx="2">
                  <c:v>Route 3</c:v>
                </c:pt>
              </c:strCache>
            </c:strRef>
          </c:cat>
          <c:val>
            <c:numRef>
              <c:f>Evaluation!$P$4:$R$4</c:f>
              <c:numCache>
                <c:formatCode>#,##0</c:formatCode>
                <c:ptCount val="3"/>
                <c:pt idx="0">
                  <c:v>25560856.131334361</c:v>
                </c:pt>
                <c:pt idx="1">
                  <c:v>21579439.51041941</c:v>
                </c:pt>
                <c:pt idx="2" formatCode="_-* #,##0_-;\-* #,##0_-;_-* &quot;-&quot;??_-;_-@_-">
                  <c:v>21975503.026379831</c:v>
                </c:pt>
              </c:numCache>
            </c:numRef>
          </c:val>
          <c:extLst>
            <c:ext xmlns:c16="http://schemas.microsoft.com/office/drawing/2014/chart" uri="{C3380CC4-5D6E-409C-BE32-E72D297353CC}">
              <c16:uniqueId val="{00000000-859F-4E72-B034-E1D93141185B}"/>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dispUnits>
          <c:builtInUnit val="millions"/>
          <c:dispUnitsLbl>
            <c:layout>
              <c:manualLayout>
                <c:xMode val="edge"/>
                <c:yMode val="edge"/>
                <c:x val="4.9999982104516068E-2"/>
                <c:y val="0.38995513222349693"/>
              </c:manualLayout>
            </c:layout>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Investment [M€]</a:t>
                  </a:r>
                </a:p>
              </c:rich>
            </c:tx>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dispUnitsLbl>
        </c:dispUnits>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CO2 eq. per process step</a:t>
            </a:r>
            <a:endParaRPr lang="de-DE"/>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38400656411585804"/>
          <c:y val="6.1393235197624046E-2"/>
          <c:w val="0.56197391790071738"/>
          <c:h val="0.81534520459903748"/>
        </c:manualLayout>
      </c:layout>
      <c:barChart>
        <c:barDir val="bar"/>
        <c:grouping val="clustered"/>
        <c:varyColors val="0"/>
        <c:ser>
          <c:idx val="0"/>
          <c:order val="0"/>
          <c:tx>
            <c:strRef>
              <c:f>Evaluation!$E$69</c:f>
              <c:strCache>
                <c:ptCount val="1"/>
                <c:pt idx="0">
                  <c:v>Effort</c:v>
                </c:pt>
              </c:strCache>
            </c:strRef>
          </c:tx>
          <c:spPr>
            <a:solidFill>
              <a:srgbClr val="FA6E00"/>
            </a:solidFill>
            <a:ln w="9525">
              <a:solidFill>
                <a:srgbClr val="FA6E00"/>
              </a:solidFill>
            </a:ln>
            <a:effectLst/>
          </c:spPr>
          <c:invertIfNegative val="0"/>
          <c:cat>
            <c:strRef>
              <c:f>(Evaluation!$B$70:$B$74,Evaluation!$B$79:$B$87,Evaluation!$B$116:$B$129,Evaluation!$B$147:$B$149)</c:f>
              <c:strCache>
                <c:ptCount val="31"/>
                <c:pt idx="0">
                  <c:v>Transport</c:v>
                </c:pt>
                <c:pt idx="1">
                  <c:v>Storage</c:v>
                </c:pt>
                <c:pt idx="2">
                  <c:v>Storage (defective)</c:v>
                </c:pt>
                <c:pt idx="3">
                  <c:v>Unloading</c:v>
                </c:pt>
                <c:pt idx="4">
                  <c:v>Dismantling</c:v>
                </c:pt>
                <c:pt idx="5">
                  <c:v>Shredder 1</c:v>
                </c:pt>
                <c:pt idx="6">
                  <c:v>Drying</c:v>
                </c:pt>
                <c:pt idx="7">
                  <c:v>Exhaust gas treatment</c:v>
                </c:pt>
                <c:pt idx="8">
                  <c:v>Magnetic separation</c:v>
                </c:pt>
                <c:pt idx="9">
                  <c:v>Zig-zag sighting 1</c:v>
                </c:pt>
                <c:pt idx="10">
                  <c:v>Shredder 2</c:v>
                </c:pt>
                <c:pt idx="11">
                  <c:v>Sieving</c:v>
                </c:pt>
                <c:pt idx="12">
                  <c:v>Zig-zag sighting 2</c:v>
                </c:pt>
                <c:pt idx="13">
                  <c:v>Electrolyte recovery</c:v>
                </c:pt>
                <c:pt idx="14">
                  <c:v>Digestion</c:v>
                </c:pt>
                <c:pt idx="15">
                  <c:v>Leaching</c:v>
                </c:pt>
                <c:pt idx="16">
                  <c:v>Filtration, washing C</c:v>
                </c:pt>
                <c:pt idx="17">
                  <c:v>Cementation, filtration Cu</c:v>
                </c:pt>
                <c:pt idx="18">
                  <c:v>Oxidation</c:v>
                </c:pt>
                <c:pt idx="19">
                  <c:v>Precipitation, filtration Al + Fe</c:v>
                </c:pt>
                <c:pt idx="20">
                  <c:v>Extraction Co + Ni</c:v>
                </c:pt>
                <c:pt idx="21">
                  <c:v>Extraction Co</c:v>
                </c:pt>
                <c:pt idx="22">
                  <c:v>Crystallization Ni</c:v>
                </c:pt>
                <c:pt idx="23">
                  <c:v>Crystallization Co</c:v>
                </c:pt>
                <c:pt idx="24">
                  <c:v>Extraction Mn</c:v>
                </c:pt>
                <c:pt idx="25">
                  <c:v>Crystallization Mn</c:v>
                </c:pt>
                <c:pt idx="26">
                  <c:v>Concentration Li</c:v>
                </c:pt>
                <c:pt idx="27">
                  <c:v>Precipitation, Filtration Li</c:v>
                </c:pt>
                <c:pt idx="28">
                  <c:v>Fresh water</c:v>
                </c:pt>
                <c:pt idx="29">
                  <c:v>Wastewater (municipal)</c:v>
                </c:pt>
                <c:pt idx="30">
                  <c:v>Wastewater (industrial)</c:v>
                </c:pt>
              </c:strCache>
            </c:strRef>
          </c:cat>
          <c:val>
            <c:numRef>
              <c:f>(Evaluation!$E$70:$E$74,Evaluation!$E$79:$E$87,Evaluation!$E$116:$E$129,Evaluation!$E$147:$E$149)</c:f>
              <c:numCache>
                <c:formatCode>General</c:formatCode>
                <c:ptCount val="31"/>
                <c:pt idx="3" formatCode="_-* #,##0.000_-;\-* #,##0.000_-;_-* &quot;-&quot;??_-;_-@_-">
                  <c:v>0</c:v>
                </c:pt>
                <c:pt idx="4" formatCode="_-* #,##0.000_-;\-* #,##0.000_-;_-* &quot;-&quot;??_-;_-@_-">
                  <c:v>0</c:v>
                </c:pt>
                <c:pt idx="5" formatCode="_-* #,##0.000_-;\-* #,##0.000_-;_-* &quot;-&quot;??_-;_-@_-">
                  <c:v>3.6937918496208451E-3</c:v>
                </c:pt>
                <c:pt idx="6" formatCode="_-* #,##0.00000_-;\-* #,##0.00000_-;_-* &quot;-&quot;??_-;_-@_-">
                  <c:v>6.1764679786936131E-4</c:v>
                </c:pt>
                <c:pt idx="7" formatCode="_-* #,##0.00000_-;\-* #,##0.00000_-;_-* &quot;-&quot;??_-;_-@_-">
                  <c:v>2.1976433167064267E-3</c:v>
                </c:pt>
                <c:pt idx="8" formatCode="_-* #,##0.00000_-;\-* #,##0.00000_-;_-* &quot;-&quot;??_-;_-@_-">
                  <c:v>0</c:v>
                </c:pt>
                <c:pt idx="9" formatCode="_-* #,##0.00000_-;\-* #,##0.00000_-;_-* &quot;-&quot;??_-;_-@_-">
                  <c:v>1.2679240492033688E-2</c:v>
                </c:pt>
                <c:pt idx="10" formatCode="_-* #,##0.00000_-;\-* #,##0.00000_-;_-* &quot;-&quot;??_-;_-@_-">
                  <c:v>1.804291778290303E-4</c:v>
                </c:pt>
                <c:pt idx="11" formatCode="_-* #,##0.00000_-;\-* #,##0.00000_-;_-* &quot;-&quot;??_-;_-@_-">
                  <c:v>9.0214588914515131E-4</c:v>
                </c:pt>
                <c:pt idx="12" formatCode="_-* #,##0.00000_-;\-* #,##0.00000_-;_-* &quot;-&quot;??_-;_-@_-">
                  <c:v>0.40807768564343128</c:v>
                </c:pt>
                <c:pt idx="13" formatCode="_-* #,##0.00000_-;\-* #,##0.00000_-;_-* &quot;-&quot;??_-;_-@_-">
                  <c:v>0</c:v>
                </c:pt>
                <c:pt idx="14" formatCode="_-* #,##0.000_-;\-* #,##0.000_-;_-* &quot;-&quot;??_-;_-@_-">
                  <c:v>4.2013958889028473E-2</c:v>
                </c:pt>
                <c:pt idx="15" formatCode="_-* #,##0.000_-;\-* #,##0.000_-;_-* &quot;-&quot;??_-;_-@_-">
                  <c:v>1.5992502002159575E-3</c:v>
                </c:pt>
                <c:pt idx="16" formatCode="_-* #,##0.000_-;\-* #,##0.000_-;_-* &quot;-&quot;??_-;_-@_-">
                  <c:v>1.2675668844148544E-3</c:v>
                </c:pt>
                <c:pt idx="17" formatCode="_-* #,##0.000_-;\-* #,##0.000_-;_-* &quot;-&quot;??_-;_-@_-">
                  <c:v>5.0671516643821125E-3</c:v>
                </c:pt>
                <c:pt idx="18" formatCode="_-* #,##0.000_-;\-* #,##0.000_-;_-* &quot;-&quot;??_-;_-@_-">
                  <c:v>9.6808102263154158E-2</c:v>
                </c:pt>
                <c:pt idx="19" formatCode="_-* #,##0.000_-;\-* #,##0.000_-;_-* &quot;-&quot;??_-;_-@_-">
                  <c:v>0.55170398296502676</c:v>
                </c:pt>
                <c:pt idx="20" formatCode="_-* #,##0.000_-;\-* #,##0.000_-;_-* &quot;-&quot;??_-;_-@_-">
                  <c:v>3.2219257312132523E-3</c:v>
                </c:pt>
                <c:pt idx="21" formatCode="_-* #,##0.000_-;\-* #,##0.000_-;_-* &quot;-&quot;??_-;_-@_-">
                  <c:v>1.302556765087805E-3</c:v>
                </c:pt>
                <c:pt idx="22" formatCode="_-* #,##0.000_-;\-* #,##0.000_-;_-* &quot;-&quot;??_-;_-@_-">
                  <c:v>4.2650393898794658E-2</c:v>
                </c:pt>
                <c:pt idx="23" formatCode="_-* #,##0.000_-;\-* #,##0.000_-;_-* &quot;-&quot;??_-;_-@_-">
                  <c:v>2.8151445569929375E-2</c:v>
                </c:pt>
                <c:pt idx="24" formatCode="_-* #,##0.000_-;\-* #,##0.000_-;_-* &quot;-&quot;??_-;_-@_-">
                  <c:v>2.6131244329446247E-3</c:v>
                </c:pt>
                <c:pt idx="25" formatCode="_-* #,##0.000_-;\-* #,##0.000_-;_-* &quot;-&quot;??_-;_-@_-">
                  <c:v>1.8044463772534342E-2</c:v>
                </c:pt>
                <c:pt idx="26" formatCode="_-* #,##0.000_-;\-* #,##0.000_-;_-* &quot;-&quot;??_-;_-@_-">
                  <c:v>0.14663058301729096</c:v>
                </c:pt>
                <c:pt idx="27" formatCode="_-* #,##0.000_-;\-* #,##0.000_-;_-* &quot;-&quot;??_-;_-@_-">
                  <c:v>2.8914694086415227E-2</c:v>
                </c:pt>
                <c:pt idx="28" formatCode="_-* #,##0.0000_-;\-* #,##0.0000_-;_-* &quot;-&quot;??_-;_-@_-">
                  <c:v>1.3933189595251948E-4</c:v>
                </c:pt>
                <c:pt idx="29" formatCode="_-* #,##0.0000_-;\-* #,##0.0000_-;_-* &quot;-&quot;??_-;_-@_-">
                  <c:v>0</c:v>
                </c:pt>
                <c:pt idx="30" formatCode="_-* #,##0.0000_-;\-* #,##0.0000_-;_-* &quot;-&quot;??_-;_-@_-">
                  <c:v>1.6326531751969348E-4</c:v>
                </c:pt>
              </c:numCache>
            </c:numRef>
          </c:val>
          <c:extLst>
            <c:ext xmlns:c16="http://schemas.microsoft.com/office/drawing/2014/chart" uri="{C3380CC4-5D6E-409C-BE32-E72D297353CC}">
              <c16:uniqueId val="{0000003C-A7AF-4815-80DC-633114D49CF7}"/>
            </c:ext>
          </c:extLst>
        </c:ser>
        <c:ser>
          <c:idx val="1"/>
          <c:order val="1"/>
          <c:tx>
            <c:strRef>
              <c:f>Evaluation!$F$69</c:f>
              <c:strCache>
                <c:ptCount val="1"/>
                <c:pt idx="0">
                  <c:v>Credits</c:v>
                </c:pt>
              </c:strCache>
            </c:strRef>
          </c:tx>
          <c:spPr>
            <a:solidFill>
              <a:srgbClr val="003F57"/>
            </a:solidFill>
            <a:ln w="9525">
              <a:solidFill>
                <a:srgbClr val="003F57"/>
              </a:solidFill>
            </a:ln>
            <a:effectLst/>
          </c:spPr>
          <c:invertIfNegative val="0"/>
          <c:cat>
            <c:strRef>
              <c:f>(Evaluation!$B$70:$B$74,Evaluation!$B$79:$B$87,Evaluation!$B$116:$B$129,Evaluation!$B$147:$B$149)</c:f>
              <c:strCache>
                <c:ptCount val="31"/>
                <c:pt idx="0">
                  <c:v>Transport</c:v>
                </c:pt>
                <c:pt idx="1">
                  <c:v>Storage</c:v>
                </c:pt>
                <c:pt idx="2">
                  <c:v>Storage (defective)</c:v>
                </c:pt>
                <c:pt idx="3">
                  <c:v>Unloading</c:v>
                </c:pt>
                <c:pt idx="4">
                  <c:v>Dismantling</c:v>
                </c:pt>
                <c:pt idx="5">
                  <c:v>Shredder 1</c:v>
                </c:pt>
                <c:pt idx="6">
                  <c:v>Drying</c:v>
                </c:pt>
                <c:pt idx="7">
                  <c:v>Exhaust gas treatment</c:v>
                </c:pt>
                <c:pt idx="8">
                  <c:v>Magnetic separation</c:v>
                </c:pt>
                <c:pt idx="9">
                  <c:v>Zig-zag sighting 1</c:v>
                </c:pt>
                <c:pt idx="10">
                  <c:v>Shredder 2</c:v>
                </c:pt>
                <c:pt idx="11">
                  <c:v>Sieving</c:v>
                </c:pt>
                <c:pt idx="12">
                  <c:v>Zig-zag sighting 2</c:v>
                </c:pt>
                <c:pt idx="13">
                  <c:v>Electrolyte recovery</c:v>
                </c:pt>
                <c:pt idx="14">
                  <c:v>Digestion</c:v>
                </c:pt>
                <c:pt idx="15">
                  <c:v>Leaching</c:v>
                </c:pt>
                <c:pt idx="16">
                  <c:v>Filtration, washing C</c:v>
                </c:pt>
                <c:pt idx="17">
                  <c:v>Cementation, filtration Cu</c:v>
                </c:pt>
                <c:pt idx="18">
                  <c:v>Oxidation</c:v>
                </c:pt>
                <c:pt idx="19">
                  <c:v>Precipitation, filtration Al + Fe</c:v>
                </c:pt>
                <c:pt idx="20">
                  <c:v>Extraction Co + Ni</c:v>
                </c:pt>
                <c:pt idx="21">
                  <c:v>Extraction Co</c:v>
                </c:pt>
                <c:pt idx="22">
                  <c:v>Crystallization Ni</c:v>
                </c:pt>
                <c:pt idx="23">
                  <c:v>Crystallization Co</c:v>
                </c:pt>
                <c:pt idx="24">
                  <c:v>Extraction Mn</c:v>
                </c:pt>
                <c:pt idx="25">
                  <c:v>Crystallization Mn</c:v>
                </c:pt>
                <c:pt idx="26">
                  <c:v>Concentration Li</c:v>
                </c:pt>
                <c:pt idx="27">
                  <c:v>Precipitation, Filtration Li</c:v>
                </c:pt>
                <c:pt idx="28">
                  <c:v>Fresh water</c:v>
                </c:pt>
                <c:pt idx="29">
                  <c:v>Wastewater (municipal)</c:v>
                </c:pt>
                <c:pt idx="30">
                  <c:v>Wastewater (industrial)</c:v>
                </c:pt>
              </c:strCache>
            </c:strRef>
          </c:cat>
          <c:val>
            <c:numRef>
              <c:f>(Evaluation!$F$70:$F$74,Evaluation!$F$79:$F$87,Evaluation!$F$116:$F$129,Evaluation!$F$147:$F$149)</c:f>
              <c:numCache>
                <c:formatCode>General</c:formatCode>
                <c:ptCount val="31"/>
                <c:pt idx="3" formatCode="_-* #,##0.000_-;\-* #,##0.000_-;_-* &quot;-&quot;??_-;_-@_-">
                  <c:v>3.2964649750596401E-3</c:v>
                </c:pt>
                <c:pt idx="4" formatCode="_-* #,##0.000_-;\-* #,##0.000_-;_-* &quot;-&quot;??_-;_-@_-">
                  <c:v>2.0334935803744263</c:v>
                </c:pt>
                <c:pt idx="5" formatCode="_-* #,##0.000_-;\-* #,##0.000_-;_-* &quot;-&quot;??_-;_-@_-">
                  <c:v>0</c:v>
                </c:pt>
                <c:pt idx="6" formatCode="_-* #,##0.000_-;\-* #,##0.000_-;_-* &quot;-&quot;??_-;_-@_-">
                  <c:v>0</c:v>
                </c:pt>
                <c:pt idx="7" formatCode="_-* #,##0.000_-;\-* #,##0.000_-;_-* &quot;-&quot;??_-;_-@_-">
                  <c:v>0</c:v>
                </c:pt>
                <c:pt idx="8" formatCode="_-* #,##0.000_-;\-* #,##0.000_-;_-* &quot;-&quot;??_-;_-@_-">
                  <c:v>5.1391488932592475E-2</c:v>
                </c:pt>
                <c:pt idx="9" formatCode="_-* #,##0.000_-;\-* #,##0.000_-;_-* &quot;-&quot;??_-;_-@_-">
                  <c:v>0.14425557358796462</c:v>
                </c:pt>
                <c:pt idx="10" formatCode="_-* #,##0.000_-;\-* #,##0.000_-;_-* &quot;-&quot;??_-;_-@_-">
                  <c:v>0</c:v>
                </c:pt>
                <c:pt idx="11" formatCode="_-* #,##0.000_-;\-* #,##0.000_-;_-* &quot;-&quot;??_-;_-@_-">
                  <c:v>0</c:v>
                </c:pt>
                <c:pt idx="12" formatCode="_-* #,##0.000_-;\-* #,##0.000_-;_-* &quot;-&quot;??_-;_-@_-">
                  <c:v>0.64911136308375628</c:v>
                </c:pt>
                <c:pt idx="13" formatCode="_-* #,##0.000_-;\-* #,##0.000_-;_-* &quot;-&quot;??_-;_-@_-">
                  <c:v>0</c:v>
                </c:pt>
                <c:pt idx="14" formatCode="_-* #,##0.000_-;\-* #,##0.000_-;_-* &quot;-&quot;??_-;_-@_-">
                  <c:v>0</c:v>
                </c:pt>
                <c:pt idx="15" formatCode="_-* #,##0.000_-;\-* #,##0.000_-;_-* &quot;-&quot;??_-;_-@_-">
                  <c:v>0</c:v>
                </c:pt>
                <c:pt idx="16" formatCode="_-* #,##0.000_-;\-* #,##0.000_-;_-* &quot;-&quot;??_-;_-@_-">
                  <c:v>0.87337277450311213</c:v>
                </c:pt>
                <c:pt idx="17" formatCode="_-* #,##0.000_-;\-* #,##0.000_-;_-* &quot;-&quot;??_-;_-@_-">
                  <c:v>9.3728083859098317E-3</c:v>
                </c:pt>
                <c:pt idx="18" formatCode="_-* #,##0.000_-;\-* #,##0.000_-;_-* &quot;-&quot;??_-;_-@_-">
                  <c:v>0</c:v>
                </c:pt>
                <c:pt idx="19" formatCode="_-* #,##0.000_-;\-* #,##0.000_-;_-* &quot;-&quot;??_-;_-@_-">
                  <c:v>1.8904990984224684E-3</c:v>
                </c:pt>
                <c:pt idx="20" formatCode="_-* #,##0.000_-;\-* #,##0.000_-;_-* &quot;-&quot;??_-;_-@_-">
                  <c:v>0</c:v>
                </c:pt>
                <c:pt idx="21" formatCode="_-* #,##0.000_-;\-* #,##0.000_-;_-* &quot;-&quot;??_-;_-@_-">
                  <c:v>0</c:v>
                </c:pt>
                <c:pt idx="22" formatCode="_-* #,##0.000_-;\-* #,##0.000_-;_-* &quot;-&quot;??_-;_-@_-">
                  <c:v>1.6862960787465304</c:v>
                </c:pt>
                <c:pt idx="23" formatCode="_-* #,##0.000_-;\-* #,##0.000_-;_-* &quot;-&quot;??_-;_-@_-">
                  <c:v>3.444653346540377</c:v>
                </c:pt>
                <c:pt idx="24" formatCode="_-* #,##0.000_-;\-* #,##0.000_-;_-* &quot;-&quot;??_-;_-@_-">
                  <c:v>0</c:v>
                </c:pt>
                <c:pt idx="25" formatCode="_-* #,##0.000_-;\-* #,##0.000_-;_-* &quot;-&quot;??_-;_-@_-">
                  <c:v>6.0605582609592291E-2</c:v>
                </c:pt>
                <c:pt idx="26" formatCode="_-* #,##0.000_-;\-* #,##0.000_-;_-* &quot;-&quot;??_-;_-@_-">
                  <c:v>0</c:v>
                </c:pt>
                <c:pt idx="27" formatCode="_-* #,##0.000_-;\-* #,##0.000_-;_-* &quot;-&quot;??_-;_-@_-">
                  <c:v>0.51200686423431929</c:v>
                </c:pt>
                <c:pt idx="28" formatCode="_-* #,##0.0000_-;\-* #,##0.0000_-;_-* &quot;-&quot;??_-;_-@_-">
                  <c:v>0</c:v>
                </c:pt>
                <c:pt idx="29" formatCode="_-* #,##0.0000_-;\-* #,##0.0000_-;_-* &quot;-&quot;??_-;_-@_-">
                  <c:v>0</c:v>
                </c:pt>
                <c:pt idx="30" formatCode="_-* #,##0.0000_-;\-* #,##0.0000_-;_-* &quot;-&quot;??_-;_-@_-">
                  <c:v>0</c:v>
                </c:pt>
              </c:numCache>
            </c:numRef>
          </c:val>
          <c:extLst>
            <c:ext xmlns:c16="http://schemas.microsoft.com/office/drawing/2014/chart" uri="{C3380CC4-5D6E-409C-BE32-E72D297353CC}">
              <c16:uniqueId val="{0000003C-5451-4AD9-A3C5-15D9690520B3}"/>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Process specific climate impacts [t CO2-eq./ t spent LIB]</a:t>
                </a:r>
                <a:endParaRPr lang="en-US" sz="1050">
                  <a:effectLst/>
                </a:endParaRPr>
              </a:p>
            </c:rich>
          </c:tx>
          <c:layout>
            <c:manualLayout>
              <c:xMode val="edge"/>
              <c:yMode val="edge"/>
              <c:x val="0.30792843055753621"/>
              <c:y val="0.9105557857692552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majorUnit val="0.5"/>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3920273951027264"/>
          <c:y val="0.95732225207054966"/>
          <c:w val="0.27053437903124539"/>
          <c:h val="3.1833298323692874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Investments per process step</a:t>
            </a:r>
            <a:endParaRPr lang="de-DE"/>
          </a:p>
        </c:rich>
      </c:tx>
      <c:layout>
        <c:manualLayout>
          <c:xMode val="edge"/>
          <c:yMode val="edge"/>
          <c:x val="0.38141475537619252"/>
          <c:y val="1.084529387544051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41382900024711983"/>
          <c:y val="6.1349818596668076E-2"/>
          <c:w val="0.49934638598205855"/>
          <c:h val="0.82005902148360466"/>
        </c:manualLayout>
      </c:layout>
      <c:barChart>
        <c:barDir val="bar"/>
        <c:grouping val="clustered"/>
        <c:varyColors val="0"/>
        <c:ser>
          <c:idx val="0"/>
          <c:order val="0"/>
          <c:spPr>
            <a:solidFill>
              <a:srgbClr val="AEBEB6"/>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1-271A-4E79-9FCC-1E5DE9545B3A}"/>
              </c:ext>
            </c:extLst>
          </c:dPt>
          <c:dPt>
            <c:idx val="1"/>
            <c:invertIfNegative val="0"/>
            <c:bubble3D val="0"/>
            <c:spPr>
              <a:solidFill>
                <a:srgbClr val="003F57"/>
              </a:solidFill>
              <a:ln>
                <a:noFill/>
              </a:ln>
              <a:effectLst/>
            </c:spPr>
            <c:extLst>
              <c:ext xmlns:c16="http://schemas.microsoft.com/office/drawing/2014/chart" uri="{C3380CC4-5D6E-409C-BE32-E72D297353CC}">
                <c16:uniqueId val="{00000003-271A-4E79-9FCC-1E5DE9545B3A}"/>
              </c:ext>
            </c:extLst>
          </c:dPt>
          <c:dPt>
            <c:idx val="2"/>
            <c:invertIfNegative val="0"/>
            <c:bubble3D val="0"/>
            <c:spPr>
              <a:solidFill>
                <a:srgbClr val="003F57"/>
              </a:solidFill>
              <a:ln>
                <a:noFill/>
              </a:ln>
              <a:effectLst/>
            </c:spPr>
            <c:extLst>
              <c:ext xmlns:c16="http://schemas.microsoft.com/office/drawing/2014/chart" uri="{C3380CC4-5D6E-409C-BE32-E72D297353CC}">
                <c16:uniqueId val="{00000005-271A-4E79-9FCC-1E5DE9545B3A}"/>
              </c:ext>
            </c:extLst>
          </c:dPt>
          <c:dPt>
            <c:idx val="3"/>
            <c:invertIfNegative val="0"/>
            <c:bubble3D val="0"/>
            <c:spPr>
              <a:solidFill>
                <a:srgbClr val="003F57"/>
              </a:solidFill>
              <a:ln>
                <a:noFill/>
              </a:ln>
              <a:effectLst/>
            </c:spPr>
            <c:extLst>
              <c:ext xmlns:c16="http://schemas.microsoft.com/office/drawing/2014/chart" uri="{C3380CC4-5D6E-409C-BE32-E72D297353CC}">
                <c16:uniqueId val="{00000007-271A-4E79-9FCC-1E5DE9545B3A}"/>
              </c:ext>
            </c:extLst>
          </c:dPt>
          <c:dPt>
            <c:idx val="4"/>
            <c:invertIfNegative val="0"/>
            <c:bubble3D val="0"/>
            <c:spPr>
              <a:solidFill>
                <a:srgbClr val="FA6E00"/>
              </a:solidFill>
              <a:ln>
                <a:noFill/>
              </a:ln>
              <a:effectLst/>
            </c:spPr>
            <c:extLst>
              <c:ext xmlns:c16="http://schemas.microsoft.com/office/drawing/2014/chart" uri="{C3380CC4-5D6E-409C-BE32-E72D297353CC}">
                <c16:uniqueId val="{00000009-271A-4E79-9FCC-1E5DE9545B3A}"/>
              </c:ext>
            </c:extLst>
          </c:dPt>
          <c:dPt>
            <c:idx val="5"/>
            <c:invertIfNegative val="0"/>
            <c:bubble3D val="0"/>
            <c:spPr>
              <a:solidFill>
                <a:srgbClr val="FA6E00"/>
              </a:solidFill>
              <a:ln>
                <a:noFill/>
              </a:ln>
              <a:effectLst/>
            </c:spPr>
            <c:extLst>
              <c:ext xmlns:c16="http://schemas.microsoft.com/office/drawing/2014/chart" uri="{C3380CC4-5D6E-409C-BE32-E72D297353CC}">
                <c16:uniqueId val="{0000000B-271A-4E79-9FCC-1E5DE9545B3A}"/>
              </c:ext>
            </c:extLst>
          </c:dPt>
          <c:dPt>
            <c:idx val="6"/>
            <c:invertIfNegative val="0"/>
            <c:bubble3D val="0"/>
            <c:spPr>
              <a:solidFill>
                <a:srgbClr val="FA6E00"/>
              </a:solidFill>
              <a:ln>
                <a:noFill/>
              </a:ln>
              <a:effectLst/>
            </c:spPr>
            <c:extLst>
              <c:ext xmlns:c16="http://schemas.microsoft.com/office/drawing/2014/chart" uri="{C3380CC4-5D6E-409C-BE32-E72D297353CC}">
                <c16:uniqueId val="{0000004A-FF18-4FD8-852B-100AD1CF7A43}"/>
              </c:ext>
            </c:extLst>
          </c:dPt>
          <c:dPt>
            <c:idx val="7"/>
            <c:invertIfNegative val="0"/>
            <c:bubble3D val="0"/>
            <c:spPr>
              <a:solidFill>
                <a:srgbClr val="FA6E00"/>
              </a:solidFill>
              <a:ln>
                <a:noFill/>
              </a:ln>
              <a:effectLst/>
            </c:spPr>
            <c:extLst>
              <c:ext xmlns:c16="http://schemas.microsoft.com/office/drawing/2014/chart" uri="{C3380CC4-5D6E-409C-BE32-E72D297353CC}">
                <c16:uniqueId val="{0000000D-A585-4411-B657-3BC1E5DF1DBC}"/>
              </c:ext>
            </c:extLst>
          </c:dPt>
          <c:dPt>
            <c:idx val="8"/>
            <c:invertIfNegative val="0"/>
            <c:bubble3D val="0"/>
            <c:spPr>
              <a:solidFill>
                <a:srgbClr val="FA6E00"/>
              </a:solidFill>
              <a:ln>
                <a:noFill/>
              </a:ln>
              <a:effectLst/>
            </c:spPr>
            <c:extLst>
              <c:ext xmlns:c16="http://schemas.microsoft.com/office/drawing/2014/chart" uri="{C3380CC4-5D6E-409C-BE32-E72D297353CC}">
                <c16:uniqueId val="{00000011-271A-4E79-9FCC-1E5DE9545B3A}"/>
              </c:ext>
            </c:extLst>
          </c:dPt>
          <c:dPt>
            <c:idx val="9"/>
            <c:invertIfNegative val="0"/>
            <c:bubble3D val="0"/>
            <c:spPr>
              <a:solidFill>
                <a:srgbClr val="FA6E00"/>
              </a:solidFill>
              <a:ln>
                <a:noFill/>
              </a:ln>
              <a:effectLst/>
            </c:spPr>
            <c:extLst>
              <c:ext xmlns:c16="http://schemas.microsoft.com/office/drawing/2014/chart" uri="{C3380CC4-5D6E-409C-BE32-E72D297353CC}">
                <c16:uniqueId val="{00000013-271A-4E79-9FCC-1E5DE9545B3A}"/>
              </c:ext>
            </c:extLst>
          </c:dPt>
          <c:dPt>
            <c:idx val="10"/>
            <c:invertIfNegative val="0"/>
            <c:bubble3D val="0"/>
            <c:spPr>
              <a:solidFill>
                <a:srgbClr val="FA6E00"/>
              </a:solidFill>
              <a:ln>
                <a:noFill/>
              </a:ln>
              <a:effectLst/>
            </c:spPr>
            <c:extLst>
              <c:ext xmlns:c16="http://schemas.microsoft.com/office/drawing/2014/chart" uri="{C3380CC4-5D6E-409C-BE32-E72D297353CC}">
                <c16:uniqueId val="{00000015-271A-4E79-9FCC-1E5DE9545B3A}"/>
              </c:ext>
            </c:extLst>
          </c:dPt>
          <c:dPt>
            <c:idx val="11"/>
            <c:invertIfNegative val="0"/>
            <c:bubble3D val="0"/>
            <c:spPr>
              <a:solidFill>
                <a:srgbClr val="FA6E00"/>
              </a:solidFill>
              <a:ln>
                <a:noFill/>
              </a:ln>
              <a:effectLst/>
            </c:spPr>
            <c:extLst>
              <c:ext xmlns:c16="http://schemas.microsoft.com/office/drawing/2014/chart" uri="{C3380CC4-5D6E-409C-BE32-E72D297353CC}">
                <c16:uniqueId val="{00000017-271A-4E79-9FCC-1E5DE9545B3A}"/>
              </c:ext>
            </c:extLst>
          </c:dPt>
          <c:dPt>
            <c:idx val="12"/>
            <c:invertIfNegative val="0"/>
            <c:bubble3D val="0"/>
            <c:spPr>
              <a:pattFill prst="dkDnDiag">
                <a:fgClr>
                  <a:srgbClr val="FA6E00"/>
                </a:fgClr>
                <a:bgClr>
                  <a:schemeClr val="bg1"/>
                </a:bgClr>
              </a:pattFill>
              <a:ln>
                <a:solidFill>
                  <a:srgbClr val="FA6E00"/>
                </a:solidFill>
              </a:ln>
              <a:effectLst/>
            </c:spPr>
            <c:extLst>
              <c:ext xmlns:c16="http://schemas.microsoft.com/office/drawing/2014/chart" uri="{C3380CC4-5D6E-409C-BE32-E72D297353CC}">
                <c16:uniqueId val="{00000019-271A-4E79-9FCC-1E5DE9545B3A}"/>
              </c:ext>
            </c:extLst>
          </c:dPt>
          <c:dPt>
            <c:idx val="13"/>
            <c:invertIfNegative val="0"/>
            <c:bubble3D val="0"/>
            <c:spPr>
              <a:solidFill>
                <a:srgbClr val="AEBEB6"/>
              </a:solidFill>
              <a:ln>
                <a:noFill/>
              </a:ln>
              <a:effectLst/>
            </c:spPr>
            <c:extLst>
              <c:ext xmlns:c16="http://schemas.microsoft.com/office/drawing/2014/chart" uri="{C3380CC4-5D6E-409C-BE32-E72D297353CC}">
                <c16:uniqueId val="{0000001B-271A-4E79-9FCC-1E5DE9545B3A}"/>
              </c:ext>
            </c:extLst>
          </c:dPt>
          <c:dPt>
            <c:idx val="14"/>
            <c:invertIfNegative val="0"/>
            <c:bubble3D val="0"/>
            <c:spPr>
              <a:solidFill>
                <a:srgbClr val="AEBEB6"/>
              </a:solidFill>
              <a:ln>
                <a:noFill/>
              </a:ln>
              <a:effectLst/>
            </c:spPr>
            <c:extLst>
              <c:ext xmlns:c16="http://schemas.microsoft.com/office/drawing/2014/chart" uri="{C3380CC4-5D6E-409C-BE32-E72D297353CC}">
                <c16:uniqueId val="{0000001D-271A-4E79-9FCC-1E5DE9545B3A}"/>
              </c:ext>
            </c:extLst>
          </c:dPt>
          <c:dPt>
            <c:idx val="15"/>
            <c:invertIfNegative val="0"/>
            <c:bubble3D val="0"/>
            <c:spPr>
              <a:solidFill>
                <a:srgbClr val="AEBEB6"/>
              </a:solidFill>
              <a:ln>
                <a:noFill/>
              </a:ln>
              <a:effectLst/>
            </c:spPr>
            <c:extLst>
              <c:ext xmlns:c16="http://schemas.microsoft.com/office/drawing/2014/chart" uri="{C3380CC4-5D6E-409C-BE32-E72D297353CC}">
                <c16:uniqueId val="{0000001F-271A-4E79-9FCC-1E5DE9545B3A}"/>
              </c:ext>
            </c:extLst>
          </c:dPt>
          <c:dPt>
            <c:idx val="16"/>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21-271A-4E79-9FCC-1E5DE9545B3A}"/>
              </c:ext>
            </c:extLst>
          </c:dPt>
          <c:dPt>
            <c:idx val="17"/>
            <c:invertIfNegative val="0"/>
            <c:bubble3D val="0"/>
            <c:spPr>
              <a:solidFill>
                <a:srgbClr val="AEBEB6"/>
              </a:solidFill>
              <a:ln>
                <a:noFill/>
              </a:ln>
              <a:effectLst/>
            </c:spPr>
            <c:extLst>
              <c:ext xmlns:c16="http://schemas.microsoft.com/office/drawing/2014/chart" uri="{C3380CC4-5D6E-409C-BE32-E72D297353CC}">
                <c16:uniqueId val="{00000023-271A-4E79-9FCC-1E5DE9545B3A}"/>
              </c:ext>
            </c:extLst>
          </c:dPt>
          <c:dPt>
            <c:idx val="18"/>
            <c:invertIfNegative val="0"/>
            <c:bubble3D val="0"/>
            <c:spPr>
              <a:solidFill>
                <a:srgbClr val="AEBEB6"/>
              </a:solidFill>
              <a:ln>
                <a:noFill/>
              </a:ln>
              <a:effectLst/>
            </c:spPr>
            <c:extLst>
              <c:ext xmlns:c16="http://schemas.microsoft.com/office/drawing/2014/chart" uri="{C3380CC4-5D6E-409C-BE32-E72D297353CC}">
                <c16:uniqueId val="{00000025-271A-4E79-9FCC-1E5DE9545B3A}"/>
              </c:ext>
            </c:extLst>
          </c:dPt>
          <c:dPt>
            <c:idx val="19"/>
            <c:invertIfNegative val="0"/>
            <c:bubble3D val="0"/>
            <c:spPr>
              <a:solidFill>
                <a:srgbClr val="AEBEB6"/>
              </a:solidFill>
              <a:ln>
                <a:noFill/>
              </a:ln>
              <a:effectLst/>
            </c:spPr>
            <c:extLst>
              <c:ext xmlns:c16="http://schemas.microsoft.com/office/drawing/2014/chart" uri="{C3380CC4-5D6E-409C-BE32-E72D297353CC}">
                <c16:uniqueId val="{00000027-271A-4E79-9FCC-1E5DE9545B3A}"/>
              </c:ext>
            </c:extLst>
          </c:dPt>
          <c:dPt>
            <c:idx val="20"/>
            <c:invertIfNegative val="0"/>
            <c:bubble3D val="0"/>
            <c:spPr>
              <a:solidFill>
                <a:srgbClr val="AEBEB6"/>
              </a:solidFill>
              <a:ln>
                <a:noFill/>
              </a:ln>
              <a:effectLst/>
            </c:spPr>
            <c:extLst>
              <c:ext xmlns:c16="http://schemas.microsoft.com/office/drawing/2014/chart" uri="{C3380CC4-5D6E-409C-BE32-E72D297353CC}">
                <c16:uniqueId val="{00000029-271A-4E79-9FCC-1E5DE9545B3A}"/>
              </c:ext>
            </c:extLst>
          </c:dPt>
          <c:dPt>
            <c:idx val="21"/>
            <c:invertIfNegative val="0"/>
            <c:bubble3D val="0"/>
            <c:spPr>
              <a:solidFill>
                <a:srgbClr val="AEBEB6"/>
              </a:solidFill>
              <a:ln>
                <a:noFill/>
              </a:ln>
              <a:effectLst/>
            </c:spPr>
            <c:extLst>
              <c:ext xmlns:c16="http://schemas.microsoft.com/office/drawing/2014/chart" uri="{C3380CC4-5D6E-409C-BE32-E72D297353CC}">
                <c16:uniqueId val="{0000002B-271A-4E79-9FCC-1E5DE9545B3A}"/>
              </c:ext>
            </c:extLst>
          </c:dPt>
          <c:dPt>
            <c:idx val="22"/>
            <c:invertIfNegative val="0"/>
            <c:bubble3D val="0"/>
            <c:spPr>
              <a:solidFill>
                <a:srgbClr val="AEBEB6"/>
              </a:solidFill>
              <a:ln>
                <a:noFill/>
              </a:ln>
              <a:effectLst/>
            </c:spPr>
            <c:extLst>
              <c:ext xmlns:c16="http://schemas.microsoft.com/office/drawing/2014/chart" uri="{C3380CC4-5D6E-409C-BE32-E72D297353CC}">
                <c16:uniqueId val="{0000002D-271A-4E79-9FCC-1E5DE9545B3A}"/>
              </c:ext>
            </c:extLst>
          </c:dPt>
          <c:dPt>
            <c:idx val="23"/>
            <c:invertIfNegative val="0"/>
            <c:bubble3D val="0"/>
            <c:spPr>
              <a:solidFill>
                <a:srgbClr val="AEBEB6"/>
              </a:solidFill>
              <a:ln>
                <a:noFill/>
              </a:ln>
              <a:effectLst/>
            </c:spPr>
            <c:extLst>
              <c:ext xmlns:c16="http://schemas.microsoft.com/office/drawing/2014/chart" uri="{C3380CC4-5D6E-409C-BE32-E72D297353CC}">
                <c16:uniqueId val="{0000002F-271A-4E79-9FCC-1E5DE9545B3A}"/>
              </c:ext>
            </c:extLst>
          </c:dPt>
          <c:dPt>
            <c:idx val="24"/>
            <c:invertIfNegative val="0"/>
            <c:bubble3D val="0"/>
            <c:spPr>
              <a:solidFill>
                <a:srgbClr val="AEBEB6"/>
              </a:solidFill>
              <a:ln>
                <a:noFill/>
              </a:ln>
              <a:effectLst/>
            </c:spPr>
            <c:extLst>
              <c:ext xmlns:c16="http://schemas.microsoft.com/office/drawing/2014/chart" uri="{C3380CC4-5D6E-409C-BE32-E72D297353CC}">
                <c16:uniqueId val="{00000031-271A-4E79-9FCC-1E5DE9545B3A}"/>
              </c:ext>
            </c:extLst>
          </c:dPt>
          <c:dPt>
            <c:idx val="25"/>
            <c:invertIfNegative val="0"/>
            <c:bubble3D val="0"/>
            <c:spPr>
              <a:solidFill>
                <a:srgbClr val="AEBEB6"/>
              </a:solidFill>
              <a:ln>
                <a:noFill/>
              </a:ln>
              <a:effectLst/>
            </c:spPr>
            <c:extLst>
              <c:ext xmlns:c16="http://schemas.microsoft.com/office/drawing/2014/chart" uri="{C3380CC4-5D6E-409C-BE32-E72D297353CC}">
                <c16:uniqueId val="{00000033-271A-4E79-9FCC-1E5DE9545B3A}"/>
              </c:ext>
            </c:extLst>
          </c:dPt>
          <c:dPt>
            <c:idx val="26"/>
            <c:invertIfNegative val="0"/>
            <c:bubble3D val="0"/>
            <c:spPr>
              <a:solidFill>
                <a:srgbClr val="AEBEB6"/>
              </a:solidFill>
              <a:ln>
                <a:solidFill>
                  <a:srgbClr val="AEBEB6"/>
                </a:solidFill>
              </a:ln>
              <a:effectLst/>
            </c:spPr>
            <c:extLst>
              <c:ext xmlns:c16="http://schemas.microsoft.com/office/drawing/2014/chart" uri="{C3380CC4-5D6E-409C-BE32-E72D297353CC}">
                <c16:uniqueId val="{00000035-271A-4E79-9FCC-1E5DE9545B3A}"/>
              </c:ext>
            </c:extLst>
          </c:dPt>
          <c:dPt>
            <c:idx val="27"/>
            <c:invertIfNegative val="0"/>
            <c:bubble3D val="0"/>
            <c:spPr>
              <a:solidFill>
                <a:srgbClr val="AEBEB6"/>
              </a:solidFill>
              <a:ln>
                <a:solidFill>
                  <a:srgbClr val="AEBEB6"/>
                </a:solidFill>
              </a:ln>
              <a:effectLst/>
            </c:spPr>
            <c:extLst>
              <c:ext xmlns:c16="http://schemas.microsoft.com/office/drawing/2014/chart" uri="{C3380CC4-5D6E-409C-BE32-E72D297353CC}">
                <c16:uniqueId val="{00000037-271A-4E79-9FCC-1E5DE9545B3A}"/>
              </c:ext>
            </c:extLst>
          </c:dPt>
          <c:dPt>
            <c:idx val="28"/>
            <c:invertIfNegative val="0"/>
            <c:bubble3D val="0"/>
            <c:spPr>
              <a:solidFill>
                <a:srgbClr val="AEBEB6"/>
              </a:solidFill>
              <a:ln>
                <a:solidFill>
                  <a:srgbClr val="AEBEB6"/>
                </a:solidFill>
              </a:ln>
              <a:effectLst/>
            </c:spPr>
            <c:extLst>
              <c:ext xmlns:c16="http://schemas.microsoft.com/office/drawing/2014/chart" uri="{C3380CC4-5D6E-409C-BE32-E72D297353CC}">
                <c16:uniqueId val="{00000039-271A-4E79-9FCC-1E5DE9545B3A}"/>
              </c:ext>
            </c:extLst>
          </c:dPt>
          <c:dPt>
            <c:idx val="29"/>
            <c:invertIfNegative val="0"/>
            <c:bubble3D val="0"/>
            <c:spPr>
              <a:solidFill>
                <a:srgbClr val="AEBEB6"/>
              </a:solidFill>
              <a:ln>
                <a:solidFill>
                  <a:srgbClr val="AEBEB6"/>
                </a:solidFill>
              </a:ln>
              <a:effectLst/>
            </c:spPr>
            <c:extLst>
              <c:ext xmlns:c16="http://schemas.microsoft.com/office/drawing/2014/chart" uri="{C3380CC4-5D6E-409C-BE32-E72D297353CC}">
                <c16:uniqueId val="{0000003B-271A-4E79-9FCC-1E5DE9545B3A}"/>
              </c:ext>
            </c:extLst>
          </c:dPt>
          <c:dPt>
            <c:idx val="30"/>
            <c:invertIfNegative val="0"/>
            <c:bubble3D val="0"/>
            <c:spPr>
              <a:solidFill>
                <a:srgbClr val="AEBEB6"/>
              </a:solidFill>
              <a:ln>
                <a:solidFill>
                  <a:srgbClr val="AEBEB6"/>
                </a:solidFill>
              </a:ln>
              <a:effectLst/>
            </c:spPr>
            <c:extLst>
              <c:ext xmlns:c16="http://schemas.microsoft.com/office/drawing/2014/chart" uri="{C3380CC4-5D6E-409C-BE32-E72D297353CC}">
                <c16:uniqueId val="{0000003D-271A-4E79-9FCC-1E5DE9545B3A}"/>
              </c:ext>
            </c:extLst>
          </c:dPt>
          <c:dPt>
            <c:idx val="31"/>
            <c:invertIfNegative val="0"/>
            <c:bubble3D val="0"/>
            <c:spPr>
              <a:solidFill>
                <a:srgbClr val="AEBEB6"/>
              </a:solidFill>
              <a:ln>
                <a:solidFill>
                  <a:srgbClr val="AEBEB6"/>
                </a:solidFill>
              </a:ln>
              <a:effectLst/>
            </c:spPr>
            <c:extLst>
              <c:ext xmlns:c16="http://schemas.microsoft.com/office/drawing/2014/chart" uri="{C3380CC4-5D6E-409C-BE32-E72D297353CC}">
                <c16:uniqueId val="{0000003F-271A-4E79-9FCC-1E5DE9545B3A}"/>
              </c:ext>
            </c:extLst>
          </c:dPt>
          <c:dPt>
            <c:idx val="32"/>
            <c:invertIfNegative val="0"/>
            <c:bubble3D val="0"/>
            <c:spPr>
              <a:solidFill>
                <a:srgbClr val="AEBEB6"/>
              </a:solidFill>
              <a:ln>
                <a:solidFill>
                  <a:srgbClr val="AEBEB6"/>
                </a:solidFill>
              </a:ln>
              <a:effectLst/>
            </c:spPr>
            <c:extLst>
              <c:ext xmlns:c16="http://schemas.microsoft.com/office/drawing/2014/chart" uri="{C3380CC4-5D6E-409C-BE32-E72D297353CC}">
                <c16:uniqueId val="{00000041-271A-4E79-9FCC-1E5DE9545B3A}"/>
              </c:ext>
            </c:extLst>
          </c:dPt>
          <c:dPt>
            <c:idx val="33"/>
            <c:invertIfNegative val="0"/>
            <c:bubble3D val="0"/>
            <c:spPr>
              <a:solidFill>
                <a:srgbClr val="AEBEB6"/>
              </a:solidFill>
              <a:ln>
                <a:solidFill>
                  <a:srgbClr val="AEBEB6"/>
                </a:solidFill>
              </a:ln>
              <a:effectLst/>
            </c:spPr>
            <c:extLst>
              <c:ext xmlns:c16="http://schemas.microsoft.com/office/drawing/2014/chart" uri="{C3380CC4-5D6E-409C-BE32-E72D297353CC}">
                <c16:uniqueId val="{00000043-271A-4E79-9FCC-1E5DE9545B3A}"/>
              </c:ext>
            </c:extLst>
          </c:dPt>
          <c:dPt>
            <c:idx val="34"/>
            <c:invertIfNegative val="0"/>
            <c:bubble3D val="0"/>
            <c:spPr>
              <a:solidFill>
                <a:srgbClr val="AEBEB6"/>
              </a:solidFill>
              <a:ln>
                <a:solidFill>
                  <a:srgbClr val="AEBEB6"/>
                </a:solidFill>
              </a:ln>
              <a:effectLst/>
            </c:spPr>
            <c:extLst>
              <c:ext xmlns:c16="http://schemas.microsoft.com/office/drawing/2014/chart" uri="{C3380CC4-5D6E-409C-BE32-E72D297353CC}">
                <c16:uniqueId val="{00000045-271A-4E79-9FCC-1E5DE9545B3A}"/>
              </c:ext>
            </c:extLst>
          </c:dPt>
          <c:dPt>
            <c:idx val="35"/>
            <c:invertIfNegative val="0"/>
            <c:bubble3D val="0"/>
            <c:spPr>
              <a:solidFill>
                <a:srgbClr val="AEBEB6"/>
              </a:solidFill>
              <a:ln>
                <a:solidFill>
                  <a:srgbClr val="AEBEB6"/>
                </a:solidFill>
              </a:ln>
              <a:effectLst/>
            </c:spPr>
            <c:extLst>
              <c:ext xmlns:c16="http://schemas.microsoft.com/office/drawing/2014/chart" uri="{C3380CC4-5D6E-409C-BE32-E72D297353CC}">
                <c16:uniqueId val="{00000047-271A-4E79-9FCC-1E5DE9545B3A}"/>
              </c:ext>
            </c:extLst>
          </c:dPt>
          <c:dPt>
            <c:idx val="36"/>
            <c:invertIfNegative val="0"/>
            <c:bubble3D val="0"/>
            <c:spPr>
              <a:solidFill>
                <a:srgbClr val="AEBEB6"/>
              </a:solidFill>
              <a:ln>
                <a:solidFill>
                  <a:srgbClr val="AEBEB6"/>
                </a:solidFill>
              </a:ln>
              <a:effectLst/>
            </c:spPr>
            <c:extLst>
              <c:ext xmlns:c16="http://schemas.microsoft.com/office/drawing/2014/chart" uri="{C3380CC4-5D6E-409C-BE32-E72D297353CC}">
                <c16:uniqueId val="{00000049-48CA-458B-860E-1502F31B1AE9}"/>
              </c:ext>
            </c:extLst>
          </c:dPt>
          <c:cat>
            <c:strRef>
              <c:extLst>
                <c:ext xmlns:c15="http://schemas.microsoft.com/office/drawing/2012/chart" uri="{02D57815-91ED-43cb-92C2-25804820EDAC}">
                  <c15:fullRef>
                    <c15:sqref>'R2_Econ.'!$B$12:$B$49</c15:sqref>
                  </c15:fullRef>
                </c:ext>
              </c:extLst>
              <c:f>'R2_Econ.'!$B$12:$B$48</c:f>
              <c:strCache>
                <c:ptCount val="37"/>
                <c:pt idx="0">
                  <c:v>Storage</c:v>
                </c:pt>
                <c:pt idx="1">
                  <c:v>Storage (defective)</c:v>
                </c:pt>
                <c:pt idx="2">
                  <c:v>Discharge</c:v>
                </c:pt>
                <c:pt idx="3">
                  <c:v>Disassembly</c:v>
                </c:pt>
                <c:pt idx="4">
                  <c:v>Shredder 1</c:v>
                </c:pt>
                <c:pt idx="5">
                  <c:v>Drying</c:v>
                </c:pt>
                <c:pt idx="6">
                  <c:v>Exhaust gas cleaning</c:v>
                </c:pt>
                <c:pt idx="7">
                  <c:v>Magnetic separation</c:v>
                </c:pt>
                <c:pt idx="8">
                  <c:v>Zig-zag sighting 1</c:v>
                </c:pt>
                <c:pt idx="9">
                  <c:v>Shredder 2</c:v>
                </c:pt>
                <c:pt idx="10">
                  <c:v>Sieving</c:v>
                </c:pt>
                <c:pt idx="11">
                  <c:v>Zig-zag sighting 2</c:v>
                </c:pt>
                <c:pt idx="12">
                  <c:v>Electrolyte recovery</c:v>
                </c:pt>
                <c:pt idx="13">
                  <c:v>Digestion</c:v>
                </c:pt>
                <c:pt idx="14">
                  <c:v>Leaching</c:v>
                </c:pt>
                <c:pt idx="15">
                  <c:v>Filtration C</c:v>
                </c:pt>
                <c:pt idx="16">
                  <c:v>Washing C</c:v>
                </c:pt>
                <c:pt idx="17">
                  <c:v>Cementation Cu</c:v>
                </c:pt>
                <c:pt idx="18">
                  <c:v>Filtration Cu</c:v>
                </c:pt>
                <c:pt idx="19">
                  <c:v>Oxidation</c:v>
                </c:pt>
                <c:pt idx="20">
                  <c:v>Precipitation Al + Fe</c:v>
                </c:pt>
                <c:pt idx="21">
                  <c:v>Filtration Al+Fe</c:v>
                </c:pt>
                <c:pt idx="22">
                  <c:v>Extraction Co+Ni</c:v>
                </c:pt>
                <c:pt idx="23">
                  <c:v>Scrubbing Co+Ni</c:v>
                </c:pt>
                <c:pt idx="24">
                  <c:v>Stripping Co+Ni</c:v>
                </c:pt>
                <c:pt idx="25">
                  <c:v>Extraction Co</c:v>
                </c:pt>
                <c:pt idx="26">
                  <c:v>Scrubbing Co</c:v>
                </c:pt>
                <c:pt idx="27">
                  <c:v>Stripping Co</c:v>
                </c:pt>
                <c:pt idx="28">
                  <c:v>Cristallisation Ni</c:v>
                </c:pt>
                <c:pt idx="29">
                  <c:v>Cristallisation Co</c:v>
                </c:pt>
                <c:pt idx="30">
                  <c:v>Extraction Mn</c:v>
                </c:pt>
                <c:pt idx="31">
                  <c:v>Scrubbing Mn</c:v>
                </c:pt>
                <c:pt idx="32">
                  <c:v>Stripping Mn</c:v>
                </c:pt>
                <c:pt idx="33">
                  <c:v>Cristallisation Mn</c:v>
                </c:pt>
                <c:pt idx="34">
                  <c:v>Concentration Li</c:v>
                </c:pt>
                <c:pt idx="35">
                  <c:v>Precipitation Li</c:v>
                </c:pt>
                <c:pt idx="36">
                  <c:v>Filtration Li</c:v>
                </c:pt>
              </c:strCache>
            </c:strRef>
          </c:cat>
          <c:val>
            <c:numRef>
              <c:extLst>
                <c:ext xmlns:c15="http://schemas.microsoft.com/office/drawing/2012/chart" uri="{02D57815-91ED-43cb-92C2-25804820EDAC}">
                  <c15:fullRef>
                    <c15:sqref>'R2_Econ.'!$N$12:$N$49</c15:sqref>
                  </c15:fullRef>
                </c:ext>
              </c:extLst>
              <c:f>'R2_Econ.'!$N$12:$N$48</c:f>
              <c:numCache>
                <c:formatCode>_-* #,##0\ "€"_-;\-* #,##0\ "€"_-;_-* "-"??\ "€"_-;_-@_-</c:formatCode>
                <c:ptCount val="37"/>
                <c:pt idx="0">
                  <c:v>528342.39442614967</c:v>
                </c:pt>
                <c:pt idx="1">
                  <c:v>42876.887340301975</c:v>
                </c:pt>
                <c:pt idx="2">
                  <c:v>91093.516280370619</c:v>
                </c:pt>
                <c:pt idx="3">
                  <c:v>72874.813024296498</c:v>
                </c:pt>
                <c:pt idx="4">
                  <c:v>1801745.2246395454</c:v>
                </c:pt>
                <c:pt idx="5">
                  <c:v>3024148.1966628185</c:v>
                </c:pt>
                <c:pt idx="6">
                  <c:v>1801745.2246395454</c:v>
                </c:pt>
                <c:pt idx="7">
                  <c:v>184837.19957723311</c:v>
                </c:pt>
                <c:pt idx="8">
                  <c:v>147869.75966178649</c:v>
                </c:pt>
                <c:pt idx="9">
                  <c:v>428986.95824751077</c:v>
                </c:pt>
                <c:pt idx="10">
                  <c:v>147869.75966178649</c:v>
                </c:pt>
                <c:pt idx="11">
                  <c:v>147869.75966178649</c:v>
                </c:pt>
                <c:pt idx="12">
                  <c:v>0</c:v>
                </c:pt>
                <c:pt idx="13">
                  <c:v>529615.37456184777</c:v>
                </c:pt>
                <c:pt idx="14">
                  <c:v>250518.06362996882</c:v>
                </c:pt>
                <c:pt idx="15">
                  <c:v>109632.90019634491</c:v>
                </c:pt>
                <c:pt idx="16">
                  <c:v>161370.71702483459</c:v>
                </c:pt>
                <c:pt idx="17">
                  <c:v>241161.80926652945</c:v>
                </c:pt>
                <c:pt idx="18">
                  <c:v>36321.758087921458</c:v>
                </c:pt>
                <c:pt idx="19">
                  <c:v>246018.98396775572</c:v>
                </c:pt>
                <c:pt idx="20">
                  <c:v>279777.52705561562</c:v>
                </c:pt>
                <c:pt idx="21">
                  <c:v>44998.900317040418</c:v>
                </c:pt>
                <c:pt idx="22">
                  <c:v>264193.14229067729</c:v>
                </c:pt>
                <c:pt idx="23">
                  <c:v>148548.09424329345</c:v>
                </c:pt>
                <c:pt idx="24">
                  <c:v>183460.35401854056</c:v>
                </c:pt>
                <c:pt idx="25">
                  <c:v>148580.63612856274</c:v>
                </c:pt>
                <c:pt idx="26">
                  <c:v>81709.108305993752</c:v>
                </c:pt>
                <c:pt idx="27">
                  <c:v>100910.48700513244</c:v>
                </c:pt>
                <c:pt idx="28">
                  <c:v>3934944.6901792563</c:v>
                </c:pt>
                <c:pt idx="29">
                  <c:v>1999593.9642720707</c:v>
                </c:pt>
                <c:pt idx="30">
                  <c:v>214454.84196976127</c:v>
                </c:pt>
                <c:pt idx="31">
                  <c:v>63955.316876599762</c:v>
                </c:pt>
                <c:pt idx="32">
                  <c:v>79018.143738982195</c:v>
                </c:pt>
                <c:pt idx="33">
                  <c:v>1446211.3028897282</c:v>
                </c:pt>
                <c:pt idx="34">
                  <c:v>2338131.000075039</c:v>
                </c:pt>
                <c:pt idx="35">
                  <c:v>223503.78049804899</c:v>
                </c:pt>
                <c:pt idx="36">
                  <c:v>32548.919996727458</c:v>
                </c:pt>
              </c:numCache>
            </c:numRef>
          </c:val>
          <c:extLst>
            <c:ext xmlns:c15="http://schemas.microsoft.com/office/drawing/2012/chart" uri="{02D57815-91ED-43cb-92C2-25804820EDAC}">
              <c15:categoryFilterExceptions>
                <c15:categoryFilterException>
                  <c15:sqref>'R2_Econ.'!$N$49</c15:sqref>
                  <c15:spPr xmlns:c15="http://schemas.microsoft.com/office/drawing/2012/chart">
                    <a:solidFill>
                      <a:srgbClr val="AEBEB6"/>
                    </a:solidFill>
                    <a:ln>
                      <a:solidFill>
                        <a:srgbClr val="AEBEB6"/>
                      </a:solidFill>
                    </a:ln>
                    <a:effectLst/>
                  </c15:spPr>
                  <c15:invertIfNegative val="0"/>
                  <c15:bubble3D val="0"/>
                </c15:categoryFilterException>
              </c15:categoryFilterExceptions>
            </c:ext>
            <c:ext xmlns:c16="http://schemas.microsoft.com/office/drawing/2014/chart" uri="{C3380CC4-5D6E-409C-BE32-E72D297353CC}">
              <c16:uniqueId val="{00000048-271A-4E79-9FCC-1E5DE9545B3A}"/>
            </c:ext>
          </c:extLst>
        </c:ser>
        <c:dLbls>
          <c:showLegendKey val="0"/>
          <c:showVal val="0"/>
          <c:showCatName val="0"/>
          <c:showSerName val="0"/>
          <c:showPercent val="0"/>
          <c:showBubbleSize val="0"/>
        </c:dLbls>
        <c:gapWidth val="219"/>
        <c:axId val="646288960"/>
        <c:axId val="646292704"/>
      </c:barChart>
      <c:catAx>
        <c:axId val="6462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92704"/>
        <c:crosses val="autoZero"/>
        <c:auto val="1"/>
        <c:lblAlgn val="ctr"/>
        <c:lblOffset val="100"/>
        <c:noMultiLvlLbl val="0"/>
      </c:catAx>
      <c:valAx>
        <c:axId val="646292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88960"/>
        <c:crosses val="autoZero"/>
        <c:crossBetween val="between"/>
        <c:majorUnit val="1000000"/>
        <c:dispUnits>
          <c:builtInUnit val="millions"/>
          <c:dispUnitsLbl>
            <c:layout>
              <c:manualLayout>
                <c:xMode val="edge"/>
                <c:yMode val="edge"/>
                <c:x val="0.40761689727482731"/>
                <c:y val="0.91839308039062029"/>
              </c:manualLayout>
            </c:layout>
            <c:tx>
              <c:rich>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r>
                    <a:rPr lang="en-US" sz="1050" b="0" i="0" baseline="0">
                      <a:effectLst/>
                    </a:rPr>
                    <a:t>Process specific needed investment [M€]</a:t>
                  </a:r>
                  <a:endParaRPr lang="en-US" sz="1050">
                    <a:effectLst/>
                  </a:endParaRPr>
                </a:p>
              </c:rich>
            </c:tx>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Costs</c:v>
          </c:tx>
          <c:spPr>
            <a:solidFill>
              <a:schemeClr val="accent2"/>
            </a:solidFill>
            <a:ln w="9525">
              <a:noFill/>
            </a:ln>
            <a:effectLst/>
          </c:spPr>
          <c:invertIfNegative val="0"/>
          <c:cat>
            <c:strRef>
              <c:f>Evaluation!$B$29:$B$63</c:f>
              <c:strCache>
                <c:ptCount val="35"/>
                <c:pt idx="0">
                  <c:v>Waste (Incineration)</c:v>
                </c:pt>
                <c:pt idx="1">
                  <c:v>Wastewater (municipal)</c:v>
                </c:pt>
                <c:pt idx="2">
                  <c:v>Wastewater (industrial)</c:v>
                </c:pt>
                <c:pt idx="3">
                  <c:v>Aluminium</c:v>
                </c:pt>
                <c:pt idx="4">
                  <c:v>Aluminiumhydroxide</c:v>
                </c:pt>
                <c:pt idx="5">
                  <c:v>Calcium sulfate</c:v>
                </c:pt>
                <c:pt idx="6">
                  <c:v>CoSO4 * 7 H2O</c:v>
                </c:pt>
                <c:pt idx="7">
                  <c:v>Cyanex 272</c:v>
                </c:pt>
                <c:pt idx="8">
                  <c:v>Cyanex 301GN</c:v>
                </c:pt>
                <c:pt idx="9">
                  <c:v>D2EHPA</c:v>
                </c:pt>
                <c:pt idx="10">
                  <c:v>Iron</c:v>
                </c:pt>
                <c:pt idx="11">
                  <c:v>Iron hydroxide Fe (OH) 3</c:v>
                </c:pt>
                <c:pt idx="12">
                  <c:v>Electricity</c:v>
                </c:pt>
                <c:pt idx="13">
                  <c:v>Electrolyte</c:v>
                </c:pt>
                <c:pt idx="14">
                  <c:v>Electronic scrap (circuit board)</c:v>
                </c:pt>
                <c:pt idx="15">
                  <c:v>Natural gas (CH4)</c:v>
                </c:pt>
                <c:pt idx="16">
                  <c:v>Graphite</c:v>
                </c:pt>
                <c:pt idx="17">
                  <c:v>Cable</c:v>
                </c:pt>
                <c:pt idx="18">
                  <c:v>Limestone (CaO)</c:v>
                </c:pt>
                <c:pt idx="19">
                  <c:v>Kerosene</c:v>
                </c:pt>
                <c:pt idx="20">
                  <c:v>concentrated wastewater</c:v>
                </c:pt>
                <c:pt idx="21">
                  <c:v>Copper</c:v>
                </c:pt>
                <c:pt idx="22">
                  <c:v>Li2CO3 (anhydrous)</c:v>
                </c:pt>
                <c:pt idx="23">
                  <c:v>MnSO4 * 1 H2O</c:v>
                </c:pt>
                <c:pt idx="24">
                  <c:v>Sodium carbonate</c:v>
                </c:pt>
                <c:pt idx="25">
                  <c:v>Sodium hydrogen carbonate</c:v>
                </c:pt>
                <c:pt idx="26">
                  <c:v>Sodium hydroxide</c:v>
                </c:pt>
                <c:pt idx="27">
                  <c:v>NiSO4 * 6 H2O</c:v>
                </c:pt>
                <c:pt idx="28">
                  <c:v>Sand (SiO2)</c:v>
                </c:pt>
                <c:pt idx="29">
                  <c:v>Oxygen</c:v>
                </c:pt>
                <c:pt idx="30">
                  <c:v>Sulfuric acid (95%)</c:v>
                </c:pt>
                <c:pt idx="31">
                  <c:v>Steel</c:v>
                </c:pt>
                <c:pt idx="32">
                  <c:v>Nitrogen</c:v>
                </c:pt>
                <c:pt idx="33">
                  <c:v>Water (Input)</c:v>
                </c:pt>
                <c:pt idx="34">
                  <c:v>Hydrogen peroxide</c:v>
                </c:pt>
              </c:strCache>
            </c:strRef>
          </c:cat>
          <c:val>
            <c:numRef>
              <c:f>Evaluation!$G$29:$G$63</c:f>
              <c:numCache>
                <c:formatCode>_("€"* #,##0.00_);_("€"* \(#,##0.00\);_("€"* "-"??_);_(@_)</c:formatCode>
                <c:ptCount val="35"/>
                <c:pt idx="0">
                  <c:v>4.0672714401300113E-3</c:v>
                </c:pt>
                <c:pt idx="1">
                  <c:v>8.6166207834878581E-4</c:v>
                </c:pt>
                <c:pt idx="2">
                  <c:v>0</c:v>
                </c:pt>
                <c:pt idx="7">
                  <c:v>2.9605355880936254E-5</c:v>
                </c:pt>
                <c:pt idx="9">
                  <c:v>0</c:v>
                </c:pt>
                <c:pt idx="10">
                  <c:v>7.247095328669496E-5</c:v>
                </c:pt>
                <c:pt idx="12">
                  <c:v>0.10908403192841393</c:v>
                </c:pt>
                <c:pt idx="15">
                  <c:v>1.679052913374597E-4</c:v>
                </c:pt>
                <c:pt idx="18">
                  <c:v>3.2840330897802627E-3</c:v>
                </c:pt>
                <c:pt idx="19">
                  <c:v>0</c:v>
                </c:pt>
                <c:pt idx="20">
                  <c:v>0</c:v>
                </c:pt>
                <c:pt idx="24">
                  <c:v>0</c:v>
                </c:pt>
                <c:pt idx="26">
                  <c:v>0.14844871756511635</c:v>
                </c:pt>
                <c:pt idx="28">
                  <c:v>2.9985747117072148E-3</c:v>
                </c:pt>
                <c:pt idx="29">
                  <c:v>7.9158088134564566E-3</c:v>
                </c:pt>
                <c:pt idx="30">
                  <c:v>1.3705839875148704E-2</c:v>
                </c:pt>
                <c:pt idx="33">
                  <c:v>1.8473616321142424E-4</c:v>
                </c:pt>
                <c:pt idx="34">
                  <c:v>8.5755979214175601E-5</c:v>
                </c:pt>
              </c:numCache>
            </c:numRef>
          </c:val>
          <c:extLst>
            <c:ext xmlns:c16="http://schemas.microsoft.com/office/drawing/2014/chart" uri="{C3380CC4-5D6E-409C-BE32-E72D297353CC}">
              <c16:uniqueId val="{00000000-6D40-4097-B215-E48BBA1CBC5A}"/>
            </c:ext>
          </c:extLst>
        </c:ser>
        <c:ser>
          <c:idx val="1"/>
          <c:order val="1"/>
          <c:tx>
            <c:v>Revenues</c:v>
          </c:tx>
          <c:spPr>
            <a:solidFill>
              <a:srgbClr val="0C4E63"/>
            </a:solidFill>
            <a:ln w="9525">
              <a:solidFill>
                <a:srgbClr val="003F57"/>
              </a:solidFill>
            </a:ln>
            <a:effectLst/>
          </c:spPr>
          <c:invertIfNegative val="0"/>
          <c:val>
            <c:numRef>
              <c:f>Evaluation!$H$29:$H$63</c:f>
              <c:numCache>
                <c:formatCode>_("€"* #,##0.00_);_("€"* \(#,##0.00\);_("€"* "-"??_);_(@_)</c:formatCode>
                <c:ptCount val="35"/>
                <c:pt idx="3">
                  <c:v>0.33363090175666882</c:v>
                </c:pt>
                <c:pt idx="5">
                  <c:v>0</c:v>
                </c:pt>
                <c:pt idx="6">
                  <c:v>1.996494386240699</c:v>
                </c:pt>
                <c:pt idx="11">
                  <c:v>7.3572382675373489E-4</c:v>
                </c:pt>
                <c:pt idx="12">
                  <c:v>1.4443721535458685E-3</c:v>
                </c:pt>
                <c:pt idx="14">
                  <c:v>1.2218647361942201E-2</c:v>
                </c:pt>
                <c:pt idx="17">
                  <c:v>0</c:v>
                </c:pt>
                <c:pt idx="21">
                  <c:v>0.56720232869824549</c:v>
                </c:pt>
                <c:pt idx="22">
                  <c:v>0</c:v>
                </c:pt>
                <c:pt idx="23">
                  <c:v>0</c:v>
                </c:pt>
                <c:pt idx="27">
                  <c:v>1.9090231659851413</c:v>
                </c:pt>
                <c:pt idx="28">
                  <c:v>0</c:v>
                </c:pt>
                <c:pt idx="31">
                  <c:v>3.292169660377358E-2</c:v>
                </c:pt>
              </c:numCache>
            </c:numRef>
          </c:val>
          <c:extLst>
            <c:ext xmlns:c16="http://schemas.microsoft.com/office/drawing/2014/chart" uri="{C3380CC4-5D6E-409C-BE32-E72D297353CC}">
              <c16:uniqueId val="{00000001-6D40-4097-B215-E48BBA1CBC5A}"/>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a:t>Resource flow specific costs and revenues [k€ / t spent LIB]</a:t>
                </a:r>
              </a:p>
            </c:rich>
          </c:tx>
          <c:layout>
            <c:manualLayout>
              <c:xMode val="edge"/>
              <c:yMode val="edge"/>
              <c:x val="0.28780079258861463"/>
              <c:y val="0.91213301147806869"/>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1668201384616919"/>
          <c:y val="0.95731526616094598"/>
          <c:w val="0.24391941428421496"/>
          <c:h val="3.1838509108124337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400656411585804"/>
          <c:y val="1.7190679014975407E-2"/>
          <c:w val="0.56197391790071738"/>
          <c:h val="0.8595477335863807"/>
        </c:manualLayout>
      </c:layout>
      <c:barChart>
        <c:barDir val="bar"/>
        <c:grouping val="clustered"/>
        <c:varyColors val="0"/>
        <c:ser>
          <c:idx val="0"/>
          <c:order val="0"/>
          <c:tx>
            <c:v>Effort</c:v>
          </c:tx>
          <c:spPr>
            <a:solidFill>
              <a:srgbClr val="FA6E00"/>
            </a:solidFill>
            <a:ln w="9525">
              <a:solidFill>
                <a:srgbClr val="FA6E00"/>
              </a:solidFill>
            </a:ln>
            <a:effectLst/>
          </c:spPr>
          <c:invertIfNegative val="0"/>
          <c:cat>
            <c:strRef>
              <c:f>(Evaluation!$B$70:$B$74,Evaluation!$B$88:$B$97,Evaluation!$B$130:$B$148,Evaluation!$B$149)</c:f>
              <c:strCache>
                <c:ptCount val="35"/>
                <c:pt idx="0">
                  <c:v>Transport</c:v>
                </c:pt>
                <c:pt idx="1">
                  <c:v>Storage</c:v>
                </c:pt>
                <c:pt idx="2">
                  <c:v>Storage (defective)</c:v>
                </c:pt>
                <c:pt idx="3">
                  <c:v>Unloading</c:v>
                </c:pt>
                <c:pt idx="4">
                  <c:v>Dismantling</c:v>
                </c:pt>
                <c:pt idx="5">
                  <c:v>Deactivation and evaporation</c:v>
                </c:pt>
                <c:pt idx="6">
                  <c:v>Exhaust gas cleaning</c:v>
                </c:pt>
                <c:pt idx="7">
                  <c:v>Shredder</c:v>
                </c:pt>
                <c:pt idx="8">
                  <c:v>Magnetic separation</c:v>
                </c:pt>
                <c:pt idx="9">
                  <c:v>Sieving</c:v>
                </c:pt>
                <c:pt idx="10">
                  <c:v>Zigzag sighting</c:v>
                </c:pt>
                <c:pt idx="11">
                  <c:v>Melting</c:v>
                </c:pt>
                <c:pt idx="12">
                  <c:v>Exhaust gas treatment</c:v>
                </c:pt>
                <c:pt idx="13">
                  <c:v>Mill (alloy)</c:v>
                </c:pt>
                <c:pt idx="14">
                  <c:v>Mill (slag)</c:v>
                </c:pt>
                <c:pt idx="15">
                  <c:v>Digestion</c:v>
                </c:pt>
                <c:pt idx="16">
                  <c:v>Leaching</c:v>
                </c:pt>
                <c:pt idx="17">
                  <c:v>Cementation Cu</c:v>
                </c:pt>
                <c:pt idx="18">
                  <c:v>Filtration Cu</c:v>
                </c:pt>
                <c:pt idx="19">
                  <c:v>Oxidation Fe</c:v>
                </c:pt>
                <c:pt idx="20">
                  <c:v>Precipitation, filtration Fe</c:v>
                </c:pt>
                <c:pt idx="21">
                  <c:v>Extraction Co</c:v>
                </c:pt>
                <c:pt idx="22">
                  <c:v>Crystallization Ni</c:v>
                </c:pt>
                <c:pt idx="23">
                  <c:v>Crystallization Co</c:v>
                </c:pt>
                <c:pt idx="24">
                  <c:v>Digestion (slag)</c:v>
                </c:pt>
                <c:pt idx="25">
                  <c:v>Leaching (slag)</c:v>
                </c:pt>
                <c:pt idx="26">
                  <c:v>Filtration SiO2, CaSO4 (slag)</c:v>
                </c:pt>
                <c:pt idx="27">
                  <c:v>Oxidation</c:v>
                </c:pt>
                <c:pt idx="28">
                  <c:v>Precipitation, filtration Fe, Al</c:v>
                </c:pt>
                <c:pt idx="29">
                  <c:v>Extraction Mn (slag)</c:v>
                </c:pt>
                <c:pt idx="30">
                  <c:v>Crystallization Mn (slag)</c:v>
                </c:pt>
                <c:pt idx="31">
                  <c:v>Precipitation, Filtration Li (slag)</c:v>
                </c:pt>
                <c:pt idx="32">
                  <c:v>Fresh water</c:v>
                </c:pt>
                <c:pt idx="33">
                  <c:v>Wastewater (municipal)</c:v>
                </c:pt>
                <c:pt idx="34">
                  <c:v>Wastewater (industrial)</c:v>
                </c:pt>
              </c:strCache>
            </c:strRef>
          </c:cat>
          <c:val>
            <c:numRef>
              <c:f>(Evaluation!$G$70:$G$74,Evaluation!$G$88:$G$97,Evaluation!$G$130:$G$148,Evaluation!$G$149)</c:f>
              <c:numCache>
                <c:formatCode>General</c:formatCode>
                <c:ptCount val="35"/>
                <c:pt idx="3" formatCode="_-* #,##0.000_-;\-* #,##0.000_-;_-* &quot;-&quot;??_-;_-@_-">
                  <c:v>0</c:v>
                </c:pt>
                <c:pt idx="4" formatCode="_-* #,##0.000_-;\-* #,##0.000_-;_-* &quot;-&quot;??_-;_-@_-">
                  <c:v>0</c:v>
                </c:pt>
                <c:pt idx="5" formatCode="_-* #,##0.000_-;\-* #,##0.000_-;_-* &quot;-&quot;??_-;_-@_-">
                  <c:v>2.0618138948851429E-2</c:v>
                </c:pt>
                <c:pt idx="6" formatCode="_-* #,##0.000_-;\-* #,##0.000_-;_-* &quot;-&quot;??_-;_-@_-">
                  <c:v>2.1976433167064267E-3</c:v>
                </c:pt>
                <c:pt idx="7" formatCode="_-* #,##0.000_-;\-* #,##0.000_-;_-* &quot;-&quot;??_-;_-@_-">
                  <c:v>1.4645335350869958E-4</c:v>
                </c:pt>
                <c:pt idx="8" formatCode="_-* #,##0.000_-;\-* #,##0.000_-;_-* &quot;-&quot;??_-;_-@_-">
                  <c:v>0</c:v>
                </c:pt>
                <c:pt idx="9" formatCode="_-* #,##0.000_-;\-* #,##0.000_-;_-* &quot;-&quot;??_-;_-@_-">
                  <c:v>7.3226676754349802E-4</c:v>
                </c:pt>
                <c:pt idx="10" formatCode="_-* #,##0.000_-;\-* #,##0.000_-;_-* &quot;-&quot;??_-;_-@_-">
                  <c:v>0.11077482864401599</c:v>
                </c:pt>
                <c:pt idx="11" formatCode="_-* #,##0.000_-;\-* #,##0.000_-;_-* &quot;-&quot;??_-;_-@_-">
                  <c:v>9.4453400996382442E-2</c:v>
                </c:pt>
                <c:pt idx="12" formatCode="_-* #,##0.000_-;\-* #,##0.000_-;_-* &quot;-&quot;??_-;_-@_-">
                  <c:v>2.1976433167064267E-3</c:v>
                </c:pt>
                <c:pt idx="13" formatCode="_-* #,##0.000_-;\-* #,##0.000_-;_-* &quot;-&quot;??_-;_-@_-">
                  <c:v>4.20873170443548E-4</c:v>
                </c:pt>
                <c:pt idx="14" formatCode="_-* #,##0.000_-;\-* #,##0.000_-;_-* &quot;-&quot;??_-;_-@_-">
                  <c:v>0</c:v>
                </c:pt>
                <c:pt idx="15" formatCode="_-* #,##0.000_-;\-* #,##0.000_-;_-* &quot;-&quot;??_-;_-@_-">
                  <c:v>2.4842436414521565E-2</c:v>
                </c:pt>
                <c:pt idx="16" formatCode="_-* #,##0.000_-;\-* #,##0.000_-;_-* &quot;-&quot;??_-;_-@_-">
                  <c:v>9.5848889160362293E-4</c:v>
                </c:pt>
                <c:pt idx="17" formatCode="_-* #,##0.000_-;\-* #,##0.000_-;_-* &quot;-&quot;??_-;_-@_-">
                  <c:v>2.1571411284226133E-3</c:v>
                </c:pt>
                <c:pt idx="18" formatCode="_-* #,##0.000_-;\-* #,##0.000_-;_-* &quot;-&quot;??_-;_-@_-">
                  <c:v>7.3925260974114953E-4</c:v>
                </c:pt>
                <c:pt idx="19" formatCode="_-* #,##0.000_-;\-* #,##0.000_-;_-* &quot;-&quot;??_-;_-@_-">
                  <c:v>5.5089318231372218E-2</c:v>
                </c:pt>
                <c:pt idx="20" formatCode="_-* #,##0.000_-;\-* #,##0.000_-;_-* &quot;-&quot;??_-;_-@_-">
                  <c:v>0.33145708729683154</c:v>
                </c:pt>
                <c:pt idx="21" formatCode="_-* #,##0.000_-;\-* #,##0.000_-;_-* &quot;-&quot;??_-;_-@_-">
                  <c:v>1.8296180969169986E-3</c:v>
                </c:pt>
                <c:pt idx="22" formatCode="_-* #,##0.000_-;\-* #,##0.000_-;_-* &quot;-&quot;??_-;_-@_-">
                  <c:v>0.17888330599678609</c:v>
                </c:pt>
                <c:pt idx="23" formatCode="_-* #,##0.000_-;\-* #,##0.000_-;_-* &quot;-&quot;??_-;_-@_-">
                  <c:v>3.4181947330778513E-2</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pt idx="29" formatCode="_-* #,##0.000_-;\-* #,##0.000_-;_-* &quot;-&quot;??_-;_-@_-">
                  <c:v>0</c:v>
                </c:pt>
                <c:pt idx="30" formatCode="_-* #,##0.000_-;\-* #,##0.000_-;_-* &quot;-&quot;??_-;_-@_-">
                  <c:v>0</c:v>
                </c:pt>
                <c:pt idx="31" formatCode="_-* #,##0.000_-;\-* #,##0.000_-;_-* &quot;-&quot;??_-;_-@_-">
                  <c:v>0</c:v>
                </c:pt>
                <c:pt idx="32" formatCode="_-* #,##0.0000_-;\-* #,##0.0000_-;_-* &quot;-&quot;??_-;_-@_-">
                  <c:v>1.9776647861352925E-8</c:v>
                </c:pt>
                <c:pt idx="33" formatCode="_-* #,##0.0000_-;\-* #,##0.0000_-;_-* &quot;-&quot;??_-;_-@_-">
                  <c:v>1.0215506807688641E-4</c:v>
                </c:pt>
                <c:pt idx="34" formatCode="_-* #,##0.0000_-;\-* #,##0.0000_-;_-* &quot;-&quot;??_-;_-@_-">
                  <c:v>0</c:v>
                </c:pt>
              </c:numCache>
            </c:numRef>
          </c:val>
          <c:extLst>
            <c:ext xmlns:c16="http://schemas.microsoft.com/office/drawing/2014/chart" uri="{C3380CC4-5D6E-409C-BE32-E72D297353CC}">
              <c16:uniqueId val="{00000000-ACAC-4105-8678-29898949D179}"/>
            </c:ext>
          </c:extLst>
        </c:ser>
        <c:ser>
          <c:idx val="1"/>
          <c:order val="1"/>
          <c:tx>
            <c:strRef>
              <c:f>Evaluation!$H$69</c:f>
              <c:strCache>
                <c:ptCount val="1"/>
                <c:pt idx="0">
                  <c:v>Credits</c:v>
                </c:pt>
              </c:strCache>
            </c:strRef>
          </c:tx>
          <c:spPr>
            <a:solidFill>
              <a:srgbClr val="003F57"/>
            </a:solidFill>
            <a:ln w="9525">
              <a:solidFill>
                <a:srgbClr val="003F57"/>
              </a:solidFill>
            </a:ln>
            <a:effectLst/>
          </c:spPr>
          <c:invertIfNegative val="0"/>
          <c:cat>
            <c:strRef>
              <c:f>(Evaluation!$B$70:$B$74,Evaluation!$B$88:$B$97,Evaluation!$B$130:$B$148,Evaluation!$B$149)</c:f>
              <c:strCache>
                <c:ptCount val="35"/>
                <c:pt idx="0">
                  <c:v>Transport</c:v>
                </c:pt>
                <c:pt idx="1">
                  <c:v>Storage</c:v>
                </c:pt>
                <c:pt idx="2">
                  <c:v>Storage (defective)</c:v>
                </c:pt>
                <c:pt idx="3">
                  <c:v>Unloading</c:v>
                </c:pt>
                <c:pt idx="4">
                  <c:v>Dismantling</c:v>
                </c:pt>
                <c:pt idx="5">
                  <c:v>Deactivation and evaporation</c:v>
                </c:pt>
                <c:pt idx="6">
                  <c:v>Exhaust gas cleaning</c:v>
                </c:pt>
                <c:pt idx="7">
                  <c:v>Shredder</c:v>
                </c:pt>
                <c:pt idx="8">
                  <c:v>Magnetic separation</c:v>
                </c:pt>
                <c:pt idx="9">
                  <c:v>Sieving</c:v>
                </c:pt>
                <c:pt idx="10">
                  <c:v>Zigzag sighting</c:v>
                </c:pt>
                <c:pt idx="11">
                  <c:v>Melting</c:v>
                </c:pt>
                <c:pt idx="12">
                  <c:v>Exhaust gas treatment</c:v>
                </c:pt>
                <c:pt idx="13">
                  <c:v>Mill (alloy)</c:v>
                </c:pt>
                <c:pt idx="14">
                  <c:v>Mill (slag)</c:v>
                </c:pt>
                <c:pt idx="15">
                  <c:v>Digestion</c:v>
                </c:pt>
                <c:pt idx="16">
                  <c:v>Leaching</c:v>
                </c:pt>
                <c:pt idx="17">
                  <c:v>Cementation Cu</c:v>
                </c:pt>
                <c:pt idx="18">
                  <c:v>Filtration Cu</c:v>
                </c:pt>
                <c:pt idx="19">
                  <c:v>Oxidation Fe</c:v>
                </c:pt>
                <c:pt idx="20">
                  <c:v>Precipitation, filtration Fe</c:v>
                </c:pt>
                <c:pt idx="21">
                  <c:v>Extraction Co</c:v>
                </c:pt>
                <c:pt idx="22">
                  <c:v>Crystallization Ni</c:v>
                </c:pt>
                <c:pt idx="23">
                  <c:v>Crystallization Co</c:v>
                </c:pt>
                <c:pt idx="24">
                  <c:v>Digestion (slag)</c:v>
                </c:pt>
                <c:pt idx="25">
                  <c:v>Leaching (slag)</c:v>
                </c:pt>
                <c:pt idx="26">
                  <c:v>Filtration SiO2, CaSO4 (slag)</c:v>
                </c:pt>
                <c:pt idx="27">
                  <c:v>Oxidation</c:v>
                </c:pt>
                <c:pt idx="28">
                  <c:v>Precipitation, filtration Fe, Al</c:v>
                </c:pt>
                <c:pt idx="29">
                  <c:v>Extraction Mn (slag)</c:v>
                </c:pt>
                <c:pt idx="30">
                  <c:v>Crystallization Mn (slag)</c:v>
                </c:pt>
                <c:pt idx="31">
                  <c:v>Precipitation, Filtration Li (slag)</c:v>
                </c:pt>
                <c:pt idx="32">
                  <c:v>Fresh water</c:v>
                </c:pt>
                <c:pt idx="33">
                  <c:v>Wastewater (municipal)</c:v>
                </c:pt>
                <c:pt idx="34">
                  <c:v>Wastewater (industrial)</c:v>
                </c:pt>
              </c:strCache>
            </c:strRef>
          </c:cat>
          <c:val>
            <c:numRef>
              <c:f>(Evaluation!$H$70:$H$74,Evaluation!$H$88:$H$97,Evaluation!$H$130:$H$148,Evaluation!$H$149)</c:f>
              <c:numCache>
                <c:formatCode>General</c:formatCode>
                <c:ptCount val="35"/>
                <c:pt idx="3" formatCode="_-* #,##0.000_-;\-* #,##0.000_-;_-* &quot;-&quot;??_-;_-@_-">
                  <c:v>3.2964649750596401E-3</c:v>
                </c:pt>
                <c:pt idx="4" formatCode="_-* #,##0.000_-;\-* #,##0.000_-;_-* &quot;-&quot;??_-;_-@_-">
                  <c:v>2.2437446664105165</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0.65573494842134572</c:v>
                </c:pt>
                <c:pt idx="11" formatCode="_-* #,##0.000_-;\-* #,##0.000_-;_-* &quot;-&quot;??_-;_-@_-">
                  <c:v>0</c:v>
                </c:pt>
                <c:pt idx="12" formatCode="_-* #,##0.000_-;\-* #,##0.000_-;_-* &quot;-&quot;??_-;_-@_-">
                  <c:v>0</c:v>
                </c:pt>
                <c:pt idx="13" formatCode="_-* #,##0.000_-;\-* #,##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3.7020660586532302E-3</c:v>
                </c:pt>
                <c:pt idx="19" formatCode="_-* #,##0.000_-;\-* #,##0.000_-;_-* &quot;-&quot;??_-;_-@_-">
                  <c:v>0</c:v>
                </c:pt>
                <c:pt idx="20" formatCode="_-* #,##0.000_-;\-* #,##0.000_-;_-* &quot;-&quot;??_-;_-@_-">
                  <c:v>1.7602534265684415E-4</c:v>
                </c:pt>
                <c:pt idx="21" formatCode="_-* #,##0.000_-;\-* #,##0.000_-;_-* &quot;-&quot;??_-;_-@_-">
                  <c:v>0</c:v>
                </c:pt>
                <c:pt idx="22" formatCode="_-* #,##0.000_-;\-* #,##0.000_-;_-* &quot;-&quot;??_-;_-@_-">
                  <c:v>1.7734914731619036</c:v>
                </c:pt>
                <c:pt idx="23" formatCode="_-* #,##0.000_-;\-* #,##0.000_-;_-* &quot;-&quot;??_-;_-@_-">
                  <c:v>3.5854221449467616</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pt idx="29" formatCode="_-* #,##0.000_-;\-* #,##0.000_-;_-* &quot;-&quot;??_-;_-@_-">
                  <c:v>0</c:v>
                </c:pt>
                <c:pt idx="30" formatCode="_-* #,##0.000_-;\-* #,##0.000_-;_-* &quot;-&quot;??_-;_-@_-">
                  <c:v>0</c:v>
                </c:pt>
                <c:pt idx="31" formatCode="_-* #,##0.000_-;\-* #,##0.000_-;_-* &quot;-&quot;??_-;_-@_-">
                  <c:v>0</c:v>
                </c:pt>
                <c:pt idx="32" formatCode="_-* #,##0.0000_-;\-* #,##0.0000_-;_-* &quot;-&quot;??_-;_-@_-">
                  <c:v>0</c:v>
                </c:pt>
                <c:pt idx="33" formatCode="_-* #,##0.0000_-;\-* #,##0.0000_-;_-* &quot;-&quot;??_-;_-@_-">
                  <c:v>0</c:v>
                </c:pt>
                <c:pt idx="34" formatCode="_-* #,##0.0000_-;\-* #,##0.0000_-;_-* &quot;-&quot;??_-;_-@_-">
                  <c:v>0</c:v>
                </c:pt>
              </c:numCache>
            </c:numRef>
          </c:val>
          <c:extLst>
            <c:ext xmlns:c16="http://schemas.microsoft.com/office/drawing/2014/chart" uri="{C3380CC4-5D6E-409C-BE32-E72D297353CC}">
              <c16:uniqueId val="{00000001-ACAC-4105-8678-29898949D179}"/>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a:t>Process specific climate impacts [t CO2-eq./ t spent</a:t>
                </a:r>
                <a:r>
                  <a:rPr lang="de-DE" baseline="0"/>
                  <a:t> LIB]</a:t>
                </a:r>
                <a:endParaRPr lang="de-DE"/>
              </a:p>
            </c:rich>
          </c:tx>
          <c:layout>
            <c:manualLayout>
              <c:xMode val="edge"/>
              <c:yMode val="edge"/>
              <c:x val="0.30291494774896516"/>
              <c:y val="0.91133444876863556"/>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majorUnit val="0.5"/>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2445879367047432"/>
          <c:y val="0.95732225207054966"/>
          <c:w val="0.27053437903124539"/>
          <c:h val="3.1833298323692874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382900024711983"/>
          <c:y val="2.1199510444294894E-2"/>
          <c:w val="0.49934638598205855"/>
          <c:h val="0.86020927626688493"/>
        </c:manualLayout>
      </c:layout>
      <c:barChart>
        <c:barDir val="bar"/>
        <c:grouping val="clustered"/>
        <c:varyColors val="0"/>
        <c:ser>
          <c:idx val="0"/>
          <c:order val="0"/>
          <c:spPr>
            <a:solidFill>
              <a:srgbClr val="AEBEB6"/>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1-30E8-4365-8105-0B0DDB6D6E40}"/>
              </c:ext>
            </c:extLst>
          </c:dPt>
          <c:dPt>
            <c:idx val="1"/>
            <c:invertIfNegative val="0"/>
            <c:bubble3D val="0"/>
            <c:spPr>
              <a:solidFill>
                <a:srgbClr val="003F57"/>
              </a:solidFill>
              <a:ln>
                <a:noFill/>
              </a:ln>
              <a:effectLst/>
            </c:spPr>
            <c:extLst>
              <c:ext xmlns:c16="http://schemas.microsoft.com/office/drawing/2014/chart" uri="{C3380CC4-5D6E-409C-BE32-E72D297353CC}">
                <c16:uniqueId val="{00000003-30E8-4365-8105-0B0DDB6D6E40}"/>
              </c:ext>
            </c:extLst>
          </c:dPt>
          <c:dPt>
            <c:idx val="3"/>
            <c:invertIfNegative val="0"/>
            <c:bubble3D val="0"/>
            <c:spPr>
              <a:solidFill>
                <a:srgbClr val="003F57"/>
              </a:solidFill>
              <a:ln>
                <a:noFill/>
              </a:ln>
              <a:effectLst/>
            </c:spPr>
            <c:extLst>
              <c:ext xmlns:c16="http://schemas.microsoft.com/office/drawing/2014/chart" uri="{C3380CC4-5D6E-409C-BE32-E72D297353CC}">
                <c16:uniqueId val="{00000007-30E8-4365-8105-0B0DDB6D6E40}"/>
              </c:ext>
            </c:extLst>
          </c:dPt>
          <c:dPt>
            <c:idx val="4"/>
            <c:invertIfNegative val="0"/>
            <c:bubble3D val="0"/>
            <c:spPr>
              <a:solidFill>
                <a:srgbClr val="003F57"/>
              </a:solidFill>
              <a:ln>
                <a:noFill/>
              </a:ln>
              <a:effectLst/>
            </c:spPr>
            <c:extLst>
              <c:ext xmlns:c16="http://schemas.microsoft.com/office/drawing/2014/chart" uri="{C3380CC4-5D6E-409C-BE32-E72D297353CC}">
                <c16:uniqueId val="{00000009-30E8-4365-8105-0B0DDB6D6E40}"/>
              </c:ext>
            </c:extLst>
          </c:dPt>
          <c:dPt>
            <c:idx val="5"/>
            <c:invertIfNegative val="0"/>
            <c:bubble3D val="0"/>
            <c:spPr>
              <a:solidFill>
                <a:srgbClr val="FA6E00"/>
              </a:solidFill>
              <a:ln>
                <a:noFill/>
              </a:ln>
              <a:effectLst/>
            </c:spPr>
            <c:extLst>
              <c:ext xmlns:c16="http://schemas.microsoft.com/office/drawing/2014/chart" uri="{C3380CC4-5D6E-409C-BE32-E72D297353CC}">
                <c16:uniqueId val="{0000000B-30E8-4365-8105-0B0DDB6D6E40}"/>
              </c:ext>
            </c:extLst>
          </c:dPt>
          <c:dPt>
            <c:idx val="6"/>
            <c:invertIfNegative val="0"/>
            <c:bubble3D val="0"/>
            <c:spPr>
              <a:solidFill>
                <a:srgbClr val="FA6E00"/>
              </a:solidFill>
              <a:ln>
                <a:noFill/>
              </a:ln>
              <a:effectLst/>
            </c:spPr>
            <c:extLst>
              <c:ext xmlns:c16="http://schemas.microsoft.com/office/drawing/2014/chart" uri="{C3380CC4-5D6E-409C-BE32-E72D297353CC}">
                <c16:uniqueId val="{0000000D-30E8-4365-8105-0B0DDB6D6E40}"/>
              </c:ext>
            </c:extLst>
          </c:dPt>
          <c:dPt>
            <c:idx val="7"/>
            <c:invertIfNegative val="0"/>
            <c:bubble3D val="0"/>
            <c:spPr>
              <a:solidFill>
                <a:srgbClr val="FA6E00"/>
              </a:solidFill>
              <a:ln>
                <a:noFill/>
              </a:ln>
              <a:effectLst/>
            </c:spPr>
            <c:extLst>
              <c:ext xmlns:c16="http://schemas.microsoft.com/office/drawing/2014/chart" uri="{C3380CC4-5D6E-409C-BE32-E72D297353CC}">
                <c16:uniqueId val="{0000000F-30E8-4365-8105-0B0DDB6D6E40}"/>
              </c:ext>
            </c:extLst>
          </c:dPt>
          <c:dPt>
            <c:idx val="8"/>
            <c:invertIfNegative val="0"/>
            <c:bubble3D val="0"/>
            <c:spPr>
              <a:solidFill>
                <a:srgbClr val="FA6E00"/>
              </a:solidFill>
              <a:ln>
                <a:noFill/>
              </a:ln>
              <a:effectLst/>
            </c:spPr>
            <c:extLst>
              <c:ext xmlns:c16="http://schemas.microsoft.com/office/drawing/2014/chart" uri="{C3380CC4-5D6E-409C-BE32-E72D297353CC}">
                <c16:uniqueId val="{00000011-30E8-4365-8105-0B0DDB6D6E40}"/>
              </c:ext>
            </c:extLst>
          </c:dPt>
          <c:dPt>
            <c:idx val="9"/>
            <c:invertIfNegative val="0"/>
            <c:bubble3D val="0"/>
            <c:spPr>
              <a:solidFill>
                <a:srgbClr val="FA6E00"/>
              </a:solidFill>
              <a:ln>
                <a:noFill/>
              </a:ln>
              <a:effectLst/>
            </c:spPr>
            <c:extLst>
              <c:ext xmlns:c16="http://schemas.microsoft.com/office/drawing/2014/chart" uri="{C3380CC4-5D6E-409C-BE32-E72D297353CC}">
                <c16:uniqueId val="{00000013-30E8-4365-8105-0B0DDB6D6E40}"/>
              </c:ext>
            </c:extLst>
          </c:dPt>
          <c:dPt>
            <c:idx val="10"/>
            <c:invertIfNegative val="0"/>
            <c:bubble3D val="0"/>
            <c:spPr>
              <a:solidFill>
                <a:srgbClr val="FA6E00"/>
              </a:solidFill>
              <a:ln>
                <a:noFill/>
              </a:ln>
              <a:effectLst/>
            </c:spPr>
            <c:extLst>
              <c:ext xmlns:c16="http://schemas.microsoft.com/office/drawing/2014/chart" uri="{C3380CC4-5D6E-409C-BE32-E72D297353CC}">
                <c16:uniqueId val="{00000015-30E8-4365-8105-0B0DDB6D6E40}"/>
              </c:ext>
            </c:extLst>
          </c:dPt>
          <c:dPt>
            <c:idx val="11"/>
            <c:invertIfNegative val="0"/>
            <c:bubble3D val="0"/>
            <c:spPr>
              <a:solidFill>
                <a:srgbClr val="FA6E00"/>
              </a:solidFill>
              <a:ln>
                <a:noFill/>
              </a:ln>
              <a:effectLst/>
            </c:spPr>
            <c:extLst>
              <c:ext xmlns:c16="http://schemas.microsoft.com/office/drawing/2014/chart" uri="{C3380CC4-5D6E-409C-BE32-E72D297353CC}">
                <c16:uniqueId val="{00000017-30E8-4365-8105-0B0DDB6D6E40}"/>
              </c:ext>
            </c:extLst>
          </c:dPt>
          <c:dPt>
            <c:idx val="12"/>
            <c:invertIfNegative val="0"/>
            <c:bubble3D val="0"/>
            <c:spPr>
              <a:solidFill>
                <a:srgbClr val="FA6E00"/>
              </a:solidFill>
              <a:ln>
                <a:noFill/>
              </a:ln>
              <a:effectLst/>
            </c:spPr>
            <c:extLst>
              <c:ext xmlns:c16="http://schemas.microsoft.com/office/drawing/2014/chart" uri="{C3380CC4-5D6E-409C-BE32-E72D297353CC}">
                <c16:uniqueId val="{00000019-30E8-4365-8105-0B0DDB6D6E40}"/>
              </c:ext>
            </c:extLst>
          </c:dPt>
          <c:dPt>
            <c:idx val="13"/>
            <c:invertIfNegative val="0"/>
            <c:bubble3D val="0"/>
            <c:spPr>
              <a:pattFill prst="dkDnDiag">
                <a:fgClr>
                  <a:srgbClr val="FA6E00"/>
                </a:fgClr>
                <a:bgClr>
                  <a:schemeClr val="bg1"/>
                </a:bgClr>
              </a:pattFill>
              <a:ln>
                <a:solidFill>
                  <a:srgbClr val="FA6E00"/>
                </a:solidFill>
              </a:ln>
              <a:effectLst/>
            </c:spPr>
            <c:extLst>
              <c:ext xmlns:c16="http://schemas.microsoft.com/office/drawing/2014/chart" uri="{C3380CC4-5D6E-409C-BE32-E72D297353CC}">
                <c16:uniqueId val="{0000001B-30E8-4365-8105-0B0DDB6D6E40}"/>
              </c:ext>
            </c:extLst>
          </c:dPt>
          <c:dPt>
            <c:idx val="14"/>
            <c:invertIfNegative val="0"/>
            <c:bubble3D val="0"/>
            <c:spPr>
              <a:solidFill>
                <a:srgbClr val="AEBEB6"/>
              </a:solidFill>
              <a:ln>
                <a:noFill/>
              </a:ln>
              <a:effectLst/>
            </c:spPr>
            <c:extLst>
              <c:ext xmlns:c16="http://schemas.microsoft.com/office/drawing/2014/chart" uri="{C3380CC4-5D6E-409C-BE32-E72D297353CC}">
                <c16:uniqueId val="{0000001D-30E8-4365-8105-0B0DDB6D6E40}"/>
              </c:ext>
            </c:extLst>
          </c:dPt>
          <c:dPt>
            <c:idx val="15"/>
            <c:invertIfNegative val="0"/>
            <c:bubble3D val="0"/>
            <c:spPr>
              <a:solidFill>
                <a:srgbClr val="AEBEB6"/>
              </a:solidFill>
              <a:ln>
                <a:noFill/>
              </a:ln>
              <a:effectLst/>
            </c:spPr>
            <c:extLst>
              <c:ext xmlns:c16="http://schemas.microsoft.com/office/drawing/2014/chart" uri="{C3380CC4-5D6E-409C-BE32-E72D297353CC}">
                <c16:uniqueId val="{0000001F-30E8-4365-8105-0B0DDB6D6E40}"/>
              </c:ext>
            </c:extLst>
          </c:dPt>
          <c:dPt>
            <c:idx val="16"/>
            <c:invertIfNegative val="0"/>
            <c:bubble3D val="0"/>
            <c:spPr>
              <a:solidFill>
                <a:srgbClr val="AEBEB6"/>
              </a:solidFill>
              <a:ln>
                <a:noFill/>
              </a:ln>
              <a:effectLst/>
            </c:spPr>
            <c:extLst>
              <c:ext xmlns:c16="http://schemas.microsoft.com/office/drawing/2014/chart" uri="{C3380CC4-5D6E-409C-BE32-E72D297353CC}">
                <c16:uniqueId val="{00000021-30E8-4365-8105-0B0DDB6D6E40}"/>
              </c:ext>
            </c:extLst>
          </c:dPt>
          <c:dPt>
            <c:idx val="17"/>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23-30E8-4365-8105-0B0DDB6D6E40}"/>
              </c:ext>
            </c:extLst>
          </c:dPt>
          <c:dPt>
            <c:idx val="18"/>
            <c:invertIfNegative val="0"/>
            <c:bubble3D val="0"/>
            <c:spPr>
              <a:solidFill>
                <a:srgbClr val="AEBEB6"/>
              </a:solidFill>
              <a:ln>
                <a:noFill/>
              </a:ln>
              <a:effectLst/>
            </c:spPr>
            <c:extLst>
              <c:ext xmlns:c16="http://schemas.microsoft.com/office/drawing/2014/chart" uri="{C3380CC4-5D6E-409C-BE32-E72D297353CC}">
                <c16:uniqueId val="{00000025-30E8-4365-8105-0B0DDB6D6E40}"/>
              </c:ext>
            </c:extLst>
          </c:dPt>
          <c:dPt>
            <c:idx val="19"/>
            <c:invertIfNegative val="0"/>
            <c:bubble3D val="0"/>
            <c:spPr>
              <a:solidFill>
                <a:srgbClr val="AEBEB6"/>
              </a:solidFill>
              <a:ln>
                <a:noFill/>
              </a:ln>
              <a:effectLst/>
            </c:spPr>
            <c:extLst>
              <c:ext xmlns:c16="http://schemas.microsoft.com/office/drawing/2014/chart" uri="{C3380CC4-5D6E-409C-BE32-E72D297353CC}">
                <c16:uniqueId val="{00000027-30E8-4365-8105-0B0DDB6D6E40}"/>
              </c:ext>
            </c:extLst>
          </c:dPt>
          <c:dPt>
            <c:idx val="20"/>
            <c:invertIfNegative val="0"/>
            <c:bubble3D val="0"/>
            <c:spPr>
              <a:solidFill>
                <a:srgbClr val="AEBEB6"/>
              </a:solidFill>
              <a:ln>
                <a:noFill/>
              </a:ln>
              <a:effectLst/>
            </c:spPr>
            <c:extLst>
              <c:ext xmlns:c16="http://schemas.microsoft.com/office/drawing/2014/chart" uri="{C3380CC4-5D6E-409C-BE32-E72D297353CC}">
                <c16:uniqueId val="{00000029-30E8-4365-8105-0B0DDB6D6E40}"/>
              </c:ext>
            </c:extLst>
          </c:dPt>
          <c:dPt>
            <c:idx val="21"/>
            <c:invertIfNegative val="0"/>
            <c:bubble3D val="0"/>
            <c:spPr>
              <a:solidFill>
                <a:srgbClr val="AEBEB6"/>
              </a:solidFill>
              <a:ln>
                <a:noFill/>
              </a:ln>
              <a:effectLst/>
            </c:spPr>
            <c:extLst>
              <c:ext xmlns:c16="http://schemas.microsoft.com/office/drawing/2014/chart" uri="{C3380CC4-5D6E-409C-BE32-E72D297353CC}">
                <c16:uniqueId val="{0000002B-30E8-4365-8105-0B0DDB6D6E40}"/>
              </c:ext>
            </c:extLst>
          </c:dPt>
          <c:dPt>
            <c:idx val="22"/>
            <c:invertIfNegative val="0"/>
            <c:bubble3D val="0"/>
            <c:spPr>
              <a:solidFill>
                <a:srgbClr val="AEBEB6"/>
              </a:solidFill>
              <a:ln>
                <a:noFill/>
              </a:ln>
              <a:effectLst/>
            </c:spPr>
            <c:extLst>
              <c:ext xmlns:c16="http://schemas.microsoft.com/office/drawing/2014/chart" uri="{C3380CC4-5D6E-409C-BE32-E72D297353CC}">
                <c16:uniqueId val="{0000002D-30E8-4365-8105-0B0DDB6D6E40}"/>
              </c:ext>
            </c:extLst>
          </c:dPt>
          <c:dPt>
            <c:idx val="23"/>
            <c:invertIfNegative val="0"/>
            <c:bubble3D val="0"/>
            <c:spPr>
              <a:solidFill>
                <a:srgbClr val="AEBEB6"/>
              </a:solidFill>
              <a:ln>
                <a:noFill/>
              </a:ln>
              <a:effectLst/>
            </c:spPr>
            <c:extLst>
              <c:ext xmlns:c16="http://schemas.microsoft.com/office/drawing/2014/chart" uri="{C3380CC4-5D6E-409C-BE32-E72D297353CC}">
                <c16:uniqueId val="{0000002F-30E8-4365-8105-0B0DDB6D6E40}"/>
              </c:ext>
            </c:extLst>
          </c:dPt>
          <c:dPt>
            <c:idx val="24"/>
            <c:invertIfNegative val="0"/>
            <c:bubble3D val="0"/>
            <c:spPr>
              <a:solidFill>
                <a:srgbClr val="AEBEB6"/>
              </a:solidFill>
              <a:ln>
                <a:noFill/>
              </a:ln>
              <a:effectLst/>
            </c:spPr>
            <c:extLst>
              <c:ext xmlns:c16="http://schemas.microsoft.com/office/drawing/2014/chart" uri="{C3380CC4-5D6E-409C-BE32-E72D297353CC}">
                <c16:uniqueId val="{00000031-30E8-4365-8105-0B0DDB6D6E40}"/>
              </c:ext>
            </c:extLst>
          </c:dPt>
          <c:dPt>
            <c:idx val="25"/>
            <c:invertIfNegative val="0"/>
            <c:bubble3D val="0"/>
            <c:spPr>
              <a:solidFill>
                <a:srgbClr val="AEBEB6"/>
              </a:solidFill>
              <a:ln>
                <a:noFill/>
              </a:ln>
              <a:effectLst/>
            </c:spPr>
            <c:extLst>
              <c:ext xmlns:c16="http://schemas.microsoft.com/office/drawing/2014/chart" uri="{C3380CC4-5D6E-409C-BE32-E72D297353CC}">
                <c16:uniqueId val="{00000033-30E8-4365-8105-0B0DDB6D6E40}"/>
              </c:ext>
            </c:extLst>
          </c:dPt>
          <c:dPt>
            <c:idx val="26"/>
            <c:invertIfNegative val="0"/>
            <c:bubble3D val="0"/>
            <c:spPr>
              <a:solidFill>
                <a:srgbClr val="AEBEB6"/>
              </a:solidFill>
              <a:ln>
                <a:noFill/>
              </a:ln>
              <a:effectLst/>
            </c:spPr>
            <c:extLst>
              <c:ext xmlns:c16="http://schemas.microsoft.com/office/drawing/2014/chart" uri="{C3380CC4-5D6E-409C-BE32-E72D297353CC}">
                <c16:uniqueId val="{00000035-30E8-4365-8105-0B0DDB6D6E40}"/>
              </c:ext>
            </c:extLst>
          </c:dPt>
          <c:dPt>
            <c:idx val="27"/>
            <c:invertIfNegative val="0"/>
            <c:bubble3D val="0"/>
            <c:spPr>
              <a:solidFill>
                <a:srgbClr val="AEBEB6"/>
              </a:solidFill>
              <a:ln>
                <a:solidFill>
                  <a:srgbClr val="AEBEB6"/>
                </a:solidFill>
              </a:ln>
              <a:effectLst/>
            </c:spPr>
            <c:extLst>
              <c:ext xmlns:c16="http://schemas.microsoft.com/office/drawing/2014/chart" uri="{C3380CC4-5D6E-409C-BE32-E72D297353CC}">
                <c16:uniqueId val="{00000037-30E8-4365-8105-0B0DDB6D6E40}"/>
              </c:ext>
            </c:extLst>
          </c:dPt>
          <c:dPt>
            <c:idx val="28"/>
            <c:invertIfNegative val="0"/>
            <c:bubble3D val="0"/>
            <c:spPr>
              <a:solidFill>
                <a:srgbClr val="AEBEB6"/>
              </a:solidFill>
              <a:ln>
                <a:solidFill>
                  <a:srgbClr val="AEBEB6"/>
                </a:solidFill>
              </a:ln>
              <a:effectLst/>
            </c:spPr>
            <c:extLst>
              <c:ext xmlns:c16="http://schemas.microsoft.com/office/drawing/2014/chart" uri="{C3380CC4-5D6E-409C-BE32-E72D297353CC}">
                <c16:uniqueId val="{00000039-30E8-4365-8105-0B0DDB6D6E40}"/>
              </c:ext>
            </c:extLst>
          </c:dPt>
          <c:dPt>
            <c:idx val="32"/>
            <c:invertIfNegative val="0"/>
            <c:bubble3D val="0"/>
            <c:spPr>
              <a:solidFill>
                <a:srgbClr val="AEBEB6"/>
              </a:solidFill>
              <a:ln>
                <a:solidFill>
                  <a:srgbClr val="AEBEB6"/>
                </a:solidFill>
              </a:ln>
              <a:effectLst/>
            </c:spPr>
            <c:extLst>
              <c:ext xmlns:c16="http://schemas.microsoft.com/office/drawing/2014/chart" uri="{C3380CC4-5D6E-409C-BE32-E72D297353CC}">
                <c16:uniqueId val="{00000041-30E8-4365-8105-0B0DDB6D6E40}"/>
              </c:ext>
            </c:extLst>
          </c:dPt>
          <c:dPt>
            <c:idx val="33"/>
            <c:invertIfNegative val="0"/>
            <c:bubble3D val="0"/>
            <c:spPr>
              <a:solidFill>
                <a:srgbClr val="AEBEB6"/>
              </a:solidFill>
              <a:ln>
                <a:solidFill>
                  <a:srgbClr val="AEBEB6"/>
                </a:solidFill>
              </a:ln>
              <a:effectLst/>
            </c:spPr>
            <c:extLst>
              <c:ext xmlns:c16="http://schemas.microsoft.com/office/drawing/2014/chart" uri="{C3380CC4-5D6E-409C-BE32-E72D297353CC}">
                <c16:uniqueId val="{00000043-30E8-4365-8105-0B0DDB6D6E40}"/>
              </c:ext>
            </c:extLst>
          </c:dPt>
          <c:dPt>
            <c:idx val="34"/>
            <c:invertIfNegative val="0"/>
            <c:bubble3D val="0"/>
            <c:spPr>
              <a:solidFill>
                <a:srgbClr val="AEBEB6"/>
              </a:solidFill>
              <a:ln>
                <a:solidFill>
                  <a:srgbClr val="AEBEB6"/>
                </a:solidFill>
              </a:ln>
              <a:effectLst/>
            </c:spPr>
            <c:extLst>
              <c:ext xmlns:c16="http://schemas.microsoft.com/office/drawing/2014/chart" uri="{C3380CC4-5D6E-409C-BE32-E72D297353CC}">
                <c16:uniqueId val="{00000045-30E8-4365-8105-0B0DDB6D6E40}"/>
              </c:ext>
            </c:extLst>
          </c:dPt>
          <c:dPt>
            <c:idx val="35"/>
            <c:invertIfNegative val="0"/>
            <c:bubble3D val="0"/>
            <c:spPr>
              <a:solidFill>
                <a:srgbClr val="AEBEB6"/>
              </a:solidFill>
              <a:ln>
                <a:solidFill>
                  <a:srgbClr val="AEBEB6"/>
                </a:solidFill>
              </a:ln>
              <a:effectLst/>
            </c:spPr>
            <c:extLst>
              <c:ext xmlns:c16="http://schemas.microsoft.com/office/drawing/2014/chart" uri="{C3380CC4-5D6E-409C-BE32-E72D297353CC}">
                <c16:uniqueId val="{00000045-EB94-4E7F-B061-BF18E045AC1F}"/>
              </c:ext>
            </c:extLst>
          </c:dPt>
          <c:dPt>
            <c:idx val="36"/>
            <c:invertIfNegative val="0"/>
            <c:bubble3D val="0"/>
            <c:spPr>
              <a:solidFill>
                <a:srgbClr val="AEBEB6"/>
              </a:solidFill>
              <a:ln>
                <a:solidFill>
                  <a:srgbClr val="AEBEB6"/>
                </a:solidFill>
              </a:ln>
              <a:effectLst/>
            </c:spPr>
            <c:extLst>
              <c:ext xmlns:c16="http://schemas.microsoft.com/office/drawing/2014/chart" uri="{C3380CC4-5D6E-409C-BE32-E72D297353CC}">
                <c16:uniqueId val="{00000041-C3CE-40BA-B5A9-D21ADB84F99B}"/>
              </c:ext>
            </c:extLst>
          </c:dPt>
          <c:dPt>
            <c:idx val="37"/>
            <c:invertIfNegative val="0"/>
            <c:bubble3D val="0"/>
            <c:spPr>
              <a:solidFill>
                <a:srgbClr val="AEBEB6"/>
              </a:solidFill>
              <a:ln>
                <a:solidFill>
                  <a:srgbClr val="AEBEB6"/>
                </a:solidFill>
              </a:ln>
              <a:effectLst/>
            </c:spPr>
            <c:extLst>
              <c:ext xmlns:c16="http://schemas.microsoft.com/office/drawing/2014/chart" uri="{C3380CC4-5D6E-409C-BE32-E72D297353CC}">
                <c16:uniqueId val="{00000043-C3CE-40BA-B5A9-D21ADB84F99B}"/>
              </c:ext>
            </c:extLst>
          </c:dPt>
          <c:cat>
            <c:strRef>
              <c:extLst>
                <c:ext xmlns:c15="http://schemas.microsoft.com/office/drawing/2012/chart" uri="{02D57815-91ED-43cb-92C2-25804820EDAC}">
                  <c15:fullRef>
                    <c15:sqref>'R3_Econ.'!$B$12:$B$50</c15:sqref>
                  </c15:fullRef>
                </c:ext>
              </c:extLst>
              <c:f>'R3_Econ.'!$B$12:$B$49</c:f>
              <c:strCache>
                <c:ptCount val="38"/>
                <c:pt idx="0">
                  <c:v>Storage</c:v>
                </c:pt>
                <c:pt idx="1">
                  <c:v>Storage (deffective)</c:v>
                </c:pt>
                <c:pt idx="2">
                  <c:v>Discharge</c:v>
                </c:pt>
                <c:pt idx="3">
                  <c:v>Disassembly</c:v>
                </c:pt>
                <c:pt idx="4">
                  <c:v>Deactivation and evaporation</c:v>
                </c:pt>
                <c:pt idx="5">
                  <c:v>Exhaust gas cleaning</c:v>
                </c:pt>
                <c:pt idx="6">
                  <c:v>Shredder</c:v>
                </c:pt>
                <c:pt idx="7">
                  <c:v>Magnetic seperation</c:v>
                </c:pt>
                <c:pt idx="8">
                  <c:v>Sieving</c:v>
                </c:pt>
                <c:pt idx="9">
                  <c:v>Zigzag sighting</c:v>
                </c:pt>
                <c:pt idx="10">
                  <c:v>Melting down</c:v>
                </c:pt>
                <c:pt idx="11">
                  <c:v>Exhaust gas cleaning</c:v>
                </c:pt>
                <c:pt idx="12">
                  <c:v>Mill (alloy)</c:v>
                </c:pt>
                <c:pt idx="13">
                  <c:v>Mill (slag)</c:v>
                </c:pt>
                <c:pt idx="14">
                  <c:v>Digestion</c:v>
                </c:pt>
                <c:pt idx="15">
                  <c:v>Leaching</c:v>
                </c:pt>
                <c:pt idx="16">
                  <c:v>Cementation Cu</c:v>
                </c:pt>
                <c:pt idx="17">
                  <c:v>Filtration Cu</c:v>
                </c:pt>
                <c:pt idx="18">
                  <c:v>Oxidation Fe</c:v>
                </c:pt>
                <c:pt idx="19">
                  <c:v>Precipitation Fe</c:v>
                </c:pt>
                <c:pt idx="20">
                  <c:v>Filtration Fe</c:v>
                </c:pt>
                <c:pt idx="21">
                  <c:v>Extraction Co</c:v>
                </c:pt>
                <c:pt idx="22">
                  <c:v>Scrubbing Co</c:v>
                </c:pt>
                <c:pt idx="23">
                  <c:v>Stripping Co</c:v>
                </c:pt>
                <c:pt idx="24">
                  <c:v>Cristallisation Ni</c:v>
                </c:pt>
                <c:pt idx="25">
                  <c:v>Cristallisation Co</c:v>
                </c:pt>
                <c:pt idx="26">
                  <c:v>Digestion (slag)</c:v>
                </c:pt>
                <c:pt idx="27">
                  <c:v>Leaching (slag)</c:v>
                </c:pt>
                <c:pt idx="28">
                  <c:v>Filter SiO2, CaSO4 (slag)</c:v>
                </c:pt>
                <c:pt idx="29">
                  <c:v>Oxidation Fe (slag)</c:v>
                </c:pt>
                <c:pt idx="30">
                  <c:v>Precipitation Fe, Al (slag)</c:v>
                </c:pt>
                <c:pt idx="31">
                  <c:v>Filtration Fe, Al (slag)</c:v>
                </c:pt>
                <c:pt idx="32">
                  <c:v>Extraction Mn (slag)</c:v>
                </c:pt>
                <c:pt idx="33">
                  <c:v>Scrubbing Mn (slag)</c:v>
                </c:pt>
                <c:pt idx="34">
                  <c:v>Stripping Mn (slag)</c:v>
                </c:pt>
                <c:pt idx="35">
                  <c:v>Cristallisation Mn (slag)</c:v>
                </c:pt>
                <c:pt idx="36">
                  <c:v>Precipitation Li (slag)</c:v>
                </c:pt>
                <c:pt idx="37">
                  <c:v>Filtration Li (slag)</c:v>
                </c:pt>
              </c:strCache>
            </c:strRef>
          </c:cat>
          <c:val>
            <c:numRef>
              <c:extLst>
                <c:ext xmlns:c15="http://schemas.microsoft.com/office/drawing/2012/chart" uri="{02D57815-91ED-43cb-92C2-25804820EDAC}">
                  <c15:fullRef>
                    <c15:sqref>'R3_Econ.'!$N$12:$N$50</c15:sqref>
                  </c15:fullRef>
                </c:ext>
              </c:extLst>
              <c:f>'R3_Econ.'!$N$12:$N$49</c:f>
              <c:numCache>
                <c:formatCode>_-* #,##0\ "€"_-;\-* #,##0\ "€"_-;_-* "-"??\ "€"_-;_-@_-</c:formatCode>
                <c:ptCount val="38"/>
                <c:pt idx="0">
                  <c:v>565630.97295920795</c:v>
                </c:pt>
                <c:pt idx="1">
                  <c:v>45902.989727142376</c:v>
                </c:pt>
                <c:pt idx="2">
                  <c:v>97522.581544691013</c:v>
                </c:pt>
                <c:pt idx="3">
                  <c:v>117027.09785362924</c:v>
                </c:pt>
                <c:pt idx="4">
                  <c:v>241107.94654274845</c:v>
                </c:pt>
                <c:pt idx="5">
                  <c:v>1801745.2246395454</c:v>
                </c:pt>
                <c:pt idx="6">
                  <c:v>1801745.2246395454</c:v>
                </c:pt>
                <c:pt idx="7">
                  <c:v>184837.19957723311</c:v>
                </c:pt>
                <c:pt idx="8">
                  <c:v>147869.75966178649</c:v>
                </c:pt>
                <c:pt idx="9">
                  <c:v>147869.75966178649</c:v>
                </c:pt>
                <c:pt idx="10">
                  <c:v>470470.95434772951</c:v>
                </c:pt>
                <c:pt idx="11">
                  <c:v>1801745.2246395454</c:v>
                </c:pt>
                <c:pt idx="12">
                  <c:v>428986.95824751077</c:v>
                </c:pt>
                <c:pt idx="13">
                  <c:v>428986.95824751077</c:v>
                </c:pt>
                <c:pt idx="14">
                  <c:v>315447.49840587744</c:v>
                </c:pt>
                <c:pt idx="15">
                  <c:v>179607.71255908796</c:v>
                </c:pt>
                <c:pt idx="16">
                  <c:v>179673.66390370642</c:v>
                </c:pt>
                <c:pt idx="17">
                  <c:v>23757.74219712941</c:v>
                </c:pt>
                <c:pt idx="18">
                  <c:v>183322.33889123387</c:v>
                </c:pt>
                <c:pt idx="19">
                  <c:v>210445.87133929713</c:v>
                </c:pt>
                <c:pt idx="20">
                  <c:v>29842.020330719293</c:v>
                </c:pt>
                <c:pt idx="21">
                  <c:v>204573.66317724565</c:v>
                </c:pt>
                <c:pt idx="22">
                  <c:v>87051.960361603458</c:v>
                </c:pt>
                <c:pt idx="23">
                  <c:v>87075.718192638888</c:v>
                </c:pt>
                <c:pt idx="24">
                  <c:v>8738653.0543715395</c:v>
                </c:pt>
                <c:pt idx="25">
                  <c:v>3454602.9303601393</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5="http://schemas.microsoft.com/office/drawing/2012/chart" uri="{02D57815-91ED-43cb-92C2-25804820EDAC}">
              <c15:categoryFilterExceptions>
                <c15:categoryFilterException>
                  <c15:sqref>'R3_Econ.'!$N$50</c15:sqref>
                  <c15:spPr xmlns:c15="http://schemas.microsoft.com/office/drawing/2012/chart">
                    <a:solidFill>
                      <a:srgbClr val="AEBEB6"/>
                    </a:solidFill>
                    <a:ln>
                      <a:solidFill>
                        <a:srgbClr val="AEBEB6"/>
                      </a:solidFill>
                    </a:ln>
                    <a:effectLst/>
                  </c15:spPr>
                  <c15:invertIfNegative val="0"/>
                  <c15:bubble3D val="0"/>
                </c15:categoryFilterException>
              </c15:categoryFilterExceptions>
            </c:ext>
            <c:ext xmlns:c16="http://schemas.microsoft.com/office/drawing/2014/chart" uri="{C3380CC4-5D6E-409C-BE32-E72D297353CC}">
              <c16:uniqueId val="{0000004C-30E8-4365-8105-0B0DDB6D6E40}"/>
            </c:ext>
          </c:extLst>
        </c:ser>
        <c:dLbls>
          <c:showLegendKey val="0"/>
          <c:showVal val="0"/>
          <c:showCatName val="0"/>
          <c:showSerName val="0"/>
          <c:showPercent val="0"/>
          <c:showBubbleSize val="0"/>
        </c:dLbls>
        <c:gapWidth val="219"/>
        <c:axId val="646288960"/>
        <c:axId val="646292704"/>
      </c:barChart>
      <c:catAx>
        <c:axId val="6462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92704"/>
        <c:crosses val="autoZero"/>
        <c:auto val="1"/>
        <c:lblAlgn val="ctr"/>
        <c:lblOffset val="100"/>
        <c:noMultiLvlLbl val="0"/>
      </c:catAx>
      <c:valAx>
        <c:axId val="646292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88960"/>
        <c:crosses val="autoZero"/>
        <c:crossBetween val="between"/>
        <c:majorUnit val="500000"/>
        <c:dispUnits>
          <c:builtInUnit val="millions"/>
          <c:dispUnitsLbl>
            <c:layout>
              <c:manualLayout>
                <c:xMode val="edge"/>
                <c:yMode val="edge"/>
                <c:x val="0.41996374193600866"/>
                <c:y val="0.91839308727990876"/>
              </c:manualLayout>
            </c:layout>
            <c:tx>
              <c:rich>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r>
                    <a:rPr lang="en-US"/>
                    <a:t>Process specific needed investment [M€]</a:t>
                  </a:r>
                </a:p>
              </c:rich>
            </c:tx>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de-DE"/>
              <a:t>Economic allocation considering total masses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de-DE"/>
        </a:p>
      </c:txPr>
    </c:title>
    <c:autoTitleDeleted val="0"/>
    <c:plotArea>
      <c:layout>
        <c:manualLayout>
          <c:layoutTarget val="inner"/>
          <c:xMode val="edge"/>
          <c:yMode val="edge"/>
          <c:x val="9.8155927266961762E-2"/>
          <c:y val="9.593263373658531E-2"/>
          <c:w val="0.89277377956795057"/>
          <c:h val="0.72964475455013222"/>
        </c:manualLayout>
      </c:layout>
      <c:barChart>
        <c:barDir val="col"/>
        <c:grouping val="clustered"/>
        <c:varyColors val="0"/>
        <c:ser>
          <c:idx val="0"/>
          <c:order val="0"/>
          <c:tx>
            <c:strRef>
              <c:f>Evaluation!$A$226</c:f>
              <c:strCache>
                <c:ptCount val="1"/>
                <c:pt idx="0">
                  <c:v>Graphite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Evaluation!$C$228:$E$228</c:f>
              <c:numCache>
                <c:formatCode>_-* #,##0.0\ _€_-;\-* #,##0.0\ _€_-;_-* "-"??\ _€_-;_-@_-</c:formatCode>
                <c:ptCount val="3"/>
                <c:pt idx="0" formatCode="General">
                  <c:v>0</c:v>
                </c:pt>
                <c:pt idx="1">
                  <c:v>4.4880671949960316E-2</c:v>
                </c:pt>
                <c:pt idx="2" formatCode="General">
                  <c:v>0</c:v>
                </c:pt>
              </c:numCache>
            </c:numRef>
          </c:val>
          <c:extLst>
            <c:ext xmlns:c16="http://schemas.microsoft.com/office/drawing/2014/chart" uri="{C3380CC4-5D6E-409C-BE32-E72D297353CC}">
              <c16:uniqueId val="{00000006-46C7-40E2-B6D6-13CA180E74AC}"/>
            </c:ext>
          </c:extLst>
        </c:ser>
        <c:ser>
          <c:idx val="1"/>
          <c:order val="1"/>
          <c:tx>
            <c:strRef>
              <c:f>Evaluation!$A$230</c:f>
              <c:strCache>
                <c:ptCount val="1"/>
                <c:pt idx="0">
                  <c:v>Cobalt</c:v>
                </c:pt>
              </c:strCache>
            </c:strRef>
          </c:tx>
          <c:spPr>
            <a:solidFill>
              <a:srgbClr val="FA6E00"/>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Evaluation!$C$232:$E$232</c:f>
              <c:numCache>
                <c:formatCode>_-* #,##0.0\ _€_-;\-* #,##0.0\ _€_-;_-* "-"??\ _€_-;_-@_-</c:formatCode>
                <c:ptCount val="3"/>
                <c:pt idx="0">
                  <c:v>26.920127495293958</c:v>
                </c:pt>
                <c:pt idx="1">
                  <c:v>19.783888833166117</c:v>
                </c:pt>
                <c:pt idx="2">
                  <c:v>14.471985105037627</c:v>
                </c:pt>
              </c:numCache>
            </c:numRef>
          </c:val>
          <c:extLst>
            <c:ext xmlns:c16="http://schemas.microsoft.com/office/drawing/2014/chart" uri="{C3380CC4-5D6E-409C-BE32-E72D297353CC}">
              <c16:uniqueId val="{00000007-46C7-40E2-B6D6-13CA180E74AC}"/>
            </c:ext>
          </c:extLst>
        </c:ser>
        <c:ser>
          <c:idx val="2"/>
          <c:order val="2"/>
          <c:tx>
            <c:strRef>
              <c:f>Evaluation!$A$234</c:f>
              <c:strCache>
                <c:ptCount val="1"/>
                <c:pt idx="0">
                  <c:v>Nickel</c:v>
                </c:pt>
              </c:strCache>
            </c:strRef>
          </c:tx>
          <c:spPr>
            <a:solidFill>
              <a:srgbClr val="99B2BC"/>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Evaluation!$C$236:$E$236</c:f>
              <c:numCache>
                <c:formatCode>_-* #,##0.0\ _€_-;\-* #,##0.0\ _€_-;_-* "-"??\ _€_-;_-@_-</c:formatCode>
                <c:ptCount val="3"/>
                <c:pt idx="0">
                  <c:v>8.4416364469057701</c:v>
                </c:pt>
                <c:pt idx="1">
                  <c:v>6.2038486654560856</c:v>
                </c:pt>
                <c:pt idx="2">
                  <c:v>4.5381373822661013</c:v>
                </c:pt>
              </c:numCache>
            </c:numRef>
          </c:val>
          <c:extLst>
            <c:ext xmlns:c16="http://schemas.microsoft.com/office/drawing/2014/chart" uri="{C3380CC4-5D6E-409C-BE32-E72D297353CC}">
              <c16:uniqueId val="{00000008-46C7-40E2-B6D6-13CA180E74AC}"/>
            </c:ext>
          </c:extLst>
        </c:ser>
        <c:ser>
          <c:idx val="3"/>
          <c:order val="3"/>
          <c:tx>
            <c:strRef>
              <c:f>Evaluation!$A$238</c:f>
              <c:strCache>
                <c:ptCount val="1"/>
                <c:pt idx="0">
                  <c:v>Lithium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Evaluation!$C$240:$E$240</c:f>
              <c:numCache>
                <c:formatCode>_-* #,##0.0\ _€_-;\-* #,##0.0\ _€_-;_-* "-"??\ _€_-;_-@_-</c:formatCode>
                <c:ptCount val="3"/>
                <c:pt idx="0">
                  <c:v>0</c:v>
                </c:pt>
                <c:pt idx="1">
                  <c:v>19.765725121505149</c:v>
                </c:pt>
                <c:pt idx="2">
                  <c:v>0</c:v>
                </c:pt>
              </c:numCache>
            </c:numRef>
          </c:val>
          <c:extLst>
            <c:ext xmlns:c16="http://schemas.microsoft.com/office/drawing/2014/chart" uri="{C3380CC4-5D6E-409C-BE32-E72D297353CC}">
              <c16:uniqueId val="{00000015-46C7-40E2-B6D6-13CA180E74AC}"/>
            </c:ext>
          </c:extLst>
        </c:ser>
        <c:ser>
          <c:idx val="4"/>
          <c:order val="4"/>
          <c:tx>
            <c:strRef>
              <c:f>Evaluation!$A$242</c:f>
              <c:strCache>
                <c:ptCount val="1"/>
                <c:pt idx="0">
                  <c:v>Manganese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Evaluation!$C$244:$E$244</c:f>
              <c:numCache>
                <c:formatCode>_-* #,##0.0\ _€_-;\-* #,##0.0\ _€_-;_-* "-"??\ _€_-;_-@_-</c:formatCode>
                <c:ptCount val="3"/>
                <c:pt idx="0">
                  <c:v>0</c:v>
                </c:pt>
                <c:pt idx="1">
                  <c:v>0.76309063650345055</c:v>
                </c:pt>
                <c:pt idx="2">
                  <c:v>0</c:v>
                </c:pt>
              </c:numCache>
            </c:numRef>
          </c:val>
          <c:extLst>
            <c:ext xmlns:c16="http://schemas.microsoft.com/office/drawing/2014/chart" uri="{C3380CC4-5D6E-409C-BE32-E72D297353CC}">
              <c16:uniqueId val="{00000016-46C7-40E2-B6D6-13CA180E74AC}"/>
            </c:ext>
          </c:extLst>
        </c:ser>
        <c:ser>
          <c:idx val="5"/>
          <c:order val="5"/>
          <c:tx>
            <c:strRef>
              <c:f>Evaluation!$A$246</c:f>
              <c:strCache>
                <c:ptCount val="1"/>
                <c:pt idx="0">
                  <c:v>Aluminum</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Evaluation!$C$248:$E$248</c:f>
              <c:numCache>
                <c:formatCode>_-* #,##0.0\ _€_-;\-* #,##0.0\ _€_-;_-* "-"??\ _€_-;_-@_-</c:formatCode>
                <c:ptCount val="3"/>
                <c:pt idx="0">
                  <c:v>0.37155969840502645</c:v>
                </c:pt>
                <c:pt idx="1">
                  <c:v>0.27314881228879007</c:v>
                </c:pt>
                <c:pt idx="2">
                  <c:v>0.1878880485931663</c:v>
                </c:pt>
              </c:numCache>
            </c:numRef>
          </c:val>
          <c:extLst>
            <c:ext xmlns:c16="http://schemas.microsoft.com/office/drawing/2014/chart" uri="{C3380CC4-5D6E-409C-BE32-E72D297353CC}">
              <c16:uniqueId val="{00000017-46C7-40E2-B6D6-13CA180E74AC}"/>
            </c:ext>
          </c:extLst>
        </c:ser>
        <c:ser>
          <c:idx val="6"/>
          <c:order val="6"/>
          <c:tx>
            <c:strRef>
              <c:f>Evaluation!$A$250</c:f>
              <c:strCache>
                <c:ptCount val="1"/>
                <c:pt idx="0">
                  <c:v>Copper</c:v>
                </c:pt>
              </c:strCache>
            </c:strRef>
          </c:tx>
          <c:spPr>
            <a:solidFill>
              <a:srgbClr val="0C4E63"/>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Evaluation!$C$222:$E$222</c:f>
              <c:strCache>
                <c:ptCount val="3"/>
                <c:pt idx="0">
                  <c:v>Route 1</c:v>
                </c:pt>
                <c:pt idx="1">
                  <c:v>Route 2</c:v>
                </c:pt>
                <c:pt idx="2">
                  <c:v>Route 3</c:v>
                </c:pt>
              </c:strCache>
            </c:strRef>
          </c:cat>
          <c:val>
            <c:numRef>
              <c:f>Evaluation!$C$252:$E$252</c:f>
              <c:numCache>
                <c:formatCode>_-* #,##0.0\ _€_-;\-* #,##0.0\ _€_-;_-* "-"??\ _€_-;_-@_-</c:formatCode>
                <c:ptCount val="3"/>
                <c:pt idx="0">
                  <c:v>2.2501530173079822</c:v>
                </c:pt>
                <c:pt idx="1">
                  <c:v>1.6536614531196638</c:v>
                </c:pt>
                <c:pt idx="2">
                  <c:v>1.1339583741942978</c:v>
                </c:pt>
              </c:numCache>
            </c:numRef>
          </c:val>
          <c:extLst>
            <c:ext xmlns:c16="http://schemas.microsoft.com/office/drawing/2014/chart" uri="{C3380CC4-5D6E-409C-BE32-E72D297353CC}">
              <c16:uniqueId val="{00000018-46C7-40E2-B6D6-13CA180E74AC}"/>
            </c:ext>
          </c:extLst>
        </c:ser>
        <c:dLbls>
          <c:dLblPos val="outEnd"/>
          <c:showLegendKey val="0"/>
          <c:showVal val="1"/>
          <c:showCatName val="0"/>
          <c:showSerName val="0"/>
          <c:showPercent val="0"/>
          <c:showBubbleSize val="0"/>
        </c:dLbls>
        <c:gapWidth val="219"/>
        <c:overlap val="-27"/>
        <c:axId val="1277543215"/>
        <c:axId val="1277544047"/>
      </c:barChart>
      <c:catAx>
        <c:axId val="127754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crossAx val="1277544047"/>
        <c:crosses val="autoZero"/>
        <c:auto val="1"/>
        <c:lblAlgn val="ctr"/>
        <c:lblOffset val="100"/>
        <c:noMultiLvlLbl val="0"/>
      </c:catAx>
      <c:valAx>
        <c:axId val="127754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de-DE"/>
                  <a:t>GWP [kg CO2-eq / kg sec material]</a:t>
                </a:r>
              </a:p>
            </c:rich>
          </c:tx>
          <c:layout>
            <c:manualLayout>
              <c:xMode val="edge"/>
              <c:yMode val="edge"/>
              <c:x val="2.7777777777777779E-3"/>
              <c:y val="0.1375997512506058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crossAx val="127754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100">
          <a:solidFill>
            <a:schemeClr val="tx1"/>
          </a:solidFill>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de-DE"/>
              <a:t>Physical impact allocation considering metal shares only</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de-DE"/>
        </a:p>
      </c:txPr>
    </c:title>
    <c:autoTitleDeleted val="0"/>
    <c:plotArea>
      <c:layout>
        <c:manualLayout>
          <c:layoutTarget val="inner"/>
          <c:xMode val="edge"/>
          <c:yMode val="edge"/>
          <c:x val="9.8155927266961762E-2"/>
          <c:y val="8.6350610427818691E-2"/>
          <c:w val="0.89277377956795057"/>
          <c:h val="0.73922671294886177"/>
        </c:manualLayout>
      </c:layout>
      <c:barChart>
        <c:barDir val="col"/>
        <c:grouping val="clustered"/>
        <c:varyColors val="0"/>
        <c:ser>
          <c:idx val="0"/>
          <c:order val="0"/>
          <c:tx>
            <c:strRef>
              <c:f>Evaluation!$A$163</c:f>
              <c:strCache>
                <c:ptCount val="1"/>
                <c:pt idx="0">
                  <c:v>Graphite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Evaluation!$C$168:$E$168</c:f>
              <c:numCache>
                <c:formatCode>_-* #,##0.0\ _€_-;\-* #,##0.0\ _€_-;_-* "-"??\ _€_-;_-@_-</c:formatCode>
                <c:ptCount val="3"/>
                <c:pt idx="0" formatCode="General">
                  <c:v>0</c:v>
                </c:pt>
                <c:pt idx="1">
                  <c:v>1.9494561669175214</c:v>
                </c:pt>
                <c:pt idx="2" formatCode="General">
                  <c:v>0</c:v>
                </c:pt>
              </c:numCache>
            </c:numRef>
          </c:val>
          <c:extLst>
            <c:ext xmlns:c16="http://schemas.microsoft.com/office/drawing/2014/chart" uri="{C3380CC4-5D6E-409C-BE32-E72D297353CC}">
              <c16:uniqueId val="{00000000-564D-4655-BE96-47DA3F88B0A1}"/>
            </c:ext>
          </c:extLst>
        </c:ser>
        <c:ser>
          <c:idx val="1"/>
          <c:order val="1"/>
          <c:tx>
            <c:strRef>
              <c:f>Evaluation!$A$170</c:f>
              <c:strCache>
                <c:ptCount val="1"/>
                <c:pt idx="0">
                  <c:v>Cobalt</c:v>
                </c:pt>
              </c:strCache>
            </c:strRef>
          </c:tx>
          <c:spPr>
            <a:solidFill>
              <a:srgbClr val="FA6E00"/>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Evaluation!$C$175:$E$175</c:f>
              <c:numCache>
                <c:formatCode>_-* #,##0.0\ _€_-;\-* #,##0.0\ _€_-;_-* "-"??\ _€_-;_-@_-</c:formatCode>
                <c:ptCount val="3"/>
                <c:pt idx="0">
                  <c:v>3.4205823969413385</c:v>
                </c:pt>
                <c:pt idx="1">
                  <c:v>1.9494561669175219</c:v>
                </c:pt>
                <c:pt idx="2">
                  <c:v>1.5105863761644633</c:v>
                </c:pt>
              </c:numCache>
            </c:numRef>
          </c:val>
          <c:extLst>
            <c:ext xmlns:c16="http://schemas.microsoft.com/office/drawing/2014/chart" uri="{C3380CC4-5D6E-409C-BE32-E72D297353CC}">
              <c16:uniqueId val="{00000001-564D-4655-BE96-47DA3F88B0A1}"/>
            </c:ext>
          </c:extLst>
        </c:ser>
        <c:ser>
          <c:idx val="2"/>
          <c:order val="2"/>
          <c:tx>
            <c:strRef>
              <c:f>Evaluation!$A$177</c:f>
              <c:strCache>
                <c:ptCount val="1"/>
                <c:pt idx="0">
                  <c:v>Nickel</c:v>
                </c:pt>
              </c:strCache>
            </c:strRef>
          </c:tx>
          <c:spPr>
            <a:solidFill>
              <a:srgbClr val="99B2BC"/>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Evaluation!$C$182:$E$182</c:f>
              <c:numCache>
                <c:formatCode>_-* #,##0.0\ _€_-;\-* #,##0.0\ _€_-;_-* "-"??\ _€_-;_-@_-</c:formatCode>
                <c:ptCount val="3"/>
                <c:pt idx="0">
                  <c:v>3.420582396941338</c:v>
                </c:pt>
                <c:pt idx="1">
                  <c:v>1.9494561669175214</c:v>
                </c:pt>
                <c:pt idx="2">
                  <c:v>1.5105863761644633</c:v>
                </c:pt>
              </c:numCache>
            </c:numRef>
          </c:val>
          <c:extLst>
            <c:ext xmlns:c16="http://schemas.microsoft.com/office/drawing/2014/chart" uri="{C3380CC4-5D6E-409C-BE32-E72D297353CC}">
              <c16:uniqueId val="{00000002-564D-4655-BE96-47DA3F88B0A1}"/>
            </c:ext>
          </c:extLst>
        </c:ser>
        <c:ser>
          <c:idx val="3"/>
          <c:order val="3"/>
          <c:tx>
            <c:strRef>
              <c:f>Evaluation!$A$184</c:f>
              <c:strCache>
                <c:ptCount val="1"/>
                <c:pt idx="0">
                  <c:v>Lithium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Evaluation!$C$189:$E$189</c:f>
              <c:numCache>
                <c:formatCode>_-* #,##0.0_-;\-* #,##0.0_-;_-* "-"??_-;_-@_-</c:formatCode>
                <c:ptCount val="3"/>
                <c:pt idx="0">
                  <c:v>0</c:v>
                </c:pt>
                <c:pt idx="1">
                  <c:v>1.9494561669175217</c:v>
                </c:pt>
                <c:pt idx="2">
                  <c:v>0</c:v>
                </c:pt>
              </c:numCache>
            </c:numRef>
          </c:val>
          <c:extLst>
            <c:ext xmlns:c16="http://schemas.microsoft.com/office/drawing/2014/chart" uri="{C3380CC4-5D6E-409C-BE32-E72D297353CC}">
              <c16:uniqueId val="{00000003-564D-4655-BE96-47DA3F88B0A1}"/>
            </c:ext>
          </c:extLst>
        </c:ser>
        <c:ser>
          <c:idx val="4"/>
          <c:order val="4"/>
          <c:tx>
            <c:strRef>
              <c:f>Evaluation!$A$191</c:f>
              <c:strCache>
                <c:ptCount val="1"/>
                <c:pt idx="0">
                  <c:v>Manganese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Evaluation!$C$196:$E$196</c:f>
              <c:numCache>
                <c:formatCode>_-* #,##0.0_-;\-* #,##0.0_-;_-* "-"??_-;_-@_-</c:formatCode>
                <c:ptCount val="3"/>
                <c:pt idx="0">
                  <c:v>0</c:v>
                </c:pt>
                <c:pt idx="1">
                  <c:v>1.9494561669175217</c:v>
                </c:pt>
                <c:pt idx="2">
                  <c:v>0</c:v>
                </c:pt>
              </c:numCache>
            </c:numRef>
          </c:val>
          <c:extLst>
            <c:ext xmlns:c16="http://schemas.microsoft.com/office/drawing/2014/chart" uri="{C3380CC4-5D6E-409C-BE32-E72D297353CC}">
              <c16:uniqueId val="{00000004-564D-4655-BE96-47DA3F88B0A1}"/>
            </c:ext>
          </c:extLst>
        </c:ser>
        <c:ser>
          <c:idx val="5"/>
          <c:order val="5"/>
          <c:tx>
            <c:strRef>
              <c:f>Evaluation!$A$198</c:f>
              <c:strCache>
                <c:ptCount val="1"/>
                <c:pt idx="0">
                  <c:v>Aluminum</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Evaluation!$C$203:$E$203</c:f>
              <c:numCache>
                <c:formatCode>_-* #,##0.0\ _€_-;\-* #,##0.0\ _€_-;_-* "-"??\ _€_-;_-@_-</c:formatCode>
                <c:ptCount val="3"/>
                <c:pt idx="0">
                  <c:v>3.4205823969413376</c:v>
                </c:pt>
                <c:pt idx="1">
                  <c:v>1.9494561669175214</c:v>
                </c:pt>
                <c:pt idx="2">
                  <c:v>1.5105863761644633</c:v>
                </c:pt>
              </c:numCache>
            </c:numRef>
          </c:val>
          <c:extLst>
            <c:ext xmlns:c16="http://schemas.microsoft.com/office/drawing/2014/chart" uri="{C3380CC4-5D6E-409C-BE32-E72D297353CC}">
              <c16:uniqueId val="{00000005-564D-4655-BE96-47DA3F88B0A1}"/>
            </c:ext>
          </c:extLst>
        </c:ser>
        <c:ser>
          <c:idx val="6"/>
          <c:order val="6"/>
          <c:tx>
            <c:strRef>
              <c:f>Evaluation!$A$205</c:f>
              <c:strCache>
                <c:ptCount val="1"/>
                <c:pt idx="0">
                  <c:v>Copper</c:v>
                </c:pt>
              </c:strCache>
            </c:strRef>
          </c:tx>
          <c:spPr>
            <a:solidFill>
              <a:srgbClr val="0C4E63"/>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Evaluation!$C$158:$E$158</c:f>
              <c:strCache>
                <c:ptCount val="3"/>
                <c:pt idx="0">
                  <c:v>Route 1</c:v>
                </c:pt>
                <c:pt idx="1">
                  <c:v>Route 2</c:v>
                </c:pt>
                <c:pt idx="2">
                  <c:v>Route 3</c:v>
                </c:pt>
              </c:strCache>
            </c:strRef>
          </c:cat>
          <c:val>
            <c:numRef>
              <c:f>Evaluation!$C$210:$E$210</c:f>
              <c:numCache>
                <c:formatCode>_-* #,##0.0\ _€_-;\-* #,##0.0\ _€_-;_-* "-"??\ _€_-;_-@_-</c:formatCode>
                <c:ptCount val="3"/>
                <c:pt idx="0">
                  <c:v>3.4205823969413385</c:v>
                </c:pt>
                <c:pt idx="1">
                  <c:v>1.9494561669175219</c:v>
                </c:pt>
                <c:pt idx="2">
                  <c:v>1.5105863761644633</c:v>
                </c:pt>
              </c:numCache>
            </c:numRef>
          </c:val>
          <c:extLst>
            <c:ext xmlns:c16="http://schemas.microsoft.com/office/drawing/2014/chart" uri="{C3380CC4-5D6E-409C-BE32-E72D297353CC}">
              <c16:uniqueId val="{00000006-564D-4655-BE96-47DA3F88B0A1}"/>
            </c:ext>
          </c:extLst>
        </c:ser>
        <c:dLbls>
          <c:dLblPos val="outEnd"/>
          <c:showLegendKey val="0"/>
          <c:showVal val="1"/>
          <c:showCatName val="0"/>
          <c:showSerName val="0"/>
          <c:showPercent val="0"/>
          <c:showBubbleSize val="0"/>
        </c:dLbls>
        <c:gapWidth val="219"/>
        <c:overlap val="-27"/>
        <c:axId val="1277543215"/>
        <c:axId val="1277544047"/>
      </c:barChart>
      <c:catAx>
        <c:axId val="127754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crossAx val="1277544047"/>
        <c:crosses val="autoZero"/>
        <c:auto val="1"/>
        <c:lblAlgn val="ctr"/>
        <c:lblOffset val="100"/>
        <c:noMultiLvlLbl val="0"/>
      </c:catAx>
      <c:valAx>
        <c:axId val="127754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de-DE"/>
                  <a:t>GWP [kg CO2-eq / kg sec material]</a:t>
                </a:r>
              </a:p>
            </c:rich>
          </c:tx>
          <c:layout>
            <c:manualLayout>
              <c:xMode val="edge"/>
              <c:yMode val="edge"/>
              <c:x val="2.7777777777777779E-3"/>
              <c:y val="0.1375997512506058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crossAx val="127754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100" b="0">
          <a:solidFill>
            <a:schemeClr val="tx1"/>
          </a:solidFill>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Payback period</a:t>
            </a:r>
          </a:p>
        </c:rich>
      </c:tx>
      <c:layout>
        <c:manualLayout>
          <c:xMode val="edge"/>
          <c:yMode val="edge"/>
          <c:x val="0.3766834441935174"/>
          <c:y val="2.6164231023979415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Evaluation!$O$5</c:f>
              <c:strCache>
                <c:ptCount val="1"/>
                <c:pt idx="0">
                  <c:v>Payback period</c:v>
                </c:pt>
              </c:strCache>
            </c:strRef>
          </c:tx>
          <c:spPr>
            <a:solidFill>
              <a:schemeClr val="accent1"/>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1-5332-4CB4-B19C-77C35D9CFA65}"/>
              </c:ext>
            </c:extLst>
          </c:dPt>
          <c:dPt>
            <c:idx val="1"/>
            <c:invertIfNegative val="0"/>
            <c:bubble3D val="0"/>
            <c:spPr>
              <a:solidFill>
                <a:srgbClr val="FA6E00"/>
              </a:solidFill>
              <a:ln>
                <a:noFill/>
              </a:ln>
              <a:effectLst/>
            </c:spPr>
            <c:extLst>
              <c:ext xmlns:c16="http://schemas.microsoft.com/office/drawing/2014/chart" uri="{C3380CC4-5D6E-409C-BE32-E72D297353CC}">
                <c16:uniqueId val="{00000002-5332-4CB4-B19C-77C35D9CFA65}"/>
              </c:ext>
            </c:extLst>
          </c:dPt>
          <c:dPt>
            <c:idx val="2"/>
            <c:invertIfNegative val="0"/>
            <c:bubble3D val="0"/>
            <c:spPr>
              <a:solidFill>
                <a:srgbClr val="99B2BC"/>
              </a:solidFill>
              <a:ln>
                <a:noFill/>
              </a:ln>
              <a:effectLst/>
            </c:spPr>
            <c:extLst>
              <c:ext xmlns:c16="http://schemas.microsoft.com/office/drawing/2014/chart" uri="{C3380CC4-5D6E-409C-BE32-E72D297353CC}">
                <c16:uniqueId val="{00000003-5332-4CB4-B19C-77C35D9CFA65}"/>
              </c:ext>
            </c:extLst>
          </c:dPt>
          <c:cat>
            <c:strRef>
              <c:f>Evaluation!$P$3:$R$3</c:f>
              <c:strCache>
                <c:ptCount val="3"/>
                <c:pt idx="0">
                  <c:v>Route 1</c:v>
                </c:pt>
                <c:pt idx="1">
                  <c:v>Route 2</c:v>
                </c:pt>
                <c:pt idx="2">
                  <c:v>Route 3</c:v>
                </c:pt>
              </c:strCache>
            </c:strRef>
          </c:cat>
          <c:val>
            <c:numRef>
              <c:f>Evaluation!$P$5:$R$5</c:f>
              <c:numCache>
                <c:formatCode>#,##0.00</c:formatCode>
                <c:ptCount val="3"/>
                <c:pt idx="0">
                  <c:v>0.28404258559746359</c:v>
                </c:pt>
                <c:pt idx="1">
                  <c:v>0.21698474709664797</c:v>
                </c:pt>
                <c:pt idx="2">
                  <c:v>0.24320769839630327</c:v>
                </c:pt>
              </c:numCache>
            </c:numRef>
          </c:val>
          <c:extLst>
            <c:ext xmlns:c16="http://schemas.microsoft.com/office/drawing/2014/chart" uri="{C3380CC4-5D6E-409C-BE32-E72D297353CC}">
              <c16:uniqueId val="{00000000-5332-4CB4-B19C-77C35D9CFA65}"/>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Payback period [Years]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0.00" sourceLinked="1"/>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valAx>
      <c:spPr>
        <a:noFill/>
        <a:ln w="25400">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Revenues &amp; Costs </a:t>
            </a:r>
          </a:p>
        </c:rich>
      </c:tx>
      <c:layout>
        <c:manualLayout>
          <c:xMode val="edge"/>
          <c:yMode val="edge"/>
          <c:x val="0.31637390345973337"/>
          <c:y val="2.3664787355425852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1"/>
          <c:order val="0"/>
          <c:tx>
            <c:v>Revenues</c:v>
          </c:tx>
          <c:spPr>
            <a:solidFill>
              <a:srgbClr val="003F57"/>
            </a:solidFill>
            <a:ln>
              <a:noFill/>
            </a:ln>
            <a:effectLst/>
          </c:spPr>
          <c:invertIfNegative val="0"/>
          <c:dPt>
            <c:idx val="0"/>
            <c:invertIfNegative val="0"/>
            <c:bubble3D val="0"/>
            <c:extLst>
              <c:ext xmlns:c16="http://schemas.microsoft.com/office/drawing/2014/chart" uri="{C3380CC4-5D6E-409C-BE32-E72D297353CC}">
                <c16:uniqueId val="{00000009-682A-4C31-B575-F187C40BCA37}"/>
              </c:ext>
            </c:extLst>
          </c:dPt>
          <c:dPt>
            <c:idx val="1"/>
            <c:invertIfNegative val="0"/>
            <c:bubble3D val="0"/>
            <c:spPr>
              <a:solidFill>
                <a:srgbClr val="FA6E00"/>
              </a:solidFill>
              <a:ln>
                <a:noFill/>
              </a:ln>
              <a:effectLst/>
            </c:spPr>
            <c:extLst>
              <c:ext xmlns:c16="http://schemas.microsoft.com/office/drawing/2014/chart" uri="{C3380CC4-5D6E-409C-BE32-E72D297353CC}">
                <c16:uniqueId val="{00000007-682A-4C31-B575-F187C40BCA37}"/>
              </c:ext>
            </c:extLst>
          </c:dPt>
          <c:dPt>
            <c:idx val="2"/>
            <c:invertIfNegative val="0"/>
            <c:bubble3D val="0"/>
            <c:spPr>
              <a:solidFill>
                <a:srgbClr val="99B2BC"/>
              </a:solidFill>
              <a:ln>
                <a:noFill/>
              </a:ln>
              <a:effectLst/>
            </c:spPr>
            <c:extLst>
              <c:ext xmlns:c16="http://schemas.microsoft.com/office/drawing/2014/chart" uri="{C3380CC4-5D6E-409C-BE32-E72D297353CC}">
                <c16:uniqueId val="{00000008-682A-4C31-B575-F187C40BCA37}"/>
              </c:ext>
            </c:extLst>
          </c:dPt>
          <c:val>
            <c:numRef>
              <c:f>Evaluation!$P$9:$R$9</c:f>
              <c:numCache>
                <c:formatCode>#,##0.00</c:formatCode>
                <c:ptCount val="3"/>
                <c:pt idx="0" formatCode="0.00">
                  <c:v>5160.0129919631372</c:v>
                </c:pt>
                <c:pt idx="1">
                  <c:v>5762.2942659294613</c:v>
                </c:pt>
                <c:pt idx="2">
                  <c:v>4853.6712226267709</c:v>
                </c:pt>
              </c:numCache>
            </c:numRef>
          </c:val>
          <c:extLst>
            <c:ext xmlns:c16="http://schemas.microsoft.com/office/drawing/2014/chart" uri="{C3380CC4-5D6E-409C-BE32-E72D297353CC}">
              <c16:uniqueId val="{00000004-1B2D-4FEA-A650-CA3FD360403A}"/>
            </c:ext>
          </c:extLst>
        </c:ser>
        <c:ser>
          <c:idx val="0"/>
          <c:order val="1"/>
          <c:tx>
            <c:v>Costs</c:v>
          </c:tx>
          <c:spPr>
            <a:pattFill prst="pct60">
              <a:fgClr>
                <a:srgbClr val="003F57"/>
              </a:fgClr>
              <a:bgClr>
                <a:schemeClr val="bg1"/>
              </a:bgClr>
            </a:pattFill>
            <a:ln>
              <a:noFill/>
            </a:ln>
            <a:effectLst/>
          </c:spPr>
          <c:invertIfNegative val="0"/>
          <c:dPt>
            <c:idx val="0"/>
            <c:invertIfNegative val="0"/>
            <c:bubble3D val="0"/>
            <c:spPr>
              <a:pattFill prst="pct60">
                <a:fgClr>
                  <a:srgbClr val="003F57"/>
                </a:fgClr>
                <a:bgClr>
                  <a:schemeClr val="bg1"/>
                </a:bgClr>
              </a:pattFill>
              <a:ln>
                <a:solidFill>
                  <a:srgbClr val="003F57"/>
                </a:solidFill>
              </a:ln>
              <a:effectLst/>
            </c:spPr>
            <c:extLst>
              <c:ext xmlns:c16="http://schemas.microsoft.com/office/drawing/2014/chart" uri="{C3380CC4-5D6E-409C-BE32-E72D297353CC}">
                <c16:uniqueId val="{00000001-1B2D-4FEA-A650-CA3FD360403A}"/>
              </c:ext>
            </c:extLst>
          </c:dPt>
          <c:dPt>
            <c:idx val="1"/>
            <c:invertIfNegative val="0"/>
            <c:bubble3D val="0"/>
            <c:spPr>
              <a:pattFill prst="pct60">
                <a:fgClr>
                  <a:srgbClr val="FA6E00"/>
                </a:fgClr>
                <a:bgClr>
                  <a:schemeClr val="bg1"/>
                </a:bgClr>
              </a:pattFill>
              <a:ln>
                <a:solidFill>
                  <a:srgbClr val="FA6E00"/>
                </a:solidFill>
              </a:ln>
              <a:effectLst/>
            </c:spPr>
            <c:extLst>
              <c:ext xmlns:c16="http://schemas.microsoft.com/office/drawing/2014/chart" uri="{C3380CC4-5D6E-409C-BE32-E72D297353CC}">
                <c16:uniqueId val="{00000002-1B2D-4FEA-A650-CA3FD360403A}"/>
              </c:ext>
            </c:extLst>
          </c:dPt>
          <c:dPt>
            <c:idx val="2"/>
            <c:invertIfNegative val="0"/>
            <c:bubble3D val="0"/>
            <c:spPr>
              <a:pattFill prst="pct60">
                <a:fgClr>
                  <a:srgbClr val="99B2BC"/>
                </a:fgClr>
                <a:bgClr>
                  <a:schemeClr val="bg1"/>
                </a:bgClr>
              </a:pattFill>
              <a:ln>
                <a:solidFill>
                  <a:srgbClr val="99B2BC"/>
                </a:solidFill>
              </a:ln>
              <a:effectLst/>
            </c:spPr>
            <c:extLst>
              <c:ext xmlns:c16="http://schemas.microsoft.com/office/drawing/2014/chart" uri="{C3380CC4-5D6E-409C-BE32-E72D297353CC}">
                <c16:uniqueId val="{00000003-1B2D-4FEA-A650-CA3FD360403A}"/>
              </c:ext>
            </c:extLst>
          </c:dPt>
          <c:cat>
            <c:strRef>
              <c:f>Evaluation!$P$3:$R$3</c:f>
              <c:strCache>
                <c:ptCount val="3"/>
                <c:pt idx="0">
                  <c:v>Route 1</c:v>
                </c:pt>
                <c:pt idx="1">
                  <c:v>Route 2</c:v>
                </c:pt>
                <c:pt idx="2">
                  <c:v>Route 3</c:v>
                </c:pt>
              </c:strCache>
            </c:strRef>
          </c:cat>
          <c:val>
            <c:numRef>
              <c:f>Evaluation!$P$8:$R$8</c:f>
              <c:numCache>
                <c:formatCode>0.00</c:formatCode>
                <c:ptCount val="3"/>
                <c:pt idx="0">
                  <c:v>1799.6817780523379</c:v>
                </c:pt>
                <c:pt idx="1">
                  <c:v>1986.221334365066</c:v>
                </c:pt>
                <c:pt idx="2">
                  <c:v>1655.781320914512</c:v>
                </c:pt>
              </c:numCache>
            </c:numRef>
          </c:val>
          <c:extLst>
            <c:ext xmlns:c16="http://schemas.microsoft.com/office/drawing/2014/chart" uri="{C3380CC4-5D6E-409C-BE32-E72D297353CC}">
              <c16:uniqueId val="{00000000-1B2D-4FEA-A650-CA3FD360403A}"/>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Revenues and costs [€/ t spent LIB]</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0" sourceLinked="0"/>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Climate impacts</a:t>
            </a:r>
          </a:p>
        </c:rich>
      </c:tx>
      <c:layout>
        <c:manualLayout>
          <c:xMode val="edge"/>
          <c:yMode val="edge"/>
          <c:x val="0.34204313250455731"/>
          <c:y val="2.6179089709762533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1"/>
          <c:order val="0"/>
          <c:tx>
            <c:strRef>
              <c:f>Evaluation!$D$69</c:f>
              <c:strCache>
                <c:ptCount val="1"/>
                <c:pt idx="0">
                  <c:v>Credits</c:v>
                </c:pt>
              </c:strCache>
            </c:strRef>
          </c:tx>
          <c:spPr>
            <a:solidFill>
              <a:srgbClr val="003F57"/>
            </a:solidFill>
            <a:ln>
              <a:solidFill>
                <a:srgbClr val="003F57"/>
              </a:solidFill>
            </a:ln>
            <a:effectLst/>
          </c:spPr>
          <c:invertIfNegative val="0"/>
          <c:dPt>
            <c:idx val="1"/>
            <c:invertIfNegative val="0"/>
            <c:bubble3D val="0"/>
            <c:spPr>
              <a:solidFill>
                <a:srgbClr val="FA6E00"/>
              </a:solidFill>
              <a:ln>
                <a:solidFill>
                  <a:srgbClr val="FA6E00"/>
                </a:solidFill>
              </a:ln>
              <a:effectLst/>
            </c:spPr>
            <c:extLst>
              <c:ext xmlns:c16="http://schemas.microsoft.com/office/drawing/2014/chart" uri="{C3380CC4-5D6E-409C-BE32-E72D297353CC}">
                <c16:uniqueId val="{00000008-8BCA-4CFA-A311-0F1747ACE745}"/>
              </c:ext>
            </c:extLst>
          </c:dPt>
          <c:dPt>
            <c:idx val="2"/>
            <c:invertIfNegative val="0"/>
            <c:bubble3D val="0"/>
            <c:spPr>
              <a:solidFill>
                <a:srgbClr val="99B2BC"/>
              </a:solidFill>
              <a:ln>
                <a:solidFill>
                  <a:srgbClr val="99B2BC"/>
                </a:solidFill>
              </a:ln>
              <a:effectLst/>
            </c:spPr>
            <c:extLst>
              <c:ext xmlns:c16="http://schemas.microsoft.com/office/drawing/2014/chart" uri="{C3380CC4-5D6E-409C-BE32-E72D297353CC}">
                <c16:uniqueId val="{00000009-8BCA-4CFA-A311-0F1747ACE745}"/>
              </c:ext>
            </c:extLst>
          </c:dPt>
          <c:val>
            <c:numRef>
              <c:f>(Evaluation!$D$151,Evaluation!$F$151,Evaluation!$H$151)</c:f>
              <c:numCache>
                <c:formatCode>_(* #,##0.00_);_(* \(#,##0.00\);_(* "-"??_);_(@_)</c:formatCode>
                <c:ptCount val="3"/>
                <c:pt idx="0">
                  <c:v>8.2909292067457159</c:v>
                </c:pt>
                <c:pt idx="1">
                  <c:v>9.4697464250720618</c:v>
                </c:pt>
                <c:pt idx="2" formatCode="_-* #,##0.0_-;\-* #,##0.0_-;_-* &quot;-&quot;??_-;_-@_-">
                  <c:v>8.2655677893168971</c:v>
                </c:pt>
              </c:numCache>
            </c:numRef>
          </c:val>
          <c:extLst>
            <c:ext xmlns:c16="http://schemas.microsoft.com/office/drawing/2014/chart" uri="{C3380CC4-5D6E-409C-BE32-E72D297353CC}">
              <c16:uniqueId val="{00000007-8BCA-4CFA-A311-0F1747ACE745}"/>
            </c:ext>
          </c:extLst>
        </c:ser>
        <c:ser>
          <c:idx val="0"/>
          <c:order val="1"/>
          <c:tx>
            <c:strRef>
              <c:f>Evaluation!$C$69</c:f>
              <c:strCache>
                <c:ptCount val="1"/>
                <c:pt idx="0">
                  <c:v>Effort</c:v>
                </c:pt>
              </c:strCache>
            </c:strRef>
          </c:tx>
          <c:spPr>
            <a:pattFill prst="pct60">
              <a:fgClr>
                <a:srgbClr val="003F57"/>
              </a:fgClr>
              <a:bgClr>
                <a:schemeClr val="bg1"/>
              </a:bgClr>
            </a:pattFill>
            <a:ln>
              <a:solidFill>
                <a:srgbClr val="003F57"/>
              </a:solidFill>
            </a:ln>
            <a:effectLst/>
          </c:spPr>
          <c:invertIfNegative val="0"/>
          <c:dPt>
            <c:idx val="1"/>
            <c:invertIfNegative val="0"/>
            <c:bubble3D val="0"/>
            <c:spPr>
              <a:pattFill prst="pct60">
                <a:fgClr>
                  <a:srgbClr val="FA6E00"/>
                </a:fgClr>
                <a:bgClr>
                  <a:schemeClr val="bg1"/>
                </a:bgClr>
              </a:pattFill>
              <a:ln>
                <a:solidFill>
                  <a:srgbClr val="FA6E00"/>
                </a:solidFill>
              </a:ln>
              <a:effectLst/>
            </c:spPr>
            <c:extLst>
              <c:ext xmlns:c16="http://schemas.microsoft.com/office/drawing/2014/chart" uri="{C3380CC4-5D6E-409C-BE32-E72D297353CC}">
                <c16:uniqueId val="{00000003-9BF6-4DD7-8E4D-5DB3328443FC}"/>
              </c:ext>
            </c:extLst>
          </c:dPt>
          <c:dPt>
            <c:idx val="2"/>
            <c:invertIfNegative val="0"/>
            <c:bubble3D val="0"/>
            <c:spPr>
              <a:pattFill prst="pct60">
                <a:fgClr>
                  <a:srgbClr val="99B2BC"/>
                </a:fgClr>
                <a:bgClr>
                  <a:schemeClr val="bg1"/>
                </a:bgClr>
              </a:pattFill>
              <a:ln>
                <a:solidFill>
                  <a:srgbClr val="99B2BC"/>
                </a:solidFill>
              </a:ln>
              <a:effectLst/>
            </c:spPr>
            <c:extLst>
              <c:ext xmlns:c16="http://schemas.microsoft.com/office/drawing/2014/chart" uri="{C3380CC4-5D6E-409C-BE32-E72D297353CC}">
                <c16:uniqueId val="{00000005-9BF6-4DD7-8E4D-5DB3328443FC}"/>
              </c:ext>
            </c:extLst>
          </c:dPt>
          <c:cat>
            <c:strRef>
              <c:f>Evaluation!$P$3:$R$3</c:f>
              <c:strCache>
                <c:ptCount val="3"/>
                <c:pt idx="0">
                  <c:v>Route 1</c:v>
                </c:pt>
                <c:pt idx="1">
                  <c:v>Route 2</c:v>
                </c:pt>
                <c:pt idx="2">
                  <c:v>Route 3</c:v>
                </c:pt>
              </c:strCache>
            </c:strRef>
          </c:cat>
          <c:val>
            <c:numRef>
              <c:f>(Evaluation!$C$151,Evaluation!$E$151,Evaluation!$G$151)</c:f>
              <c:numCache>
                <c:formatCode>_(* #,##0.00_);_(* \(#,##0.00\);_(* "-"??_);_(@_)</c:formatCode>
                <c:ptCount val="3"/>
                <c:pt idx="0">
                  <c:v>1.7042247742754149</c:v>
                </c:pt>
                <c:pt idx="1">
                  <c:v>1.3986403805205405</c:v>
                </c:pt>
                <c:pt idx="2">
                  <c:v>0.86178201935585741</c:v>
                </c:pt>
              </c:numCache>
            </c:numRef>
          </c:val>
          <c:extLst>
            <c:ext xmlns:c16="http://schemas.microsoft.com/office/drawing/2014/chart" uri="{C3380CC4-5D6E-409C-BE32-E72D297353CC}">
              <c16:uniqueId val="{00000006-9BF6-4DD7-8E4D-5DB3328443FC}"/>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Climate impacts [t CO2-eq./ t spent LIB]</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_(* #,##0.00_);_(* \(#,##0.00\);_(* &quot;-&quot;??_);_(@_)" sourceLinked="1"/>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majorUnit val="1"/>
      </c:valAx>
      <c:spPr>
        <a:noFill/>
        <a:ln w="25400">
          <a:noFill/>
        </a:ln>
        <a:effectLst/>
      </c:spPr>
    </c:plotArea>
    <c:legend>
      <c:legendPos val="b"/>
      <c:layout>
        <c:manualLayout>
          <c:xMode val="edge"/>
          <c:yMode val="edge"/>
          <c:x val="0.23851222466677807"/>
          <c:y val="0.9077256944444444"/>
          <c:w val="0.59996796576358324"/>
          <c:h val="7.222600683908496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Recovery rates by material</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Evaluation!$B$4</c:f>
              <c:strCache>
                <c:ptCount val="1"/>
                <c:pt idx="0">
                  <c:v>Route 1</c:v>
                </c:pt>
              </c:strCache>
            </c:strRef>
          </c:tx>
          <c:spPr>
            <a:solidFill>
              <a:srgbClr val="003F57"/>
            </a:solidFill>
            <a:ln>
              <a:noFill/>
            </a:ln>
            <a:effectLst/>
          </c:spPr>
          <c:invertIfNegative val="0"/>
          <c:dLbls>
            <c:spPr>
              <a:noFill/>
              <a:ln>
                <a:noFill/>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Evaluation!$C$3:$L$3</c:f>
              <c:strCache>
                <c:ptCount val="10"/>
                <c:pt idx="0">
                  <c:v>Graphite</c:v>
                </c:pt>
                <c:pt idx="1">
                  <c:v>Cobalt</c:v>
                </c:pt>
                <c:pt idx="2">
                  <c:v>Nickel</c:v>
                </c:pt>
                <c:pt idx="3">
                  <c:v>Lithium</c:v>
                </c:pt>
                <c:pt idx="4">
                  <c:v>Manganese</c:v>
                </c:pt>
                <c:pt idx="5">
                  <c:v>Aluminium</c:v>
                </c:pt>
                <c:pt idx="6">
                  <c:v>Copper</c:v>
                </c:pt>
                <c:pt idx="7">
                  <c:v>Electrolyte</c:v>
                </c:pt>
                <c:pt idx="8">
                  <c:v>Steel</c:v>
                </c:pt>
                <c:pt idx="9">
                  <c:v>Total</c:v>
                </c:pt>
              </c:strCache>
            </c:strRef>
          </c:cat>
          <c:val>
            <c:numRef>
              <c:f>Evaluation!$C$4:$L$4</c:f>
              <c:numCache>
                <c:formatCode>0.0%</c:formatCode>
                <c:ptCount val="10"/>
                <c:pt idx="0">
                  <c:v>0</c:v>
                </c:pt>
                <c:pt idx="1">
                  <c:v>0.93162766370776762</c:v>
                </c:pt>
                <c:pt idx="2">
                  <c:v>0.94103033776598288</c:v>
                </c:pt>
                <c:pt idx="3">
                  <c:v>0</c:v>
                </c:pt>
                <c:pt idx="4">
                  <c:v>0</c:v>
                </c:pt>
                <c:pt idx="5">
                  <c:v>0.79121083641404799</c:v>
                </c:pt>
                <c:pt idx="6">
                  <c:v>0.90959740187587823</c:v>
                </c:pt>
                <c:pt idx="7">
                  <c:v>0</c:v>
                </c:pt>
                <c:pt idx="8">
                  <c:v>0.64895147774404061</c:v>
                </c:pt>
                <c:pt idx="9">
                  <c:v>0.49822649376881584</c:v>
                </c:pt>
              </c:numCache>
            </c:numRef>
          </c:val>
          <c:extLst>
            <c:ext xmlns:c16="http://schemas.microsoft.com/office/drawing/2014/chart" uri="{C3380CC4-5D6E-409C-BE32-E72D297353CC}">
              <c16:uniqueId val="{00000000-5EC9-4023-8282-252557FB9B87}"/>
            </c:ext>
          </c:extLst>
        </c:ser>
        <c:ser>
          <c:idx val="1"/>
          <c:order val="1"/>
          <c:tx>
            <c:strRef>
              <c:f>Evaluation!$B$5</c:f>
              <c:strCache>
                <c:ptCount val="1"/>
                <c:pt idx="0">
                  <c:v>Route 2</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1050" b="0" i="0" u="none" strike="noStrike" kern="1200" baseline="0">
                    <a:solidFill>
                      <a:schemeClr val="tx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Evaluation!$C$3:$L$3</c:f>
              <c:strCache>
                <c:ptCount val="10"/>
                <c:pt idx="0">
                  <c:v>Graphite</c:v>
                </c:pt>
                <c:pt idx="1">
                  <c:v>Cobalt</c:v>
                </c:pt>
                <c:pt idx="2">
                  <c:v>Nickel</c:v>
                </c:pt>
                <c:pt idx="3">
                  <c:v>Lithium</c:v>
                </c:pt>
                <c:pt idx="4">
                  <c:v>Manganese</c:v>
                </c:pt>
                <c:pt idx="5">
                  <c:v>Aluminium</c:v>
                </c:pt>
                <c:pt idx="6">
                  <c:v>Copper</c:v>
                </c:pt>
                <c:pt idx="7">
                  <c:v>Electrolyte</c:v>
                </c:pt>
                <c:pt idx="8">
                  <c:v>Steel</c:v>
                </c:pt>
                <c:pt idx="9">
                  <c:v>Total</c:v>
                </c:pt>
              </c:strCache>
            </c:strRef>
          </c:cat>
          <c:val>
            <c:numRef>
              <c:f>Evaluation!$C$5:$L$5</c:f>
              <c:numCache>
                <c:formatCode>0.0%</c:formatCode>
                <c:ptCount val="10"/>
                <c:pt idx="0">
                  <c:v>0.83299999999999996</c:v>
                </c:pt>
                <c:pt idx="1">
                  <c:v>0.82487866057458603</c:v>
                </c:pt>
                <c:pt idx="2">
                  <c:v>0.83320394489696403</c:v>
                </c:pt>
                <c:pt idx="3">
                  <c:v>0.72250000000000003</c:v>
                </c:pt>
                <c:pt idx="4">
                  <c:v>0.83305534011175797</c:v>
                </c:pt>
                <c:pt idx="5">
                  <c:v>0.93608149818084141</c:v>
                </c:pt>
                <c:pt idx="6">
                  <c:v>0.9718814114186739</c:v>
                </c:pt>
                <c:pt idx="7">
                  <c:v>0</c:v>
                </c:pt>
                <c:pt idx="8">
                  <c:v>0.93640350790680449</c:v>
                </c:pt>
                <c:pt idx="9">
                  <c:v>0.71745156636790131</c:v>
                </c:pt>
              </c:numCache>
            </c:numRef>
          </c:val>
          <c:extLst>
            <c:ext xmlns:c16="http://schemas.microsoft.com/office/drawing/2014/chart" uri="{C3380CC4-5D6E-409C-BE32-E72D297353CC}">
              <c16:uniqueId val="{00000001-5EC9-4023-8282-252557FB9B87}"/>
            </c:ext>
          </c:extLst>
        </c:ser>
        <c:ser>
          <c:idx val="2"/>
          <c:order val="2"/>
          <c:tx>
            <c:strRef>
              <c:f>Evaluation!$B$6</c:f>
              <c:strCache>
                <c:ptCount val="1"/>
                <c:pt idx="0">
                  <c:v>Route 3</c:v>
                </c:pt>
              </c:strCache>
            </c:strRef>
          </c:tx>
          <c:spPr>
            <a:solidFill>
              <a:srgbClr val="99B2BC"/>
            </a:solidFill>
            <a:ln>
              <a:solidFill>
                <a:srgbClr val="99B2BC"/>
              </a:solidFill>
            </a:ln>
            <a:effectLst/>
          </c:spPr>
          <c:invertIfNegative val="0"/>
          <c:dLbls>
            <c:spPr>
              <a:noFill/>
              <a:ln>
                <a:noFill/>
              </a:ln>
              <a:effectLst/>
            </c:spPr>
            <c:txPr>
              <a:bodyPr rot="-5400000" spcFirstLastPara="1" vertOverflow="ellipsis" wrap="square" anchor="ctr" anchorCtr="1"/>
              <a:lstStyle/>
              <a:p>
                <a:pPr>
                  <a:defRPr sz="1050" b="0" i="0" u="none" strike="noStrike" kern="1200" baseline="0">
                    <a:solidFill>
                      <a:schemeClr val="tx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Evaluation!$C$3:$L$3</c:f>
              <c:strCache>
                <c:ptCount val="10"/>
                <c:pt idx="0">
                  <c:v>Graphite</c:v>
                </c:pt>
                <c:pt idx="1">
                  <c:v>Cobalt</c:v>
                </c:pt>
                <c:pt idx="2">
                  <c:v>Nickel</c:v>
                </c:pt>
                <c:pt idx="3">
                  <c:v>Lithium</c:v>
                </c:pt>
                <c:pt idx="4">
                  <c:v>Manganese</c:v>
                </c:pt>
                <c:pt idx="5">
                  <c:v>Aluminium</c:v>
                </c:pt>
                <c:pt idx="6">
                  <c:v>Copper</c:v>
                </c:pt>
                <c:pt idx="7">
                  <c:v>Electrolyte</c:v>
                </c:pt>
                <c:pt idx="8">
                  <c:v>Steel</c:v>
                </c:pt>
                <c:pt idx="9">
                  <c:v>Total</c:v>
                </c:pt>
              </c:strCache>
            </c:strRef>
          </c:cat>
          <c:val>
            <c:numRef>
              <c:f>Evaluation!$C$6:$L$6</c:f>
              <c:numCache>
                <c:formatCode>0.0%</c:formatCode>
                <c:ptCount val="10"/>
                <c:pt idx="0">
                  <c:v>0</c:v>
                </c:pt>
                <c:pt idx="1">
                  <c:v>0.85858805487307888</c:v>
                </c:pt>
                <c:pt idx="2">
                  <c:v>0.87628745052768309</c:v>
                </c:pt>
                <c:pt idx="3">
                  <c:v>0</c:v>
                </c:pt>
                <c:pt idx="4">
                  <c:v>0</c:v>
                </c:pt>
                <c:pt idx="5">
                  <c:v>0.9379835975046209</c:v>
                </c:pt>
                <c:pt idx="6">
                  <c:v>0.970320363034609</c:v>
                </c:pt>
                <c:pt idx="7">
                  <c:v>0</c:v>
                </c:pt>
                <c:pt idx="8">
                  <c:v>0.93889804238849239</c:v>
                </c:pt>
                <c:pt idx="9">
                  <c:v>0.57049502958183163</c:v>
                </c:pt>
              </c:numCache>
            </c:numRef>
          </c:val>
          <c:extLst>
            <c:ext xmlns:c16="http://schemas.microsoft.com/office/drawing/2014/chart" uri="{C3380CC4-5D6E-409C-BE32-E72D297353CC}">
              <c16:uniqueId val="{00000002-5EC9-4023-8282-252557FB9B87}"/>
            </c:ext>
          </c:extLst>
        </c:ser>
        <c:dLbls>
          <c:dLblPos val="ctr"/>
          <c:showLegendKey val="0"/>
          <c:showVal val="1"/>
          <c:showCatName val="0"/>
          <c:showSerName val="0"/>
          <c:showPercent val="0"/>
          <c:showBubbleSize val="0"/>
        </c:dLbls>
        <c:gapWidth val="219"/>
        <c:overlap val="-27"/>
        <c:axId val="826907791"/>
        <c:axId val="826927343"/>
      </c:barChart>
      <c:catAx>
        <c:axId val="82690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826927343"/>
        <c:crosses val="autoZero"/>
        <c:auto val="1"/>
        <c:lblAlgn val="ctr"/>
        <c:lblOffset val="100"/>
        <c:noMultiLvlLbl val="0"/>
      </c:catAx>
      <c:valAx>
        <c:axId val="826927343"/>
        <c:scaling>
          <c:orientation val="minMax"/>
          <c:max val="1"/>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US"/>
                  <a:t>Recovery rate [wt%]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826907791"/>
        <c:crosses val="autoZero"/>
        <c:crossBetween val="between"/>
        <c:majorUnit val="0.1"/>
        <c:minorUnit val="2.5000000000000005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t>Revenues and costs per material flow</a:t>
            </a:r>
            <a:endParaRPr lang="de-DE"/>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barChart>
        <c:barDir val="bar"/>
        <c:grouping val="clustered"/>
        <c:varyColors val="0"/>
        <c:ser>
          <c:idx val="0"/>
          <c:order val="0"/>
          <c:tx>
            <c:v>Costs</c:v>
          </c:tx>
          <c:spPr>
            <a:solidFill>
              <a:srgbClr val="FA6E00"/>
            </a:solidFill>
            <a:ln w="9525">
              <a:noFill/>
            </a:ln>
            <a:effectLst/>
          </c:spPr>
          <c:invertIfNegative val="0"/>
          <c:cat>
            <c:strRef>
              <c:f>Evaluation!$B$29:$B$63</c:f>
              <c:strCache>
                <c:ptCount val="35"/>
                <c:pt idx="0">
                  <c:v>Waste (Incineration)</c:v>
                </c:pt>
                <c:pt idx="1">
                  <c:v>Wastewater (municipal)</c:v>
                </c:pt>
                <c:pt idx="2">
                  <c:v>Wastewater (industrial)</c:v>
                </c:pt>
                <c:pt idx="3">
                  <c:v>Aluminium</c:v>
                </c:pt>
                <c:pt idx="4">
                  <c:v>Aluminiumhydroxide</c:v>
                </c:pt>
                <c:pt idx="5">
                  <c:v>Calcium sulfate</c:v>
                </c:pt>
                <c:pt idx="6">
                  <c:v>CoSO4 * 7 H2O</c:v>
                </c:pt>
                <c:pt idx="7">
                  <c:v>Cyanex 272</c:v>
                </c:pt>
                <c:pt idx="8">
                  <c:v>Cyanex 301GN</c:v>
                </c:pt>
                <c:pt idx="9">
                  <c:v>D2EHPA</c:v>
                </c:pt>
                <c:pt idx="10">
                  <c:v>Iron</c:v>
                </c:pt>
                <c:pt idx="11">
                  <c:v>Iron hydroxide Fe (OH) 3</c:v>
                </c:pt>
                <c:pt idx="12">
                  <c:v>Electricity</c:v>
                </c:pt>
                <c:pt idx="13">
                  <c:v>Electrolyte</c:v>
                </c:pt>
                <c:pt idx="14">
                  <c:v>Electronic scrap (circuit board)</c:v>
                </c:pt>
                <c:pt idx="15">
                  <c:v>Natural gas (CH4)</c:v>
                </c:pt>
                <c:pt idx="16">
                  <c:v>Graphite</c:v>
                </c:pt>
                <c:pt idx="17">
                  <c:v>Cable</c:v>
                </c:pt>
                <c:pt idx="18">
                  <c:v>Limestone (CaO)</c:v>
                </c:pt>
                <c:pt idx="19">
                  <c:v>Kerosene</c:v>
                </c:pt>
                <c:pt idx="20">
                  <c:v>concentrated wastewater</c:v>
                </c:pt>
                <c:pt idx="21">
                  <c:v>Copper</c:v>
                </c:pt>
                <c:pt idx="22">
                  <c:v>Li2CO3 (anhydrous)</c:v>
                </c:pt>
                <c:pt idx="23">
                  <c:v>MnSO4 * 1 H2O</c:v>
                </c:pt>
                <c:pt idx="24">
                  <c:v>Sodium carbonate</c:v>
                </c:pt>
                <c:pt idx="25">
                  <c:v>Sodium hydrogen carbonate</c:v>
                </c:pt>
                <c:pt idx="26">
                  <c:v>Sodium hydroxide</c:v>
                </c:pt>
                <c:pt idx="27">
                  <c:v>NiSO4 * 6 H2O</c:v>
                </c:pt>
                <c:pt idx="28">
                  <c:v>Sand (SiO2)</c:v>
                </c:pt>
                <c:pt idx="29">
                  <c:v>Oxygen</c:v>
                </c:pt>
                <c:pt idx="30">
                  <c:v>Sulfuric acid (95%)</c:v>
                </c:pt>
                <c:pt idx="31">
                  <c:v>Steel</c:v>
                </c:pt>
                <c:pt idx="32">
                  <c:v>Nitrogen</c:v>
                </c:pt>
                <c:pt idx="33">
                  <c:v>Water (Input)</c:v>
                </c:pt>
                <c:pt idx="34">
                  <c:v>Hydrogen peroxide</c:v>
                </c:pt>
              </c:strCache>
            </c:strRef>
          </c:cat>
          <c:val>
            <c:numRef>
              <c:f>Evaluation!$C$29:$C$63</c:f>
              <c:numCache>
                <c:formatCode>_("€"* #,##0.00_);_("€"* \(#,##0.00\);_("€"* "-"??_);_(@_)</c:formatCode>
                <c:ptCount val="35"/>
                <c:pt idx="0">
                  <c:v>5.564227197057862E-6</c:v>
                </c:pt>
                <c:pt idx="1">
                  <c:v>2.1939732761975641E-3</c:v>
                </c:pt>
                <c:pt idx="2">
                  <c:v>0</c:v>
                </c:pt>
                <c:pt idx="7">
                  <c:v>6.3530626481008437E-5</c:v>
                </c:pt>
                <c:pt idx="9">
                  <c:v>0</c:v>
                </c:pt>
                <c:pt idx="10">
                  <c:v>7.2470953286694964E-3</c:v>
                </c:pt>
                <c:pt idx="12">
                  <c:v>0.26121496414204481</c:v>
                </c:pt>
                <c:pt idx="15">
                  <c:v>4.2989711469106903E-4</c:v>
                </c:pt>
                <c:pt idx="18">
                  <c:v>8.4082898079076724E-3</c:v>
                </c:pt>
                <c:pt idx="19">
                  <c:v>0</c:v>
                </c:pt>
                <c:pt idx="20">
                  <c:v>0</c:v>
                </c:pt>
                <c:pt idx="24">
                  <c:v>0</c:v>
                </c:pt>
                <c:pt idx="26">
                  <c:v>0.25062920961914731</c:v>
                </c:pt>
                <c:pt idx="28">
                  <c:v>7.6774150860899164E-3</c:v>
                </c:pt>
                <c:pt idx="29">
                  <c:v>2.026727890612854E-2</c:v>
                </c:pt>
                <c:pt idx="30">
                  <c:v>2.3146992989148928E-2</c:v>
                </c:pt>
                <c:pt idx="33">
                  <c:v>4.2482567379275064E-4</c:v>
                </c:pt>
                <c:pt idx="34">
                  <c:v>0.11529791046695881</c:v>
                </c:pt>
              </c:numCache>
            </c:numRef>
          </c:val>
          <c:extLst>
            <c:ext xmlns:c16="http://schemas.microsoft.com/office/drawing/2014/chart" uri="{C3380CC4-5D6E-409C-BE32-E72D297353CC}">
              <c16:uniqueId val="{0000003C-4C78-4FA7-8525-01858C67B5A8}"/>
            </c:ext>
          </c:extLst>
        </c:ser>
        <c:ser>
          <c:idx val="1"/>
          <c:order val="1"/>
          <c:tx>
            <c:v>Revenues</c:v>
          </c:tx>
          <c:spPr>
            <a:solidFill>
              <a:srgbClr val="003F57"/>
            </a:solidFill>
            <a:ln w="9525">
              <a:noFill/>
            </a:ln>
            <a:effectLst/>
          </c:spPr>
          <c:invertIfNegative val="0"/>
          <c:val>
            <c:numRef>
              <c:f>Evaluation!$D$29:$D$63</c:f>
              <c:numCache>
                <c:formatCode>_("€"* #,##0.00_);_("€"* \(#,##0.00\);_("€"* "-"??_);_(@_)</c:formatCode>
                <c:ptCount val="35"/>
                <c:pt idx="3">
                  <c:v>0.28142537410540014</c:v>
                </c:pt>
                <c:pt idx="4">
                  <c:v>0</c:v>
                </c:pt>
                <c:pt idx="5">
                  <c:v>0</c:v>
                </c:pt>
                <c:pt idx="6">
                  <c:v>2.1663350545146471</c:v>
                </c:pt>
                <c:pt idx="11">
                  <c:v>9.6782541814032647E-2</c:v>
                </c:pt>
                <c:pt idx="12">
                  <c:v>1.4443721535458685E-3</c:v>
                </c:pt>
                <c:pt idx="14">
                  <c:v>9.7316660404849382E-3</c:v>
                </c:pt>
                <c:pt idx="17">
                  <c:v>0</c:v>
                </c:pt>
                <c:pt idx="21">
                  <c:v>0.53170662409716973</c:v>
                </c:pt>
                <c:pt idx="22">
                  <c:v>0</c:v>
                </c:pt>
                <c:pt idx="23">
                  <c:v>0</c:v>
                </c:pt>
                <c:pt idx="27">
                  <c:v>2.0500678328878239</c:v>
                </c:pt>
                <c:pt idx="28">
                  <c:v>0</c:v>
                </c:pt>
                <c:pt idx="31">
                  <c:v>2.2519526350032529E-2</c:v>
                </c:pt>
              </c:numCache>
            </c:numRef>
          </c:val>
          <c:extLst>
            <c:ext xmlns:c16="http://schemas.microsoft.com/office/drawing/2014/chart" uri="{C3380CC4-5D6E-409C-BE32-E72D297353CC}">
              <c16:uniqueId val="{00000099-D7A6-4680-A208-980C389E7F8D}"/>
            </c:ext>
          </c:extLst>
        </c:ser>
        <c:dLbls>
          <c:showLegendKey val="0"/>
          <c:showVal val="0"/>
          <c:showCatName val="0"/>
          <c:showSerName val="0"/>
          <c:showPercent val="0"/>
          <c:showBubbleSize val="0"/>
        </c:dLbls>
        <c:gapWidth val="100"/>
        <c:axId val="394723984"/>
        <c:axId val="394715248"/>
      </c:barChart>
      <c:valAx>
        <c:axId val="394715248"/>
        <c:scaling>
          <c:orientation val="minMax"/>
          <c:min val="0"/>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Resource flow specific costs and revenues [k€ / t spent LIB]</a:t>
                </a:r>
                <a:endParaRPr lang="en-US" sz="1050">
                  <a:effectLst/>
                </a:endParaRPr>
              </a:p>
            </c:rich>
          </c:tx>
          <c:layout>
            <c:manualLayout>
              <c:xMode val="edge"/>
              <c:yMode val="edge"/>
              <c:x val="0.27320692722142759"/>
              <c:y val="0.9107941466018501"/>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_(&quot;€&quot;* #,##0.00_);_(&quot;€&quot;* \(#,##0.00\);_(&quot;€&quot;* &quot;-&quot;??_);_(@_)" sourceLinked="1"/>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0938508116257564"/>
          <c:y val="0.9566740369295248"/>
          <c:w val="0.24391941428421496"/>
          <c:h val="3.2316801483145002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CO2 eq. per process step</a:t>
            </a:r>
            <a:endParaRPr lang="de-DE"/>
          </a:p>
        </c:rich>
      </c:tx>
      <c:layout>
        <c:manualLayout>
          <c:xMode val="edge"/>
          <c:yMode val="edge"/>
          <c:x val="0.36034377773559695"/>
          <c:y val="1.067904580363635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38400656411585804"/>
          <c:y val="6.1393235197624046E-2"/>
          <c:w val="0.54972599368277142"/>
          <c:h val="0.81712503957329929"/>
        </c:manualLayout>
      </c:layout>
      <c:barChart>
        <c:barDir val="bar"/>
        <c:grouping val="clustered"/>
        <c:varyColors val="0"/>
        <c:ser>
          <c:idx val="0"/>
          <c:order val="0"/>
          <c:tx>
            <c:strRef>
              <c:f>Evaluation!$C$69</c:f>
              <c:strCache>
                <c:ptCount val="1"/>
                <c:pt idx="0">
                  <c:v>Effort</c:v>
                </c:pt>
              </c:strCache>
            </c:strRef>
          </c:tx>
          <c:spPr>
            <a:solidFill>
              <a:srgbClr val="FA6E00"/>
            </a:solidFill>
            <a:ln w="9525">
              <a:noFill/>
            </a:ln>
            <a:effectLst/>
          </c:spPr>
          <c:invertIfNegative val="0"/>
          <c:cat>
            <c:strRef>
              <c:extLst>
                <c:ext xmlns:c15="http://schemas.microsoft.com/office/drawing/2012/chart" uri="{02D57815-91ED-43cb-92C2-25804820EDAC}">
                  <c15:fullRef>
                    <c15:sqref>(Evaluation!$B$70:$B$78,Evaluation!$B$98:$B$106,Evaluation!$B$107:$B$115,Evaluation!$B$147:$B$149)</c15:sqref>
                  </c15:fullRef>
                </c:ext>
              </c:extLst>
              <c:f>(Evaluation!$B$70:$B$75,Evaluation!$B$77:$B$78,Evaluation!$B$98:$B$106,Evaluation!$B$107:$B$115,Evaluation!$B$147:$B$149)</c:f>
              <c:strCache>
                <c:ptCount val="29"/>
                <c:pt idx="0">
                  <c:v>Transport</c:v>
                </c:pt>
                <c:pt idx="1">
                  <c:v>Storage</c:v>
                </c:pt>
                <c:pt idx="2">
                  <c:v>Storage (defective)</c:v>
                </c:pt>
                <c:pt idx="3">
                  <c:v>Unloading</c:v>
                </c:pt>
                <c:pt idx="4">
                  <c:v>Dismantling</c:v>
                </c:pt>
                <c:pt idx="5">
                  <c:v>Melting down</c:v>
                </c:pt>
                <c:pt idx="6">
                  <c:v>Mill (alloy)</c:v>
                </c:pt>
                <c:pt idx="7">
                  <c:v>Mill (slag)</c:v>
                </c:pt>
                <c:pt idx="8">
                  <c:v>Digestion</c:v>
                </c:pt>
                <c:pt idx="9">
                  <c:v>Leaching</c:v>
                </c:pt>
                <c:pt idx="10">
                  <c:v>Cu cementation</c:v>
                </c:pt>
                <c:pt idx="11">
                  <c:v>Cu filtration</c:v>
                </c:pt>
                <c:pt idx="12">
                  <c:v>Oxidation Fe</c:v>
                </c:pt>
                <c:pt idx="13">
                  <c:v>Precipitation, filtration Fe</c:v>
                </c:pt>
                <c:pt idx="14">
                  <c:v>Extraction Co</c:v>
                </c:pt>
                <c:pt idx="15">
                  <c:v>Crystallization Ni</c:v>
                </c:pt>
                <c:pt idx="16">
                  <c:v>Crystallization Co</c:v>
                </c:pt>
                <c:pt idx="17">
                  <c:v>Digestion (slag)</c:v>
                </c:pt>
                <c:pt idx="18">
                  <c:v>Leaching (slag)</c:v>
                </c:pt>
                <c:pt idx="19">
                  <c:v>Filtration SiO2, CaSO4 (slag)</c:v>
                </c:pt>
                <c:pt idx="20">
                  <c:v>Oxidation Fe (slag)</c:v>
                </c:pt>
                <c:pt idx="21">
                  <c:v>Precipitation, filtration Fe, Al (slag)</c:v>
                </c:pt>
                <c:pt idx="22">
                  <c:v>Extraction Mn (slag)</c:v>
                </c:pt>
                <c:pt idx="23">
                  <c:v>Crystallization Mn (slag)</c:v>
                </c:pt>
                <c:pt idx="24">
                  <c:v>Concentration Li (slag)</c:v>
                </c:pt>
                <c:pt idx="25">
                  <c:v>Precipitation, Filtration Li (slag)</c:v>
                </c:pt>
                <c:pt idx="26">
                  <c:v>Fresh water</c:v>
                </c:pt>
                <c:pt idx="27">
                  <c:v>Wastewater (municipal)</c:v>
                </c:pt>
                <c:pt idx="28">
                  <c:v>Wastewater (industrial)</c:v>
                </c:pt>
              </c:strCache>
            </c:strRef>
          </c:cat>
          <c:val>
            <c:numRef>
              <c:extLst>
                <c:ext xmlns:c15="http://schemas.microsoft.com/office/drawing/2012/chart" uri="{02D57815-91ED-43cb-92C2-25804820EDAC}">
                  <c15:fullRef>
                    <c15:sqref>(Evaluation!$C$70:$C$78,Evaluation!$C$98:$C$115,Evaluation!$C$147:$C$149)</c15:sqref>
                  </c15:fullRef>
                </c:ext>
              </c:extLst>
              <c:f>(Evaluation!$C$70:$C$75,Evaluation!$C$77:$C$78,Evaluation!$C$98:$C$115,Evaluation!$C$147:$C$149)</c:f>
              <c:numCache>
                <c:formatCode>General</c:formatCode>
                <c:ptCount val="29"/>
                <c:pt idx="3" formatCode="_-* #,##0.000_-;\-* #,##0.000_-;_-* &quot;-&quot;??_-;_-@_-">
                  <c:v>0</c:v>
                </c:pt>
                <c:pt idx="4" formatCode="_-* #,##0.000_-;\-* #,##0.000_-;_-* &quot;-&quot;??_-;_-@_-">
                  <c:v>0</c:v>
                </c:pt>
                <c:pt idx="5" formatCode="_-* #,##0.000_-;\-* #,##0.000_-;_-* &quot;-&quot;??_-;_-@_-">
                  <c:v>0.2410759218709056</c:v>
                </c:pt>
                <c:pt idx="6" formatCode="_-* #,##0.000_-;\-* #,##0.000_-;_-* &quot;-&quot;??_-;_-@_-">
                  <c:v>7.2835075581001961E-4</c:v>
                </c:pt>
                <c:pt idx="7" formatCode="_-* #,##0.000_-;\-* #,##0.000_-;_-* &quot;-&quot;??_-;_-@_-">
                  <c:v>0</c:v>
                </c:pt>
                <c:pt idx="8" formatCode="_-* #,##0.000_-;\-* #,##0.000_-;_-* &quot;-&quot;??_-;_-@_-">
                  <c:v>4.3936831042349481E-2</c:v>
                </c:pt>
                <c:pt idx="9" formatCode="_-* #,##0.000_-;\-* #,##0.000_-;_-* &quot;-&quot;??_-;_-@_-">
                  <c:v>2.1895056531352616E-3</c:v>
                </c:pt>
                <c:pt idx="10" formatCode="_-* #,##0.000_-;\-* #,##0.000_-;_-* &quot;-&quot;??_-;_-@_-">
                  <c:v>0.12205128096303394</c:v>
                </c:pt>
                <c:pt idx="11" formatCode="_-* #,##0.000_-;\-* #,##0.000_-;_-* &quot;-&quot;??_-;_-@_-">
                  <c:v>1.7268280672105235E-3</c:v>
                </c:pt>
                <c:pt idx="12" formatCode="_-* #,##0.000_-;\-* #,##0.000_-;_-* &quot;-&quot;??_-;_-@_-">
                  <c:v>0.15446480325270162</c:v>
                </c:pt>
                <c:pt idx="13" formatCode="_-* #,##0.000_-;\-* #,##0.000_-;_-* &quot;-&quot;??_-;_-@_-">
                  <c:v>0.56049265277831173</c:v>
                </c:pt>
                <c:pt idx="14" formatCode="_-* #,##0.000_-;\-* #,##0.000_-;_-* &quot;-&quot;??_-;_-@_-">
                  <c:v>2.8705059369241899E-3</c:v>
                </c:pt>
                <c:pt idx="15" formatCode="_-* #,##0.000_-;\-* #,##0.000_-;_-* &quot;-&quot;??_-;_-@_-">
                  <c:v>0.53772241606300075</c:v>
                </c:pt>
                <c:pt idx="16" formatCode="_-* #,##0.000_-;\-* #,##0.000_-;_-* &quot;-&quot;??_-;_-@_-">
                  <c:v>3.4453389971712545E-2</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2" formatCode="_-* #,##0.000_-;\-* #,##0.000_-;_-* &quot;-&quot;??_-;_-@_-">
                  <c:v>0</c:v>
                </c:pt>
                <c:pt idx="23" formatCode="_-* #,##0.000_-;\-* #,##0.000_-;_-* &quot;-&quot;??_-;_-@_-">
                  <c:v>0</c:v>
                </c:pt>
                <c:pt idx="24" formatCode="_-* #,##0.000_-;\-* #,##0.000_-;_-* &quot;-&quot;??_-;_-@_-">
                  <c:v>0</c:v>
                </c:pt>
                <c:pt idx="25" formatCode="_-* #,##0.000_-;\-* #,##0.000_-;_-* &quot;-&quot;??_-;_-@_-">
                  <c:v>0</c:v>
                </c:pt>
                <c:pt idx="26" formatCode="_-* #,##0.0000_-;\-* #,##0.0000_-;_-* &quot;-&quot;??_-;_-@_-">
                  <c:v>5.4536267618257708E-5</c:v>
                </c:pt>
                <c:pt idx="27" formatCode="_-* #,##0.0000_-;\-* #,##0.0000_-;_-* &quot;-&quot;??_-;_-@_-">
                  <c:v>2.6010833599446115E-4</c:v>
                </c:pt>
                <c:pt idx="28" formatCode="_-* #,##0.0000_-;\-* #,##0.0000_-;_-* &quot;-&quot;??_-;_-@_-">
                  <c:v>0</c:v>
                </c:pt>
              </c:numCache>
            </c:numRef>
          </c:val>
          <c:extLst>
            <c:ext xmlns:c16="http://schemas.microsoft.com/office/drawing/2014/chart" uri="{C3380CC4-5D6E-409C-BE32-E72D297353CC}">
              <c16:uniqueId val="{0000003C-F298-4B8A-B54C-97599090AE91}"/>
            </c:ext>
          </c:extLst>
        </c:ser>
        <c:ser>
          <c:idx val="1"/>
          <c:order val="1"/>
          <c:tx>
            <c:strRef>
              <c:f>Evaluation!$D$69</c:f>
              <c:strCache>
                <c:ptCount val="1"/>
                <c:pt idx="0">
                  <c:v>Credits</c:v>
                </c:pt>
              </c:strCache>
            </c:strRef>
          </c:tx>
          <c:spPr>
            <a:solidFill>
              <a:srgbClr val="003F57"/>
            </a:solidFill>
            <a:ln w="9525">
              <a:noFill/>
            </a:ln>
            <a:effectLst/>
          </c:spPr>
          <c:invertIfNegative val="0"/>
          <c:cat>
            <c:strRef>
              <c:extLst>
                <c:ext xmlns:c15="http://schemas.microsoft.com/office/drawing/2012/chart" uri="{02D57815-91ED-43cb-92C2-25804820EDAC}">
                  <c15:fullRef>
                    <c15:sqref>(Evaluation!$B$70:$B$78,Evaluation!$B$98:$B$106,Evaluation!$B$107:$B$115,Evaluation!$B$147:$B$149)</c15:sqref>
                  </c15:fullRef>
                </c:ext>
              </c:extLst>
              <c:f>(Evaluation!$B$70:$B$75,Evaluation!$B$77:$B$78,Evaluation!$B$98:$B$106,Evaluation!$B$107:$B$115,Evaluation!$B$147:$B$149)</c:f>
              <c:strCache>
                <c:ptCount val="29"/>
                <c:pt idx="0">
                  <c:v>Transport</c:v>
                </c:pt>
                <c:pt idx="1">
                  <c:v>Storage</c:v>
                </c:pt>
                <c:pt idx="2">
                  <c:v>Storage (defective)</c:v>
                </c:pt>
                <c:pt idx="3">
                  <c:v>Unloading</c:v>
                </c:pt>
                <c:pt idx="4">
                  <c:v>Dismantling</c:v>
                </c:pt>
                <c:pt idx="5">
                  <c:v>Melting down</c:v>
                </c:pt>
                <c:pt idx="6">
                  <c:v>Mill (alloy)</c:v>
                </c:pt>
                <c:pt idx="7">
                  <c:v>Mill (slag)</c:v>
                </c:pt>
                <c:pt idx="8">
                  <c:v>Digestion</c:v>
                </c:pt>
                <c:pt idx="9">
                  <c:v>Leaching</c:v>
                </c:pt>
                <c:pt idx="10">
                  <c:v>Cu cementation</c:v>
                </c:pt>
                <c:pt idx="11">
                  <c:v>Cu filtration</c:v>
                </c:pt>
                <c:pt idx="12">
                  <c:v>Oxidation Fe</c:v>
                </c:pt>
                <c:pt idx="13">
                  <c:v>Precipitation, filtration Fe</c:v>
                </c:pt>
                <c:pt idx="14">
                  <c:v>Extraction Co</c:v>
                </c:pt>
                <c:pt idx="15">
                  <c:v>Crystallization Ni</c:v>
                </c:pt>
                <c:pt idx="16">
                  <c:v>Crystallization Co</c:v>
                </c:pt>
                <c:pt idx="17">
                  <c:v>Digestion (slag)</c:v>
                </c:pt>
                <c:pt idx="18">
                  <c:v>Leaching (slag)</c:v>
                </c:pt>
                <c:pt idx="19">
                  <c:v>Filtration SiO2, CaSO4 (slag)</c:v>
                </c:pt>
                <c:pt idx="20">
                  <c:v>Oxidation Fe (slag)</c:v>
                </c:pt>
                <c:pt idx="21">
                  <c:v>Precipitation, filtration Fe, Al (slag)</c:v>
                </c:pt>
                <c:pt idx="22">
                  <c:v>Extraction Mn (slag)</c:v>
                </c:pt>
                <c:pt idx="23">
                  <c:v>Crystallization Mn (slag)</c:v>
                </c:pt>
                <c:pt idx="24">
                  <c:v>Concentration Li (slag)</c:v>
                </c:pt>
                <c:pt idx="25">
                  <c:v>Precipitation, Filtration Li (slag)</c:v>
                </c:pt>
                <c:pt idx="26">
                  <c:v>Fresh water</c:v>
                </c:pt>
                <c:pt idx="27">
                  <c:v>Wastewater (municipal)</c:v>
                </c:pt>
                <c:pt idx="28">
                  <c:v>Wastewater (industrial)</c:v>
                </c:pt>
              </c:strCache>
            </c:strRef>
          </c:cat>
          <c:val>
            <c:numRef>
              <c:extLst>
                <c:ext xmlns:c15="http://schemas.microsoft.com/office/drawing/2012/chart" uri="{02D57815-91ED-43cb-92C2-25804820EDAC}">
                  <c15:fullRef>
                    <c15:sqref>(Evaluation!$D$70:$D$78,Evaluation!$D$98:$D$106,Evaluation!$D$107:$D$115,Evaluation!$D$147:$D$149)</c15:sqref>
                  </c15:fullRef>
                </c:ext>
              </c:extLst>
              <c:f>(Evaluation!$D$70:$D$75,Evaluation!$D$77:$D$78,Evaluation!$D$98:$D$106,Evaluation!$D$107:$D$115,Evaluation!$D$147:$D$149)</c:f>
              <c:numCache>
                <c:formatCode>General</c:formatCode>
                <c:ptCount val="29"/>
                <c:pt idx="3" formatCode="_-* #,##0.000_-;\-* #,##0.000_-;_-* &quot;-&quot;??_-;_-@_-">
                  <c:v>3.2964649750596401E-3</c:v>
                </c:pt>
                <c:pt idx="4" formatCode="_-* #,##0.000_-;\-* #,##0.000_-;_-* &quot;-&quot;??_-;_-@_-">
                  <c:v>2.0334935803744263</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c:v>
                </c:pt>
                <c:pt idx="11" formatCode="_-* #,##0.000_-;\-* #,##0.000_-;_-* &quot;-&quot;??_-;_-@_-">
                  <c:v>0.4360288437259599</c:v>
                </c:pt>
                <c:pt idx="12" formatCode="_-* #,##0.000_-;\-* #,##0.000_-;_-* &quot;-&quot;??_-;_-@_-">
                  <c:v>0</c:v>
                </c:pt>
                <c:pt idx="13" formatCode="_-* #,##0.000_-;\-* #,##0.000_-;_-* &quot;-&quot;??_-;_-@_-">
                  <c:v>2.3155672640350518E-2</c:v>
                </c:pt>
                <c:pt idx="14" formatCode="_-* #,##0.000_-;\-* #,##0.000_-;_-* &quot;-&quot;??_-;_-@_-">
                  <c:v>0</c:v>
                </c:pt>
                <c:pt idx="15" formatCode="_-* #,##0.000_-;\-* #,##0.000_-;_-* &quot;-&quot;??_-;_-@_-">
                  <c:v>1.9045226301137284</c:v>
                </c:pt>
                <c:pt idx="16" formatCode="_-* #,##0.000_-;\-* #,##0.000_-;_-* &quot;-&quot;??_-;_-@_-">
                  <c:v>3.8904320149161906</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3" formatCode="_-* #,##0.000_-;\-* #,##0.000_-;_-* &quot;-&quot;??_-;_-@_-">
                  <c:v>0</c:v>
                </c:pt>
                <c:pt idx="24" formatCode="_(* #,##0.00_);_(* \(#,##0.00\);_(* &quot;-&quot;??_);_(@_)">
                  <c:v>0</c:v>
                </c:pt>
                <c:pt idx="25" formatCode="_-* #,##0.000_-;\-* #,##0.000_-;_-* &quot;-&quot;??_-;_-@_-">
                  <c:v>0</c:v>
                </c:pt>
                <c:pt idx="26" formatCode="_-* #,##0.0000_-;\-* #,##0.0000_-;_-* &quot;-&quot;??_-;_-@_-">
                  <c:v>0</c:v>
                </c:pt>
                <c:pt idx="27" formatCode="_-* #,##0.0000_-;\-* #,##0.0000_-;_-* &quot;-&quot;??_-;_-@_-">
                  <c:v>0</c:v>
                </c:pt>
                <c:pt idx="28" formatCode="_-* #,##0.0000_-;\-* #,##0.0000_-;_-* &quot;-&quot;??_-;_-@_-">
                  <c:v>0</c:v>
                </c:pt>
              </c:numCache>
            </c:numRef>
          </c:val>
          <c:extLst>
            <c:ext xmlns:c16="http://schemas.microsoft.com/office/drawing/2014/chart" uri="{C3380CC4-5D6E-409C-BE32-E72D297353CC}">
              <c16:uniqueId val="{0000003C-753F-43AA-8714-EF3FB40966AE}"/>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Process specific climate impacts [t CO2-eq./ t spent LIB]</a:t>
                </a:r>
                <a:endParaRPr lang="en-US" sz="1050">
                  <a:effectLst/>
                </a:endParaRPr>
              </a:p>
            </c:rich>
          </c:tx>
          <c:layout>
            <c:manualLayout>
              <c:xMode val="edge"/>
              <c:yMode val="edge"/>
              <c:x val="0.32503086650866264"/>
              <c:y val="0.92089017523364158"/>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majorUnit val="0.5"/>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2229596130043154"/>
          <c:y val="0.9565400962322308"/>
          <c:w val="0.26968231777789092"/>
          <c:h val="3.1863140673399286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Investments per process step</a:t>
            </a:r>
            <a:endParaRPr lang="de-DE"/>
          </a:p>
        </c:rich>
      </c:tx>
      <c:layout>
        <c:manualLayout>
          <c:xMode val="edge"/>
          <c:yMode val="edge"/>
          <c:x val="0.37846206654475006"/>
          <c:y val="1.084529387544051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41382900024711983"/>
          <c:y val="6.1349818596668076E-2"/>
          <c:w val="0.49934638598205855"/>
          <c:h val="0.82005902148360466"/>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5-582D-42E3-9013-83CD901B5980}"/>
              </c:ext>
            </c:extLst>
          </c:dPt>
          <c:dPt>
            <c:idx val="1"/>
            <c:invertIfNegative val="0"/>
            <c:bubble3D val="0"/>
            <c:spPr>
              <a:solidFill>
                <a:srgbClr val="003F57"/>
              </a:solidFill>
              <a:ln>
                <a:noFill/>
              </a:ln>
              <a:effectLst/>
            </c:spPr>
            <c:extLst>
              <c:ext xmlns:c16="http://schemas.microsoft.com/office/drawing/2014/chart" uri="{C3380CC4-5D6E-409C-BE32-E72D297353CC}">
                <c16:uniqueId val="{00000004-582D-42E3-9013-83CD901B5980}"/>
              </c:ext>
            </c:extLst>
          </c:dPt>
          <c:dPt>
            <c:idx val="2"/>
            <c:invertIfNegative val="0"/>
            <c:bubble3D val="0"/>
            <c:spPr>
              <a:solidFill>
                <a:srgbClr val="003F57"/>
              </a:solidFill>
              <a:ln>
                <a:noFill/>
              </a:ln>
              <a:effectLst/>
            </c:spPr>
            <c:extLst>
              <c:ext xmlns:c16="http://schemas.microsoft.com/office/drawing/2014/chart" uri="{C3380CC4-5D6E-409C-BE32-E72D297353CC}">
                <c16:uniqueId val="{00000003-582D-42E3-9013-83CD901B5980}"/>
              </c:ext>
            </c:extLst>
          </c:dPt>
          <c:dPt>
            <c:idx val="3"/>
            <c:invertIfNegative val="0"/>
            <c:bubble3D val="0"/>
            <c:spPr>
              <a:solidFill>
                <a:srgbClr val="003F57"/>
              </a:solidFill>
              <a:ln>
                <a:noFill/>
              </a:ln>
              <a:effectLst/>
            </c:spPr>
            <c:extLst>
              <c:ext xmlns:c16="http://schemas.microsoft.com/office/drawing/2014/chart" uri="{C3380CC4-5D6E-409C-BE32-E72D297353CC}">
                <c16:uniqueId val="{00000002-582D-42E3-9013-83CD901B5980}"/>
              </c:ext>
            </c:extLst>
          </c:dPt>
          <c:dPt>
            <c:idx val="4"/>
            <c:invertIfNegative val="0"/>
            <c:bubble3D val="0"/>
            <c:spPr>
              <a:solidFill>
                <a:srgbClr val="FA6E00"/>
              </a:solidFill>
              <a:ln>
                <a:noFill/>
              </a:ln>
              <a:effectLst/>
            </c:spPr>
            <c:extLst>
              <c:ext xmlns:c16="http://schemas.microsoft.com/office/drawing/2014/chart" uri="{C3380CC4-5D6E-409C-BE32-E72D297353CC}">
                <c16:uniqueId val="{00000000-582D-42E3-9013-83CD901B5980}"/>
              </c:ext>
            </c:extLst>
          </c:dPt>
          <c:dPt>
            <c:idx val="5"/>
            <c:invertIfNegative val="0"/>
            <c:bubble3D val="0"/>
            <c:spPr>
              <a:solidFill>
                <a:srgbClr val="FA6E00"/>
              </a:solidFill>
              <a:ln>
                <a:noFill/>
              </a:ln>
              <a:effectLst/>
            </c:spPr>
            <c:extLst>
              <c:ext xmlns:c16="http://schemas.microsoft.com/office/drawing/2014/chart" uri="{C3380CC4-5D6E-409C-BE32-E72D297353CC}">
                <c16:uniqueId val="{00000001-582D-42E3-9013-83CD901B5980}"/>
              </c:ext>
            </c:extLst>
          </c:dPt>
          <c:dPt>
            <c:idx val="6"/>
            <c:invertIfNegative val="0"/>
            <c:bubble3D val="0"/>
            <c:spPr>
              <a:solidFill>
                <a:srgbClr val="FA6E00"/>
              </a:solidFill>
              <a:ln>
                <a:noFill/>
              </a:ln>
              <a:effectLst/>
            </c:spPr>
            <c:extLst>
              <c:ext xmlns:c16="http://schemas.microsoft.com/office/drawing/2014/chart" uri="{C3380CC4-5D6E-409C-BE32-E72D297353CC}">
                <c16:uniqueId val="{00000006-582D-42E3-9013-83CD901B5980}"/>
              </c:ext>
            </c:extLst>
          </c:dPt>
          <c:dPt>
            <c:idx val="7"/>
            <c:invertIfNegative val="0"/>
            <c:bubble3D val="0"/>
            <c:spPr>
              <a:solidFill>
                <a:srgbClr val="FA6E00"/>
              </a:solidFill>
              <a:ln>
                <a:noFill/>
              </a:ln>
              <a:effectLst/>
            </c:spPr>
            <c:extLst>
              <c:ext xmlns:c16="http://schemas.microsoft.com/office/drawing/2014/chart" uri="{C3380CC4-5D6E-409C-BE32-E72D297353CC}">
                <c16:uniqueId val="{00000007-582D-42E3-9013-83CD901B5980}"/>
              </c:ext>
            </c:extLst>
          </c:dPt>
          <c:dPt>
            <c:idx val="8"/>
            <c:invertIfNegative val="0"/>
            <c:bubble3D val="0"/>
            <c:spPr>
              <a:solidFill>
                <a:srgbClr val="AEBEB6"/>
              </a:solidFill>
              <a:ln>
                <a:noFill/>
              </a:ln>
              <a:effectLst/>
            </c:spPr>
            <c:extLst>
              <c:ext xmlns:c16="http://schemas.microsoft.com/office/drawing/2014/chart" uri="{C3380CC4-5D6E-409C-BE32-E72D297353CC}">
                <c16:uniqueId val="{00000008-582D-42E3-9013-83CD901B5980}"/>
              </c:ext>
            </c:extLst>
          </c:dPt>
          <c:dPt>
            <c:idx val="9"/>
            <c:invertIfNegative val="0"/>
            <c:bubble3D val="0"/>
            <c:spPr>
              <a:solidFill>
                <a:srgbClr val="AEBEB6"/>
              </a:solidFill>
              <a:ln>
                <a:noFill/>
              </a:ln>
              <a:effectLst/>
            </c:spPr>
            <c:extLst>
              <c:ext xmlns:c16="http://schemas.microsoft.com/office/drawing/2014/chart" uri="{C3380CC4-5D6E-409C-BE32-E72D297353CC}">
                <c16:uniqueId val="{00000009-582D-42E3-9013-83CD901B5980}"/>
              </c:ext>
            </c:extLst>
          </c:dPt>
          <c:dPt>
            <c:idx val="10"/>
            <c:invertIfNegative val="0"/>
            <c:bubble3D val="0"/>
            <c:spPr>
              <a:solidFill>
                <a:srgbClr val="AEBEB6"/>
              </a:solidFill>
              <a:ln>
                <a:noFill/>
              </a:ln>
              <a:effectLst/>
            </c:spPr>
            <c:extLst>
              <c:ext xmlns:c16="http://schemas.microsoft.com/office/drawing/2014/chart" uri="{C3380CC4-5D6E-409C-BE32-E72D297353CC}">
                <c16:uniqueId val="{0000000A-582D-42E3-9013-83CD901B5980}"/>
              </c:ext>
            </c:extLst>
          </c:dPt>
          <c:dPt>
            <c:idx val="11"/>
            <c:invertIfNegative val="0"/>
            <c:bubble3D val="0"/>
            <c:spPr>
              <a:solidFill>
                <a:srgbClr val="AEBEB6"/>
              </a:solidFill>
              <a:ln>
                <a:noFill/>
              </a:ln>
              <a:effectLst/>
            </c:spPr>
            <c:extLst>
              <c:ext xmlns:c16="http://schemas.microsoft.com/office/drawing/2014/chart" uri="{C3380CC4-5D6E-409C-BE32-E72D297353CC}">
                <c16:uniqueId val="{0000000B-582D-42E3-9013-83CD901B5980}"/>
              </c:ext>
            </c:extLst>
          </c:dPt>
          <c:dPt>
            <c:idx val="12"/>
            <c:invertIfNegative val="0"/>
            <c:bubble3D val="0"/>
            <c:spPr>
              <a:solidFill>
                <a:srgbClr val="AEBEB6"/>
              </a:solidFill>
              <a:ln>
                <a:noFill/>
              </a:ln>
              <a:effectLst/>
            </c:spPr>
            <c:extLst>
              <c:ext xmlns:c16="http://schemas.microsoft.com/office/drawing/2014/chart" uri="{C3380CC4-5D6E-409C-BE32-E72D297353CC}">
                <c16:uniqueId val="{0000000C-582D-42E3-9013-83CD901B5980}"/>
              </c:ext>
            </c:extLst>
          </c:dPt>
          <c:dPt>
            <c:idx val="13"/>
            <c:invertIfNegative val="0"/>
            <c:bubble3D val="0"/>
            <c:spPr>
              <a:solidFill>
                <a:srgbClr val="AEBEB6"/>
              </a:solidFill>
              <a:ln>
                <a:noFill/>
              </a:ln>
              <a:effectLst/>
            </c:spPr>
            <c:extLst>
              <c:ext xmlns:c16="http://schemas.microsoft.com/office/drawing/2014/chart" uri="{C3380CC4-5D6E-409C-BE32-E72D297353CC}">
                <c16:uniqueId val="{0000000D-582D-42E3-9013-83CD901B5980}"/>
              </c:ext>
            </c:extLst>
          </c:dPt>
          <c:dPt>
            <c:idx val="14"/>
            <c:invertIfNegative val="0"/>
            <c:bubble3D val="0"/>
            <c:spPr>
              <a:solidFill>
                <a:srgbClr val="AEBEB6"/>
              </a:solidFill>
              <a:ln>
                <a:noFill/>
              </a:ln>
              <a:effectLst/>
            </c:spPr>
            <c:extLst>
              <c:ext xmlns:c16="http://schemas.microsoft.com/office/drawing/2014/chart" uri="{C3380CC4-5D6E-409C-BE32-E72D297353CC}">
                <c16:uniqueId val="{0000000E-582D-42E3-9013-83CD901B5980}"/>
              </c:ext>
            </c:extLst>
          </c:dPt>
          <c:dPt>
            <c:idx val="15"/>
            <c:invertIfNegative val="0"/>
            <c:bubble3D val="0"/>
            <c:spPr>
              <a:solidFill>
                <a:srgbClr val="AEBEB6"/>
              </a:solidFill>
              <a:ln>
                <a:noFill/>
              </a:ln>
              <a:effectLst/>
            </c:spPr>
            <c:extLst>
              <c:ext xmlns:c16="http://schemas.microsoft.com/office/drawing/2014/chart" uri="{C3380CC4-5D6E-409C-BE32-E72D297353CC}">
                <c16:uniqueId val="{0000000F-582D-42E3-9013-83CD901B5980}"/>
              </c:ext>
            </c:extLst>
          </c:dPt>
          <c:dPt>
            <c:idx val="16"/>
            <c:invertIfNegative val="0"/>
            <c:bubble3D val="0"/>
            <c:spPr>
              <a:solidFill>
                <a:srgbClr val="AEBEB6"/>
              </a:solidFill>
              <a:ln>
                <a:noFill/>
              </a:ln>
              <a:effectLst/>
            </c:spPr>
            <c:extLst>
              <c:ext xmlns:c16="http://schemas.microsoft.com/office/drawing/2014/chart" uri="{C3380CC4-5D6E-409C-BE32-E72D297353CC}">
                <c16:uniqueId val="{00000010-582D-42E3-9013-83CD901B5980}"/>
              </c:ext>
            </c:extLst>
          </c:dPt>
          <c:dPt>
            <c:idx val="17"/>
            <c:invertIfNegative val="0"/>
            <c:bubble3D val="0"/>
            <c:spPr>
              <a:solidFill>
                <a:srgbClr val="AEBEB6"/>
              </a:solidFill>
              <a:ln>
                <a:noFill/>
              </a:ln>
              <a:effectLst/>
            </c:spPr>
            <c:extLst>
              <c:ext xmlns:c16="http://schemas.microsoft.com/office/drawing/2014/chart" uri="{C3380CC4-5D6E-409C-BE32-E72D297353CC}">
                <c16:uniqueId val="{00000011-582D-42E3-9013-83CD901B5980}"/>
              </c:ext>
            </c:extLst>
          </c:dPt>
          <c:dPt>
            <c:idx val="18"/>
            <c:invertIfNegative val="0"/>
            <c:bubble3D val="0"/>
            <c:spPr>
              <a:solidFill>
                <a:srgbClr val="AEBEB6"/>
              </a:solidFill>
              <a:ln>
                <a:noFill/>
              </a:ln>
              <a:effectLst/>
            </c:spPr>
            <c:extLst>
              <c:ext xmlns:c16="http://schemas.microsoft.com/office/drawing/2014/chart" uri="{C3380CC4-5D6E-409C-BE32-E72D297353CC}">
                <c16:uniqueId val="{00000012-582D-42E3-9013-83CD901B5980}"/>
              </c:ext>
            </c:extLst>
          </c:dPt>
          <c:dPt>
            <c:idx val="19"/>
            <c:invertIfNegative val="0"/>
            <c:bubble3D val="0"/>
            <c:spPr>
              <a:solidFill>
                <a:srgbClr val="AEBEB6"/>
              </a:solidFill>
              <a:ln>
                <a:noFill/>
              </a:ln>
              <a:effectLst/>
            </c:spPr>
            <c:extLst>
              <c:ext xmlns:c16="http://schemas.microsoft.com/office/drawing/2014/chart" uri="{C3380CC4-5D6E-409C-BE32-E72D297353CC}">
                <c16:uniqueId val="{00000013-582D-42E3-9013-83CD901B5980}"/>
              </c:ext>
            </c:extLst>
          </c:dPt>
          <c:dPt>
            <c:idx val="20"/>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4-582D-42E3-9013-83CD901B5980}"/>
              </c:ext>
            </c:extLst>
          </c:dPt>
          <c:dPt>
            <c:idx val="21"/>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5-582D-42E3-9013-83CD901B5980}"/>
              </c:ext>
            </c:extLst>
          </c:dPt>
          <c:dPt>
            <c:idx val="22"/>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6-582D-42E3-9013-83CD901B5980}"/>
              </c:ext>
            </c:extLst>
          </c:dPt>
          <c:dPt>
            <c:idx val="23"/>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7-582D-42E3-9013-83CD901B5980}"/>
              </c:ext>
            </c:extLst>
          </c:dPt>
          <c:dPt>
            <c:idx val="24"/>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8-582D-42E3-9013-83CD901B5980}"/>
              </c:ext>
            </c:extLst>
          </c:dPt>
          <c:dPt>
            <c:idx val="25"/>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9-582D-42E3-9013-83CD901B5980}"/>
              </c:ext>
            </c:extLst>
          </c:dPt>
          <c:dPt>
            <c:idx val="26"/>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A-582D-42E3-9013-83CD901B5980}"/>
              </c:ext>
            </c:extLst>
          </c:dPt>
          <c:dPt>
            <c:idx val="27"/>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B-582D-42E3-9013-83CD901B5980}"/>
              </c:ext>
            </c:extLst>
          </c:dPt>
          <c:dPt>
            <c:idx val="28"/>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C-582D-42E3-9013-83CD901B5980}"/>
              </c:ext>
            </c:extLst>
          </c:dPt>
          <c:dPt>
            <c:idx val="29"/>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D-582D-42E3-9013-83CD901B5980}"/>
              </c:ext>
            </c:extLst>
          </c:dPt>
          <c:dPt>
            <c:idx val="30"/>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E-582D-42E3-9013-83CD901B5980}"/>
              </c:ext>
            </c:extLst>
          </c:dPt>
          <c:dPt>
            <c:idx val="31"/>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F-582D-42E3-9013-83CD901B5980}"/>
              </c:ext>
            </c:extLst>
          </c:dPt>
          <c:dPt>
            <c:idx val="32"/>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20-582D-42E3-9013-83CD901B5980}"/>
              </c:ext>
            </c:extLst>
          </c:dPt>
          <c:cat>
            <c:strRef>
              <c:extLst>
                <c:ext xmlns:c15="http://schemas.microsoft.com/office/drawing/2012/chart" uri="{02D57815-91ED-43cb-92C2-25804820EDAC}">
                  <c15:fullRef>
                    <c15:sqref>'R1_Econ.'!$B$12:$B$45</c15:sqref>
                  </c15:fullRef>
                </c:ext>
              </c:extLst>
              <c:f>'R1_Econ.'!$B$12:$B$44</c:f>
              <c:strCache>
                <c:ptCount val="33"/>
                <c:pt idx="0">
                  <c:v>Storage</c:v>
                </c:pt>
                <c:pt idx="1">
                  <c:v>Storage (defective)</c:v>
                </c:pt>
                <c:pt idx="2">
                  <c:v>Discharge</c:v>
                </c:pt>
                <c:pt idx="3">
                  <c:v>Disassembly</c:v>
                </c:pt>
                <c:pt idx="4">
                  <c:v>Melting down</c:v>
                </c:pt>
                <c:pt idx="5">
                  <c:v>Exhaust gas cleaning</c:v>
                </c:pt>
                <c:pt idx="6">
                  <c:v>Mill 1</c:v>
                </c:pt>
                <c:pt idx="7">
                  <c:v>Mill 2</c:v>
                </c:pt>
                <c:pt idx="8">
                  <c:v>Exposure</c:v>
                </c:pt>
                <c:pt idx="9">
                  <c:v>Leaching</c:v>
                </c:pt>
                <c:pt idx="10">
                  <c:v>Cementation Cu</c:v>
                </c:pt>
                <c:pt idx="11">
                  <c:v>Filtration Cu</c:v>
                </c:pt>
                <c:pt idx="12">
                  <c:v>Oxidation Fe</c:v>
                </c:pt>
                <c:pt idx="13">
                  <c:v>Precipitation Fe</c:v>
                </c:pt>
                <c:pt idx="14">
                  <c:v>Filtration Fe</c:v>
                </c:pt>
                <c:pt idx="15">
                  <c:v>Extraction Co</c:v>
                </c:pt>
                <c:pt idx="16">
                  <c:v>Scrubbing co</c:v>
                </c:pt>
                <c:pt idx="17">
                  <c:v>Stripping Co</c:v>
                </c:pt>
                <c:pt idx="18">
                  <c:v>Crystallization Ni</c:v>
                </c:pt>
                <c:pt idx="19">
                  <c:v>Crystallization Co</c:v>
                </c:pt>
                <c:pt idx="20">
                  <c:v>Digestion</c:v>
                </c:pt>
                <c:pt idx="21">
                  <c:v>Leaching</c:v>
                </c:pt>
                <c:pt idx="22">
                  <c:v>Filtration SiO2, CaSO4</c:v>
                </c:pt>
                <c:pt idx="23">
                  <c:v>Oxidation Fe</c:v>
                </c:pt>
                <c:pt idx="24">
                  <c:v>Precipitation Fe, Al</c:v>
                </c:pt>
                <c:pt idx="25">
                  <c:v>Filtration Fe, Al</c:v>
                </c:pt>
                <c:pt idx="26">
                  <c:v>Extraction Mn</c:v>
                </c:pt>
                <c:pt idx="27">
                  <c:v>Scrubbing Mn</c:v>
                </c:pt>
                <c:pt idx="28">
                  <c:v>Stripping Mn</c:v>
                </c:pt>
                <c:pt idx="29">
                  <c:v>Crystallization Mn</c:v>
                </c:pt>
                <c:pt idx="30">
                  <c:v>Concentration Li</c:v>
                </c:pt>
                <c:pt idx="31">
                  <c:v>Precipitation Li (90 ° C)</c:v>
                </c:pt>
                <c:pt idx="32">
                  <c:v>Filtration Li</c:v>
                </c:pt>
              </c:strCache>
            </c:strRef>
          </c:cat>
          <c:val>
            <c:numRef>
              <c:extLst>
                <c:ext xmlns:c15="http://schemas.microsoft.com/office/drawing/2012/chart" uri="{02D57815-91ED-43cb-92C2-25804820EDAC}">
                  <c15:fullRef>
                    <c15:sqref>'R1_Econ.'!$N$12:$N$45</c15:sqref>
                  </c15:fullRef>
                </c:ext>
              </c:extLst>
              <c:f>'R1_Econ.'!$N$12:$N$44</c:f>
              <c:numCache>
                <c:formatCode>_-* #,##0\ "€"_-;\-* #,##0\ "€"_-;_-* "-"??\ "€"_-;_-@_-</c:formatCode>
                <c:ptCount val="33"/>
                <c:pt idx="0">
                  <c:v>528342.39442614967</c:v>
                </c:pt>
                <c:pt idx="1">
                  <c:v>42876.887340301975</c:v>
                </c:pt>
                <c:pt idx="2">
                  <c:v>91093.516280370619</c:v>
                </c:pt>
                <c:pt idx="3">
                  <c:v>72874.813024296498</c:v>
                </c:pt>
                <c:pt idx="4">
                  <c:v>827014.0827784451</c:v>
                </c:pt>
                <c:pt idx="5">
                  <c:v>1801745.2246395454</c:v>
                </c:pt>
                <c:pt idx="6">
                  <c:v>428986.95824751077</c:v>
                </c:pt>
                <c:pt idx="7">
                  <c:v>428986.95824751077</c:v>
                </c:pt>
                <c:pt idx="8">
                  <c:v>439446.55956837285</c:v>
                </c:pt>
                <c:pt idx="9">
                  <c:v>307268.70020250563</c:v>
                </c:pt>
                <c:pt idx="10">
                  <c:v>311875.29601080989</c:v>
                </c:pt>
                <c:pt idx="11">
                  <c:v>52629.941023678388</c:v>
                </c:pt>
                <c:pt idx="12">
                  <c:v>313914.05133397825</c:v>
                </c:pt>
                <c:pt idx="13">
                  <c:v>340610.72649884206</c:v>
                </c:pt>
                <c:pt idx="14">
                  <c:v>59764.128814043186</c:v>
                </c:pt>
                <c:pt idx="15">
                  <c:v>304290.50775596726</c:v>
                </c:pt>
                <c:pt idx="16">
                  <c:v>88933.470552688217</c:v>
                </c:pt>
                <c:pt idx="17">
                  <c:v>88983.449762682503</c:v>
                </c:pt>
                <c:pt idx="18">
                  <c:v>15481749.738693718</c:v>
                </c:pt>
                <c:pt idx="19">
                  <c:v>3549468.7261329433</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categoryFilterExceptions>
                <c15:categoryFilterException>
                  <c15:sqref>'R1_Econ.'!$N$45</c15:sqref>
                  <c15:spPr xmlns:c15="http://schemas.microsoft.com/office/drawing/2012/chart">
                    <a:pattFill prst="dkDnDiag">
                      <a:fgClr>
                        <a:srgbClr val="AEBEB6"/>
                      </a:fgClr>
                      <a:bgClr>
                        <a:schemeClr val="bg1"/>
                      </a:bgClr>
                    </a:pattFill>
                    <a:ln>
                      <a:solidFill>
                        <a:srgbClr val="AEBEB6"/>
                      </a:solidFill>
                    </a:ln>
                    <a:effectLst/>
                  </c15:spPr>
                  <c15:invertIfNegative val="0"/>
                  <c15:bubble3D val="0"/>
                </c15:categoryFilterException>
              </c15:categoryFilterExceptions>
            </c:ext>
            <c:ext xmlns:c16="http://schemas.microsoft.com/office/drawing/2014/chart" uri="{C3380CC4-5D6E-409C-BE32-E72D297353CC}">
              <c16:uniqueId val="{0000003C-5354-4C98-8494-E076392EDB71}"/>
            </c:ext>
          </c:extLst>
        </c:ser>
        <c:dLbls>
          <c:showLegendKey val="0"/>
          <c:showVal val="0"/>
          <c:showCatName val="0"/>
          <c:showSerName val="0"/>
          <c:showPercent val="0"/>
          <c:showBubbleSize val="0"/>
        </c:dLbls>
        <c:gapWidth val="219"/>
        <c:axId val="646288960"/>
        <c:axId val="646292704"/>
      </c:barChart>
      <c:catAx>
        <c:axId val="6462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92704"/>
        <c:crosses val="autoZero"/>
        <c:auto val="1"/>
        <c:lblAlgn val="ctr"/>
        <c:lblOffset val="100"/>
        <c:noMultiLvlLbl val="0"/>
      </c:catAx>
      <c:valAx>
        <c:axId val="646292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88960"/>
        <c:crosses val="autoZero"/>
        <c:crossBetween val="between"/>
        <c:majorUnit val="1000000"/>
        <c:dispUnits>
          <c:builtInUnit val="millions"/>
          <c:dispUnitsLbl>
            <c:layout>
              <c:manualLayout>
                <c:xMode val="edge"/>
                <c:yMode val="edge"/>
                <c:x val="0.41671220762799788"/>
                <c:y val="0.91839313259378119"/>
              </c:manualLayout>
            </c:layout>
            <c:tx>
              <c:rich>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r>
                    <a:rPr lang="en-US" sz="1050" b="0" i="0" baseline="0">
                      <a:effectLst/>
                    </a:rPr>
                    <a:t>Process specific needed investment [M€]</a:t>
                  </a:r>
                  <a:endParaRPr lang="en-US" sz="1050">
                    <a:effectLst/>
                  </a:endParaRPr>
                </a:p>
              </c:rich>
            </c:tx>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ispUnitsLbl>
        </c:dispUnits>
      </c:valAx>
      <c:spPr>
        <a:noFill/>
        <a:ln>
          <a:noFill/>
        </a:ln>
        <a:effectLst/>
      </c:spPr>
    </c:plotArea>
    <c:plotVisOnly val="1"/>
    <c:dispBlanksAs val="gap"/>
    <c:showDLblsOverMax val="0"/>
  </c:chart>
  <c:spPr>
    <a:solidFill>
      <a:schemeClr val="bg1">
        <a:lumMod val="85000"/>
      </a:schemeClr>
    </a:solidFill>
    <a:ln w="9525" cap="flat" cmpd="sng" algn="ctr">
      <a:no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t>Revenues and costs per material flow</a:t>
            </a:r>
            <a:endParaRPr lang="de-DE"/>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barChart>
        <c:barDir val="bar"/>
        <c:grouping val="clustered"/>
        <c:varyColors val="0"/>
        <c:ser>
          <c:idx val="0"/>
          <c:order val="0"/>
          <c:tx>
            <c:v>Costs</c:v>
          </c:tx>
          <c:spPr>
            <a:solidFill>
              <a:schemeClr val="accent2"/>
            </a:solidFill>
            <a:ln w="9525">
              <a:noFill/>
            </a:ln>
            <a:effectLst/>
          </c:spPr>
          <c:invertIfNegative val="0"/>
          <c:cat>
            <c:strRef>
              <c:f>Evaluation!$B$29:$B$63</c:f>
              <c:strCache>
                <c:ptCount val="35"/>
                <c:pt idx="0">
                  <c:v>Waste (Incineration)</c:v>
                </c:pt>
                <c:pt idx="1">
                  <c:v>Wastewater (municipal)</c:v>
                </c:pt>
                <c:pt idx="2">
                  <c:v>Wastewater (industrial)</c:v>
                </c:pt>
                <c:pt idx="3">
                  <c:v>Aluminium</c:v>
                </c:pt>
                <c:pt idx="4">
                  <c:v>Aluminiumhydroxide</c:v>
                </c:pt>
                <c:pt idx="5">
                  <c:v>Calcium sulfate</c:v>
                </c:pt>
                <c:pt idx="6">
                  <c:v>CoSO4 * 7 H2O</c:v>
                </c:pt>
                <c:pt idx="7">
                  <c:v>Cyanex 272</c:v>
                </c:pt>
                <c:pt idx="8">
                  <c:v>Cyanex 301GN</c:v>
                </c:pt>
                <c:pt idx="9">
                  <c:v>D2EHPA</c:v>
                </c:pt>
                <c:pt idx="10">
                  <c:v>Iron</c:v>
                </c:pt>
                <c:pt idx="11">
                  <c:v>Iron hydroxide Fe (OH) 3</c:v>
                </c:pt>
                <c:pt idx="12">
                  <c:v>Electricity</c:v>
                </c:pt>
                <c:pt idx="13">
                  <c:v>Electrolyte</c:v>
                </c:pt>
                <c:pt idx="14">
                  <c:v>Electronic scrap (circuit board)</c:v>
                </c:pt>
                <c:pt idx="15">
                  <c:v>Natural gas (CH4)</c:v>
                </c:pt>
                <c:pt idx="16">
                  <c:v>Graphite</c:v>
                </c:pt>
                <c:pt idx="17">
                  <c:v>Cable</c:v>
                </c:pt>
                <c:pt idx="18">
                  <c:v>Limestone (CaO)</c:v>
                </c:pt>
                <c:pt idx="19">
                  <c:v>Kerosene</c:v>
                </c:pt>
                <c:pt idx="20">
                  <c:v>concentrated wastewater</c:v>
                </c:pt>
                <c:pt idx="21">
                  <c:v>Copper</c:v>
                </c:pt>
                <c:pt idx="22">
                  <c:v>Li2CO3 (anhydrous)</c:v>
                </c:pt>
                <c:pt idx="23">
                  <c:v>MnSO4 * 1 H2O</c:v>
                </c:pt>
                <c:pt idx="24">
                  <c:v>Sodium carbonate</c:v>
                </c:pt>
                <c:pt idx="25">
                  <c:v>Sodium hydrogen carbonate</c:v>
                </c:pt>
                <c:pt idx="26">
                  <c:v>Sodium hydroxide</c:v>
                </c:pt>
                <c:pt idx="27">
                  <c:v>NiSO4 * 6 H2O</c:v>
                </c:pt>
                <c:pt idx="28">
                  <c:v>Sand (SiO2)</c:v>
                </c:pt>
                <c:pt idx="29">
                  <c:v>Oxygen</c:v>
                </c:pt>
                <c:pt idx="30">
                  <c:v>Sulfuric acid (95%)</c:v>
                </c:pt>
                <c:pt idx="31">
                  <c:v>Steel</c:v>
                </c:pt>
                <c:pt idx="32">
                  <c:v>Nitrogen</c:v>
                </c:pt>
                <c:pt idx="33">
                  <c:v>Water (Input)</c:v>
                </c:pt>
                <c:pt idx="34">
                  <c:v>Hydrogen peroxide</c:v>
                </c:pt>
              </c:strCache>
            </c:strRef>
          </c:cat>
          <c:val>
            <c:numRef>
              <c:f>Evaluation!$E$29:$E$63</c:f>
              <c:numCache>
                <c:formatCode>_("€"* #,##0.00_);_("€"* \(#,##0.00\);_("€"* "-"??_);_(@_)</c:formatCode>
                <c:ptCount val="35"/>
                <c:pt idx="0">
                  <c:v>1.4049936635700254E-2</c:v>
                </c:pt>
                <c:pt idx="1">
                  <c:v>0</c:v>
                </c:pt>
                <c:pt idx="2">
                  <c:v>0.37231160054262635</c:v>
                </c:pt>
                <c:pt idx="7">
                  <c:v>1.6004980976990006E-5</c:v>
                </c:pt>
                <c:pt idx="8">
                  <c:v>5.8427354443090988E-5</c:v>
                </c:pt>
                <c:pt idx="9">
                  <c:v>9.7649646482578506E-6</c:v>
                </c:pt>
                <c:pt idx="10">
                  <c:v>1.4494190657338992E-4</c:v>
                </c:pt>
                <c:pt idx="12">
                  <c:v>0.11522865846918846</c:v>
                </c:pt>
                <c:pt idx="15">
                  <c:v>0</c:v>
                </c:pt>
                <c:pt idx="19">
                  <c:v>0</c:v>
                </c:pt>
                <c:pt idx="20">
                  <c:v>0</c:v>
                </c:pt>
                <c:pt idx="24">
                  <c:v>1.0670889380521837E-2</c:v>
                </c:pt>
                <c:pt idx="26">
                  <c:v>0.24720206289784019</c:v>
                </c:pt>
                <c:pt idx="30">
                  <c:v>2.2849935363993393E-2</c:v>
                </c:pt>
                <c:pt idx="32">
                  <c:v>3.2509144288324014E-2</c:v>
                </c:pt>
                <c:pt idx="33">
                  <c:v>1.0853651920806223E-3</c:v>
                </c:pt>
                <c:pt idx="34">
                  <c:v>7.2157066470864409E-2</c:v>
                </c:pt>
              </c:numCache>
            </c:numRef>
          </c:val>
          <c:extLst>
            <c:ext xmlns:c16="http://schemas.microsoft.com/office/drawing/2014/chart" uri="{C3380CC4-5D6E-409C-BE32-E72D297353CC}">
              <c16:uniqueId val="{00000000-82E3-407A-B2AC-1E25CEF47004}"/>
            </c:ext>
          </c:extLst>
        </c:ser>
        <c:ser>
          <c:idx val="1"/>
          <c:order val="1"/>
          <c:tx>
            <c:v>Revenues</c:v>
          </c:tx>
          <c:spPr>
            <a:solidFill>
              <a:srgbClr val="003F57"/>
            </a:solidFill>
            <a:ln w="9525">
              <a:noFill/>
            </a:ln>
            <a:effectLst/>
          </c:spPr>
          <c:invertIfNegative val="0"/>
          <c:val>
            <c:numRef>
              <c:f>Evaluation!$F$29:$F$63</c:f>
              <c:numCache>
                <c:formatCode>_("€"* #,##0.00_);_("€"* \(#,##0.00\);_("€"* "-"??_);_(@_)</c:formatCode>
                <c:ptCount val="35"/>
                <c:pt idx="3">
                  <c:v>0.33239856343526353</c:v>
                </c:pt>
                <c:pt idx="4">
                  <c:v>6.6018896405103228E-4</c:v>
                </c:pt>
                <c:pt idx="6">
                  <c:v>1.9181091628515103</c:v>
                </c:pt>
                <c:pt idx="11">
                  <c:v>1.7666742897017621E-3</c:v>
                </c:pt>
                <c:pt idx="12">
                  <c:v>1.4443721535458685E-3</c:v>
                </c:pt>
                <c:pt idx="13">
                  <c:v>0</c:v>
                </c:pt>
                <c:pt idx="14">
                  <c:v>1.1992558150900633E-2</c:v>
                </c:pt>
                <c:pt idx="16">
                  <c:v>2.1818964606928531E-2</c:v>
                </c:pt>
                <c:pt idx="17">
                  <c:v>0</c:v>
                </c:pt>
                <c:pt idx="21">
                  <c:v>0.5681148420416563</c:v>
                </c:pt>
                <c:pt idx="22">
                  <c:v>0.98832922685837676</c:v>
                </c:pt>
                <c:pt idx="23">
                  <c:v>6.967886136446369E-2</c:v>
                </c:pt>
                <c:pt idx="27">
                  <c:v>1.8151642270360939</c:v>
                </c:pt>
                <c:pt idx="31">
                  <c:v>3.2816624176968116E-2</c:v>
                </c:pt>
              </c:numCache>
            </c:numRef>
          </c:val>
          <c:extLst>
            <c:ext xmlns:c16="http://schemas.microsoft.com/office/drawing/2014/chart" uri="{C3380CC4-5D6E-409C-BE32-E72D297353CC}">
              <c16:uniqueId val="{00000001-82E3-407A-B2AC-1E25CEF47004}"/>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Resource flow specific costs and revenues [k€ / t spent LIB]</a:t>
                </a:r>
                <a:endParaRPr lang="en-US" sz="1050">
                  <a:effectLst/>
                </a:endParaRPr>
              </a:p>
            </c:rich>
          </c:tx>
          <c:layout>
            <c:manualLayout>
              <c:xMode val="edge"/>
              <c:yMode val="edge"/>
              <c:x val="0.25408706934180336"/>
              <c:y val="0.9141110874434045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_(&quot;€&quot;* #,##0.00_);_(&quot;€&quot;* \(#,##0.00\);_(&quot;€&quot;* &quot;-&quot;??_);_(@_)" sourceLinked="1"/>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3127587921335617"/>
          <c:y val="0.95731526616094598"/>
          <c:w val="0.24391941428421496"/>
          <c:h val="3.1838509108124337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D$10" lockText="1" noThreeD="1"/>
</file>

<file path=xl/ctrlProps/ctrlProp10.xml><?xml version="1.0" encoding="utf-8"?>
<formControlPr xmlns="http://schemas.microsoft.com/office/spreadsheetml/2009/9/main" objectType="CheckBox" fmlaLink="$D$11" lockText="1" noThreeD="1"/>
</file>

<file path=xl/ctrlProps/ctrlProp11.xml><?xml version="1.0" encoding="utf-8"?>
<formControlPr xmlns="http://schemas.microsoft.com/office/spreadsheetml/2009/9/main" objectType="CheckBox" fmlaLink="Macro!$D$10" lockText="1" noThreeD="1"/>
</file>

<file path=xl/ctrlProps/ctrlProp12.xml><?xml version="1.0" encoding="utf-8"?>
<formControlPr xmlns="http://schemas.microsoft.com/office/spreadsheetml/2009/9/main" objectType="Drop" dropLines="3" dropStyle="combo" dx="16" fmlaLink="Macro!$D$8" fmlaRange="Kapazitäten" sel="2" val="0"/>
</file>

<file path=xl/ctrlProps/ctrlProp13.xml><?xml version="1.0" encoding="utf-8"?>
<formControlPr xmlns="http://schemas.microsoft.com/office/spreadsheetml/2009/9/main" objectType="Drop" dropLines="4" dropStyle="combo" dx="16" fmlaLink="Macro!$H$8" fmlaRange="Preisszenario" sel="2" val="0"/>
</file>

<file path=xl/ctrlProps/ctrlProp14.xml><?xml version="1.0" encoding="utf-8"?>
<formControlPr xmlns="http://schemas.microsoft.com/office/spreadsheetml/2009/9/main" objectType="Drop" dropLines="3" dropStyle="combo" dx="16" fmlaLink="Macro!$D$20" fmlaRange="Schichten" sel="3" val="0"/>
</file>

<file path=xl/ctrlProps/ctrlProp15.xml><?xml version="1.0" encoding="utf-8"?>
<formControlPr xmlns="http://schemas.microsoft.com/office/spreadsheetml/2009/9/main" objectType="Drop" dropLines="3" dropStyle="combo" dx="16" fmlaLink="Macro!$D$18" fmlaRange="Schichten" sel="2" val="0"/>
</file>

<file path=xl/ctrlProps/ctrlProp16.xml><?xml version="1.0" encoding="utf-8"?>
<formControlPr xmlns="http://schemas.microsoft.com/office/spreadsheetml/2009/9/main" objectType="CheckBox" fmlaLink="Macro!$D$22" lockText="1" noThreeD="1"/>
</file>

<file path=xl/ctrlProps/ctrlProp17.xml><?xml version="1.0" encoding="utf-8"?>
<formControlPr xmlns="http://schemas.microsoft.com/office/spreadsheetml/2009/9/main" objectType="CheckBox" fmlaLink="$D$11" lockText="1" noThreeD="1"/>
</file>

<file path=xl/ctrlProps/ctrlProp18.xml><?xml version="1.0" encoding="utf-8"?>
<formControlPr xmlns="http://schemas.microsoft.com/office/spreadsheetml/2009/9/main" objectType="CheckBox" fmlaLink="$D$11" lockText="1" noThreeD="1"/>
</file>

<file path=xl/ctrlProps/ctrlProp19.xml><?xml version="1.0" encoding="utf-8"?>
<formControlPr xmlns="http://schemas.microsoft.com/office/spreadsheetml/2009/9/main" objectType="CheckBox" fmlaLink="$D$11" lockText="1" noThreeD="1"/>
</file>

<file path=xl/ctrlProps/ctrlProp2.xml><?xml version="1.0" encoding="utf-8"?>
<formControlPr xmlns="http://schemas.microsoft.com/office/spreadsheetml/2009/9/main" objectType="CheckBox" checked="Checked" fmlaLink="$D$12" lockText="1" noThreeD="1"/>
</file>

<file path=xl/ctrlProps/ctrlProp20.xml><?xml version="1.0" encoding="utf-8"?>
<formControlPr xmlns="http://schemas.microsoft.com/office/spreadsheetml/2009/9/main" objectType="CheckBox" fmlaLink="Macro!$D$14" lockText="1" noThreeD="1"/>
</file>

<file path=xl/ctrlProps/ctrlProp21.xml><?xml version="1.0" encoding="utf-8"?>
<formControlPr xmlns="http://schemas.microsoft.com/office/spreadsheetml/2009/9/main" objectType="CheckBox" checked="Checked" fmlaLink="Macro!$D$12" lockText="1" noThreeD="1"/>
</file>

<file path=xl/ctrlProps/ctrlProp22.xml><?xml version="1.0" encoding="utf-8"?>
<formControlPr xmlns="http://schemas.microsoft.com/office/spreadsheetml/2009/9/main" objectType="Drop" dropLines="3" dropStyle="combo" dx="16" fmlaLink="Macro!$D$8" fmlaRange="Kapazitäten" sel="2" val="0"/>
</file>

<file path=xl/ctrlProps/ctrlProp23.xml><?xml version="1.0" encoding="utf-8"?>
<formControlPr xmlns="http://schemas.microsoft.com/office/spreadsheetml/2009/9/main" objectType="Drop" dropLines="4" dropStyle="combo" dx="16" fmlaLink="Macro!$H$8" fmlaRange="Preisszenario" sel="2" val="0"/>
</file>

<file path=xl/ctrlProps/ctrlProp24.xml><?xml version="1.0" encoding="utf-8"?>
<formControlPr xmlns="http://schemas.microsoft.com/office/spreadsheetml/2009/9/main" objectType="Drop" dropLines="3" dropStyle="combo" dx="16" fmlaLink="Macro!$D$20" fmlaRange="Schichten" sel="3" val="0"/>
</file>

<file path=xl/ctrlProps/ctrlProp25.xml><?xml version="1.0" encoding="utf-8"?>
<formControlPr xmlns="http://schemas.microsoft.com/office/spreadsheetml/2009/9/main" objectType="Drop" dropLines="3" dropStyle="combo" dx="16" fmlaLink="Macro!$D$18" fmlaRange="Schichten" sel="2" val="0"/>
</file>

<file path=xl/ctrlProps/ctrlProp26.xml><?xml version="1.0" encoding="utf-8"?>
<formControlPr xmlns="http://schemas.microsoft.com/office/spreadsheetml/2009/9/main" objectType="CheckBox" fmlaLink="Macro!$D$22" lockText="1" noThreeD="1"/>
</file>

<file path=xl/ctrlProps/ctrlProp27.xml><?xml version="1.0" encoding="utf-8"?>
<formControlPr xmlns="http://schemas.microsoft.com/office/spreadsheetml/2009/9/main" objectType="CheckBox" fmlaLink="$D$11" lockText="1" noThreeD="1"/>
</file>

<file path=xl/ctrlProps/ctrlProp28.xml><?xml version="1.0" encoding="utf-8"?>
<formControlPr xmlns="http://schemas.microsoft.com/office/spreadsheetml/2009/9/main" objectType="CheckBox" fmlaLink="$D$11" lockText="1" noThreeD="1"/>
</file>

<file path=xl/ctrlProps/ctrlProp29.xml><?xml version="1.0" encoding="utf-8"?>
<formControlPr xmlns="http://schemas.microsoft.com/office/spreadsheetml/2009/9/main" objectType="CheckBox" fmlaLink="$D$11" lockText="1" noThreeD="1"/>
</file>

<file path=xl/ctrlProps/ctrlProp3.xml><?xml version="1.0" encoding="utf-8"?>
<formControlPr xmlns="http://schemas.microsoft.com/office/spreadsheetml/2009/9/main" objectType="CheckBox" fmlaLink="$D$14" lockText="1" noThreeD="1"/>
</file>

<file path=xl/ctrlProps/ctrlProp30.xml><?xml version="1.0" encoding="utf-8"?>
<formControlPr xmlns="http://schemas.microsoft.com/office/spreadsheetml/2009/9/main" objectType="CheckBox" fmlaLink="Macro!$D$10" lockText="1" noThreeD="1"/>
</file>

<file path=xl/ctrlProps/ctrlProp31.xml><?xml version="1.0" encoding="utf-8"?>
<formControlPr xmlns="http://schemas.microsoft.com/office/spreadsheetml/2009/9/main" objectType="CheckBox" fmlaLink="Macro!$D$10" lockText="1" noThreeD="1"/>
</file>

<file path=xl/ctrlProps/ctrlProp32.xml><?xml version="1.0" encoding="utf-8"?>
<formControlPr xmlns="http://schemas.microsoft.com/office/spreadsheetml/2009/9/main" objectType="Drop" dropLines="3" dropStyle="combo" dx="16" fmlaLink="Macro!$D$8" fmlaRange="Kapazitäten" sel="2" val="0"/>
</file>

<file path=xl/ctrlProps/ctrlProp33.xml><?xml version="1.0" encoding="utf-8"?>
<formControlPr xmlns="http://schemas.microsoft.com/office/spreadsheetml/2009/9/main" objectType="Drop" dropLines="4" dropStyle="combo" dx="16" fmlaLink="Macro!$H$8" fmlaRange="Preisszenario" sel="2" val="0"/>
</file>

<file path=xl/ctrlProps/ctrlProp34.xml><?xml version="1.0" encoding="utf-8"?>
<formControlPr xmlns="http://schemas.microsoft.com/office/spreadsheetml/2009/9/main" objectType="Drop" dropLines="3" dropStyle="combo" dx="16" fmlaLink="Macro!$D$20" fmlaRange="Schichten" sel="3" val="0"/>
</file>

<file path=xl/ctrlProps/ctrlProp35.xml><?xml version="1.0" encoding="utf-8"?>
<formControlPr xmlns="http://schemas.microsoft.com/office/spreadsheetml/2009/9/main" objectType="Drop" dropLines="3" dropStyle="combo" dx="16" fmlaLink="Macro!$D$18" fmlaRange="Schichten" sel="2" val="0"/>
</file>

<file path=xl/ctrlProps/ctrlProp36.xml><?xml version="1.0" encoding="utf-8"?>
<formControlPr xmlns="http://schemas.microsoft.com/office/spreadsheetml/2009/9/main" objectType="CheckBox" fmlaLink="Macro!$D$22" lockText="1" noThreeD="1"/>
</file>

<file path=xl/ctrlProps/ctrlProp4.xml><?xml version="1.0" encoding="utf-8"?>
<formControlPr xmlns="http://schemas.microsoft.com/office/spreadsheetml/2009/9/main" objectType="Drop" dropLines="3" dropStyle="combo" dx="16" fmlaLink="$D$8" fmlaRange="Kapazitäten" sel="2" val="0"/>
</file>

<file path=xl/ctrlProps/ctrlProp5.xml><?xml version="1.0" encoding="utf-8"?>
<formControlPr xmlns="http://schemas.microsoft.com/office/spreadsheetml/2009/9/main" objectType="Drop" dropLines="4" dropStyle="combo" dx="16" fmlaLink="$H$8" fmlaRange="Preisszenario" sel="2" val="0"/>
</file>

<file path=xl/ctrlProps/ctrlProp6.xml><?xml version="1.0" encoding="utf-8"?>
<formControlPr xmlns="http://schemas.microsoft.com/office/spreadsheetml/2009/9/main" objectType="Drop" dropLines="3" dropStyle="combo" dx="16" fmlaLink="$D$20" fmlaRange="Schichten" sel="3" val="0"/>
</file>

<file path=xl/ctrlProps/ctrlProp7.xml><?xml version="1.0" encoding="utf-8"?>
<formControlPr xmlns="http://schemas.microsoft.com/office/spreadsheetml/2009/9/main" objectType="Drop" dropLines="3" dropStyle="combo" dx="16" fmlaLink="$D$18" fmlaRange="Schichten" sel="2" val="0"/>
</file>

<file path=xl/ctrlProps/ctrlProp8.xml><?xml version="1.0" encoding="utf-8"?>
<formControlPr xmlns="http://schemas.microsoft.com/office/spreadsheetml/2009/9/main" objectType="Drop" dropLines="4" dropStyle="combo" dx="16" fmlaLink="$H$14" fmlaRange="Dropdown!$E$2:$E$3" sel="1" val="0"/>
</file>

<file path=xl/ctrlProps/ctrlProp9.xml><?xml version="1.0" encoding="utf-8"?>
<formControlPr xmlns="http://schemas.microsoft.com/office/spreadsheetml/2009/9/main" objectType="CheckBox" fmlaLink="$D$2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6</xdr:col>
      <xdr:colOff>753226</xdr:colOff>
      <xdr:row>12</xdr:row>
      <xdr:rowOff>13520</xdr:rowOff>
    </xdr:from>
    <xdr:to>
      <xdr:col>10</xdr:col>
      <xdr:colOff>20185</xdr:colOff>
      <xdr:row>15</xdr:row>
      <xdr:rowOff>53340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7026" y="2356670"/>
          <a:ext cx="2656247" cy="607510"/>
        </a:xfrm>
        <a:prstGeom prst="rect">
          <a:avLst/>
        </a:prstGeom>
      </xdr:spPr>
    </xdr:pic>
    <xdr:clientData/>
  </xdr:twoCellAnchor>
  <xdr:twoCellAnchor editAs="oneCell">
    <xdr:from>
      <xdr:col>2</xdr:col>
      <xdr:colOff>0</xdr:colOff>
      <xdr:row>9</xdr:row>
      <xdr:rowOff>19050</xdr:rowOff>
    </xdr:from>
    <xdr:to>
      <xdr:col>5</xdr:col>
      <xdr:colOff>664663</xdr:colOff>
      <xdr:row>15</xdr:row>
      <xdr:rowOff>53340</xdr:rowOff>
    </xdr:to>
    <xdr:pic>
      <xdr:nvPicPr>
        <xdr:cNvPr id="13" name="Grafik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7700" y="1790700"/>
          <a:ext cx="2983048" cy="1173480"/>
        </a:xfrm>
        <a:prstGeom prst="rect">
          <a:avLst/>
        </a:prstGeom>
      </xdr:spPr>
    </xdr:pic>
    <xdr:clientData/>
  </xdr:twoCellAnchor>
  <xdr:twoCellAnchor editAs="oneCell">
    <xdr:from>
      <xdr:col>6</xdr:col>
      <xdr:colOff>495300</xdr:colOff>
      <xdr:row>9</xdr:row>
      <xdr:rowOff>19050</xdr:rowOff>
    </xdr:from>
    <xdr:to>
      <xdr:col>10</xdr:col>
      <xdr:colOff>20185</xdr:colOff>
      <xdr:row>10</xdr:row>
      <xdr:rowOff>170949</xdr:rowOff>
    </xdr:to>
    <xdr:pic>
      <xdr:nvPicPr>
        <xdr:cNvPr id="14" name="Grafik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29100" y="1790700"/>
          <a:ext cx="2914173" cy="338589"/>
        </a:xfrm>
        <a:prstGeom prst="rect">
          <a:avLst/>
        </a:prstGeom>
      </xdr:spPr>
    </xdr:pic>
    <xdr:clientData/>
  </xdr:twoCellAnchor>
  <xdr:twoCellAnchor editAs="oneCell">
    <xdr:from>
      <xdr:col>14</xdr:col>
      <xdr:colOff>457199</xdr:colOff>
      <xdr:row>8</xdr:row>
      <xdr:rowOff>38100</xdr:rowOff>
    </xdr:from>
    <xdr:to>
      <xdr:col>15</xdr:col>
      <xdr:colOff>609599</xdr:colOff>
      <xdr:row>9</xdr:row>
      <xdr:rowOff>169264</xdr:rowOff>
    </xdr:to>
    <xdr:pic>
      <xdr:nvPicPr>
        <xdr:cNvPr id="8" name="Grafik 7" descr="Creative Commons Lizenzvertrag">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858374" y="1619250"/>
          <a:ext cx="923925" cy="325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335280</xdr:colOff>
      <xdr:row>26</xdr:row>
      <xdr:rowOff>68580</xdr:rowOff>
    </xdr:from>
    <xdr:to>
      <xdr:col>20</xdr:col>
      <xdr:colOff>327659</xdr:colOff>
      <xdr:row>47</xdr:row>
      <xdr:rowOff>55149</xdr:rowOff>
    </xdr:to>
    <xdr:pic>
      <xdr:nvPicPr>
        <xdr:cNvPr id="7" name="Grafik 6" descr="C:\Users\blömeke\Desktop\Paper\OneDrive_1_10.2.2022\System boundaries.emf">
          <a:extLst>
            <a:ext uri="{FF2B5EF4-FFF2-40B4-BE49-F238E27FC236}">
              <a16:creationId xmlns:a16="http://schemas.microsoft.com/office/drawing/2014/main" id="{00000000-0008-0000-0000-000007000000}"/>
            </a:ext>
          </a:extLst>
        </xdr:cNvPr>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7674" t="21613" r="10307" b="15877"/>
        <a:stretch/>
      </xdr:blipFill>
      <xdr:spPr bwMode="auto">
        <a:xfrm>
          <a:off x="5612130" y="5164455"/>
          <a:ext cx="8730615" cy="4008024"/>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42332</xdr:colOff>
      <xdr:row>27</xdr:row>
      <xdr:rowOff>44602</xdr:rowOff>
    </xdr:from>
    <xdr:to>
      <xdr:col>2</xdr:col>
      <xdr:colOff>1386417</xdr:colOff>
      <xdr:row>43</xdr:row>
      <xdr:rowOff>168579</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460112</xdr:colOff>
      <xdr:row>27</xdr:row>
      <xdr:rowOff>43776</xdr:rowOff>
    </xdr:from>
    <xdr:to>
      <xdr:col>5</xdr:col>
      <xdr:colOff>361840</xdr:colOff>
      <xdr:row>43</xdr:row>
      <xdr:rowOff>169406</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877892</xdr:colOff>
      <xdr:row>27</xdr:row>
      <xdr:rowOff>44602</xdr:rowOff>
    </xdr:from>
    <xdr:to>
      <xdr:col>7</xdr:col>
      <xdr:colOff>779620</xdr:colOff>
      <xdr:row>45</xdr:row>
      <xdr:rowOff>129490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1295672</xdr:colOff>
      <xdr:row>27</xdr:row>
      <xdr:rowOff>44602</xdr:rowOff>
    </xdr:from>
    <xdr:to>
      <xdr:col>9</xdr:col>
      <xdr:colOff>1197400</xdr:colOff>
      <xdr:row>45</xdr:row>
      <xdr:rowOff>130899</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1393372</xdr:colOff>
      <xdr:row>27</xdr:row>
      <xdr:rowOff>52162</xdr:rowOff>
    </xdr:from>
    <xdr:to>
      <xdr:col>13</xdr:col>
      <xdr:colOff>1915885</xdr:colOff>
      <xdr:row>45</xdr:row>
      <xdr:rowOff>136462</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1203960</xdr:colOff>
          <xdr:row>8</xdr:row>
          <xdr:rowOff>175260</xdr:rowOff>
        </xdr:from>
        <xdr:to>
          <xdr:col>3</xdr:col>
          <xdr:colOff>1432560</xdr:colOff>
          <xdr:row>10</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10</xdr:row>
          <xdr:rowOff>175260</xdr:rowOff>
        </xdr:from>
        <xdr:to>
          <xdr:col>3</xdr:col>
          <xdr:colOff>1432560</xdr:colOff>
          <xdr:row>12</xdr:row>
          <xdr:rowOff>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12</xdr:row>
          <xdr:rowOff>175260</xdr:rowOff>
        </xdr:from>
        <xdr:to>
          <xdr:col>3</xdr:col>
          <xdr:colOff>1432560</xdr:colOff>
          <xdr:row>14</xdr:row>
          <xdr:rowOff>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7</xdr:row>
          <xdr:rowOff>0</xdr:rowOff>
        </xdr:from>
        <xdr:to>
          <xdr:col>4</xdr:col>
          <xdr:colOff>0</xdr:colOff>
          <xdr:row>8</xdr:row>
          <xdr:rowOff>0</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7</xdr:row>
          <xdr:rowOff>0</xdr:rowOff>
        </xdr:from>
        <xdr:to>
          <xdr:col>7</xdr:col>
          <xdr:colOff>1485900</xdr:colOff>
          <xdr:row>8</xdr:row>
          <xdr:rowOff>0</xdr:rowOff>
        </xdr:to>
        <xdr:sp macro="" textlink="">
          <xdr:nvSpPr>
            <xdr:cNvPr id="1055" name="Drop Down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12700</xdr:colOff>
      <xdr:row>11</xdr:row>
      <xdr:rowOff>0</xdr:rowOff>
    </xdr:from>
    <xdr:to>
      <xdr:col>7</xdr:col>
      <xdr:colOff>1482762</xdr:colOff>
      <xdr:row>12</xdr:row>
      <xdr:rowOff>0</xdr:rowOff>
    </xdr:to>
    <xdr:sp macro="" textlink="">
      <xdr:nvSpPr>
        <xdr:cNvPr id="1063" name="TextBox2" hidden="1">
          <a:extLst>
            <a:ext uri="{63B3BB69-23CF-44E3-9099-C40C66FF867C}">
              <a14:compatExt xmlns:a14="http://schemas.microsoft.com/office/drawing/2010/main"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9</xdr:row>
      <xdr:rowOff>0</xdr:rowOff>
    </xdr:from>
    <xdr:to>
      <xdr:col>7</xdr:col>
      <xdr:colOff>1482762</xdr:colOff>
      <xdr:row>10</xdr:row>
      <xdr:rowOff>0</xdr:rowOff>
    </xdr:to>
    <xdr:sp macro="" textlink="">
      <xdr:nvSpPr>
        <xdr:cNvPr id="1064" name="TextBox3" hidden="1">
          <a:extLst>
            <a:ext uri="{63B3BB69-23CF-44E3-9099-C40C66FF867C}">
              <a14:compatExt xmlns:a14="http://schemas.microsoft.com/office/drawing/2010/main"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15</xdr:row>
      <xdr:rowOff>0</xdr:rowOff>
    </xdr:from>
    <xdr:to>
      <xdr:col>4</xdr:col>
      <xdr:colOff>0</xdr:colOff>
      <xdr:row>16</xdr:row>
      <xdr:rowOff>0</xdr:rowOff>
    </xdr:to>
    <xdr:sp macro="" textlink="">
      <xdr:nvSpPr>
        <xdr:cNvPr id="1066" name="TextBox5" hidden="1">
          <a:extLst>
            <a:ext uri="{63B3BB69-23CF-44E3-9099-C40C66FF867C}">
              <a14:compatExt xmlns:a14="http://schemas.microsoft.com/office/drawing/2010/main"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0</xdr:colOff>
          <xdr:row>18</xdr:row>
          <xdr:rowOff>167640</xdr:rowOff>
        </xdr:from>
        <xdr:to>
          <xdr:col>3</xdr:col>
          <xdr:colOff>1638300</xdr:colOff>
          <xdr:row>19</xdr:row>
          <xdr:rowOff>167640</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17</xdr:row>
          <xdr:rowOff>15240</xdr:rowOff>
        </xdr:from>
        <xdr:to>
          <xdr:col>3</xdr:col>
          <xdr:colOff>1653540</xdr:colOff>
          <xdr:row>18</xdr:row>
          <xdr:rowOff>15240</xdr:rowOff>
        </xdr:to>
        <xdr:sp macro="" textlink="">
          <xdr:nvSpPr>
            <xdr:cNvPr id="1072" name="Drop Down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13</xdr:row>
          <xdr:rowOff>0</xdr:rowOff>
        </xdr:from>
        <xdr:to>
          <xdr:col>8</xdr:col>
          <xdr:colOff>7620</xdr:colOff>
          <xdr:row>14</xdr:row>
          <xdr:rowOff>0</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1242060</xdr:colOff>
          <xdr:row>20</xdr:row>
          <xdr:rowOff>152400</xdr:rowOff>
        </xdr:from>
        <xdr:to>
          <xdr:col>4</xdr:col>
          <xdr:colOff>15240</xdr:colOff>
          <xdr:row>21</xdr:row>
          <xdr:rowOff>167640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11</xdr:row>
          <xdr:rowOff>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11</xdr:row>
          <xdr:rowOff>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1166924</xdr:colOff>
      <xdr:row>27</xdr:row>
      <xdr:rowOff>1806</xdr:rowOff>
    </xdr:from>
    <xdr:to>
      <xdr:col>10</xdr:col>
      <xdr:colOff>444696</xdr:colOff>
      <xdr:row>67</xdr:row>
      <xdr:rowOff>65314</xdr:rowOff>
    </xdr:to>
    <xdr:graphicFrame macro="">
      <xdr:nvGraphicFramePr>
        <xdr:cNvPr id="22" name="Diagramm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475765</xdr:colOff>
      <xdr:row>27</xdr:row>
      <xdr:rowOff>1231</xdr:rowOff>
    </xdr:from>
    <xdr:to>
      <xdr:col>13</xdr:col>
      <xdr:colOff>1186288</xdr:colOff>
      <xdr:row>67</xdr:row>
      <xdr:rowOff>54429</xdr:rowOff>
    </xdr:to>
    <xdr:graphicFrame macro="">
      <xdr:nvGraphicFramePr>
        <xdr:cNvPr id="23" name="Diagramm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437026</xdr:colOff>
      <xdr:row>27</xdr:row>
      <xdr:rowOff>1505</xdr:rowOff>
    </xdr:from>
    <xdr:to>
      <xdr:col>6</xdr:col>
      <xdr:colOff>1135856</xdr:colOff>
      <xdr:row>67</xdr:row>
      <xdr:rowOff>169594</xdr:rowOff>
    </xdr:to>
    <xdr:graphicFrame macro="">
      <xdr:nvGraphicFramePr>
        <xdr:cNvPr id="24" name="Diagramm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15240</xdr:colOff>
          <xdr:row>8</xdr:row>
          <xdr:rowOff>15240</xdr:rowOff>
        </xdr:from>
        <xdr:to>
          <xdr:col>4</xdr:col>
          <xdr:colOff>0</xdr:colOff>
          <xdr:row>9</xdr:row>
          <xdr:rowOff>15240</xdr:rowOff>
        </xdr:to>
        <xdr:sp macro="" textlink="">
          <xdr:nvSpPr>
            <xdr:cNvPr id="8197" name="Drop Down 5"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8</xdr:row>
          <xdr:rowOff>0</xdr:rowOff>
        </xdr:from>
        <xdr:to>
          <xdr:col>8</xdr:col>
          <xdr:colOff>0</xdr:colOff>
          <xdr:row>9</xdr:row>
          <xdr:rowOff>0</xdr:rowOff>
        </xdr:to>
        <xdr:sp macro="" textlink="">
          <xdr:nvSpPr>
            <xdr:cNvPr id="8204" name="Drop Down 12" hidden="1">
              <a:extLst>
                <a:ext uri="{63B3BB69-23CF-44E3-9099-C40C66FF867C}">
                  <a14:compatExt spid="_x0000_s8204"/>
                </a:ext>
                <a:ext uri="{FF2B5EF4-FFF2-40B4-BE49-F238E27FC236}">
                  <a16:creationId xmlns:a16="http://schemas.microsoft.com/office/drawing/2014/main" id="{00000000-0008-0000-0200-00000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xdr:col>
      <xdr:colOff>25400</xdr:colOff>
      <xdr:row>12</xdr:row>
      <xdr:rowOff>0</xdr:rowOff>
    </xdr:from>
    <xdr:to>
      <xdr:col>4</xdr:col>
      <xdr:colOff>16510</xdr:colOff>
      <xdr:row>13</xdr:row>
      <xdr:rowOff>0</xdr:rowOff>
    </xdr:to>
    <xdr:sp macro="" textlink="">
      <xdr:nvSpPr>
        <xdr:cNvPr id="8205" name="TextBox3" hidden="1">
          <a:extLst>
            <a:ext uri="{63B3BB69-23CF-44E3-9099-C40C66FF867C}">
              <a14:compatExt xmlns:a14="http://schemas.microsoft.com/office/drawing/2010/main" spid="_x0000_s8205"/>
            </a:ext>
            <a:ext uri="{FF2B5EF4-FFF2-40B4-BE49-F238E27FC236}">
              <a16:creationId xmlns:a16="http://schemas.microsoft.com/office/drawing/2014/main" id="{00000000-0008-0000-0200-00000D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10</xdr:row>
      <xdr:rowOff>0</xdr:rowOff>
    </xdr:from>
    <xdr:to>
      <xdr:col>8</xdr:col>
      <xdr:colOff>0</xdr:colOff>
      <xdr:row>10</xdr:row>
      <xdr:rowOff>178407</xdr:rowOff>
    </xdr:to>
    <xdr:sp macro="" textlink="">
      <xdr:nvSpPr>
        <xdr:cNvPr id="8207" name="TextBox5" hidden="1">
          <a:extLst>
            <a:ext uri="{63B3BB69-23CF-44E3-9099-C40C66FF867C}">
              <a14:compatExt xmlns:a14="http://schemas.microsoft.com/office/drawing/2010/main"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12</xdr:row>
      <xdr:rowOff>0</xdr:rowOff>
    </xdr:from>
    <xdr:to>
      <xdr:col>8</xdr:col>
      <xdr:colOff>0</xdr:colOff>
      <xdr:row>13</xdr:row>
      <xdr:rowOff>0</xdr:rowOff>
    </xdr:to>
    <xdr:sp macro="" textlink="">
      <xdr:nvSpPr>
        <xdr:cNvPr id="8208" name="TextBox6" hidden="1">
          <a:extLst>
            <a:ext uri="{63B3BB69-23CF-44E3-9099-C40C66FF867C}">
              <a14:compatExt xmlns:a14="http://schemas.microsoft.com/office/drawing/2010/main" spid="_x0000_s8208"/>
            </a:ext>
            <a:ext uri="{FF2B5EF4-FFF2-40B4-BE49-F238E27FC236}">
              <a16:creationId xmlns:a16="http://schemas.microsoft.com/office/drawing/2014/main" id="{00000000-0008-0000-0200-000010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0</xdr:colOff>
          <xdr:row>15</xdr:row>
          <xdr:rowOff>167640</xdr:rowOff>
        </xdr:from>
        <xdr:to>
          <xdr:col>3</xdr:col>
          <xdr:colOff>1432560</xdr:colOff>
          <xdr:row>16</xdr:row>
          <xdr:rowOff>167640</xdr:rowOff>
        </xdr:to>
        <xdr:sp macro="" textlink="">
          <xdr:nvSpPr>
            <xdr:cNvPr id="8211" name="Drop Down 19" hidden="1">
              <a:extLst>
                <a:ext uri="{63B3BB69-23CF-44E3-9099-C40C66FF867C}">
                  <a14:compatExt spid="_x0000_s8211"/>
                </a:ext>
                <a:ext uri="{FF2B5EF4-FFF2-40B4-BE49-F238E27FC236}">
                  <a16:creationId xmlns:a16="http://schemas.microsoft.com/office/drawing/2014/main" id="{00000000-0008-0000-0200-00001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14</xdr:row>
          <xdr:rowOff>15240</xdr:rowOff>
        </xdr:from>
        <xdr:to>
          <xdr:col>4</xdr:col>
          <xdr:colOff>15240</xdr:colOff>
          <xdr:row>15</xdr:row>
          <xdr:rowOff>15240</xdr:rowOff>
        </xdr:to>
        <xdr:sp macro="" textlink="">
          <xdr:nvSpPr>
            <xdr:cNvPr id="8212" name="Drop Down 20" hidden="1">
              <a:extLst>
                <a:ext uri="{63B3BB69-23CF-44E3-9099-C40C66FF867C}">
                  <a14:compatExt spid="_x0000_s8212"/>
                </a:ext>
                <a:ext uri="{FF2B5EF4-FFF2-40B4-BE49-F238E27FC236}">
                  <a16:creationId xmlns:a16="http://schemas.microsoft.com/office/drawing/2014/main" id="{00000000-0008-0000-0200-00001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1242060</xdr:colOff>
          <xdr:row>17</xdr:row>
          <xdr:rowOff>152400</xdr:rowOff>
        </xdr:from>
        <xdr:to>
          <xdr:col>4</xdr:col>
          <xdr:colOff>15240</xdr:colOff>
          <xdr:row>18</xdr:row>
          <xdr:rowOff>167640</xdr:rowOff>
        </xdr:to>
        <xdr:sp macro="" textlink="">
          <xdr:nvSpPr>
            <xdr:cNvPr id="8213" name="Check Box 21" hidden="1">
              <a:extLst>
                <a:ext uri="{63B3BB69-23CF-44E3-9099-C40C66FF867C}">
                  <a14:compatExt spid="_x0000_s8213"/>
                </a:ext>
                <a:ext uri="{FF2B5EF4-FFF2-40B4-BE49-F238E27FC236}">
                  <a16:creationId xmlns:a16="http://schemas.microsoft.com/office/drawing/2014/main" id="{00000000-0008-0000-0200-00001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11</xdr:row>
          <xdr:rowOff>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11</xdr:row>
          <xdr:rowOff>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300-000002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11</xdr:row>
          <xdr:rowOff>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300-00000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11</xdr:row>
          <xdr:rowOff>175260</xdr:rowOff>
        </xdr:from>
        <xdr:to>
          <xdr:col>3</xdr:col>
          <xdr:colOff>1432560</xdr:colOff>
          <xdr:row>13</xdr:row>
          <xdr:rowOff>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11</xdr:row>
          <xdr:rowOff>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300-000006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7</xdr:row>
          <xdr:rowOff>175260</xdr:rowOff>
        </xdr:from>
        <xdr:to>
          <xdr:col>4</xdr:col>
          <xdr:colOff>0</xdr:colOff>
          <xdr:row>9</xdr:row>
          <xdr:rowOff>0</xdr:rowOff>
        </xdr:to>
        <xdr:sp macro="" textlink="">
          <xdr:nvSpPr>
            <xdr:cNvPr id="16392" name="Drop Down 8" hidden="1">
              <a:extLst>
                <a:ext uri="{63B3BB69-23CF-44E3-9099-C40C66FF867C}">
                  <a14:compatExt spid="_x0000_s16392"/>
                </a:ext>
                <a:ext uri="{FF2B5EF4-FFF2-40B4-BE49-F238E27FC236}">
                  <a16:creationId xmlns:a16="http://schemas.microsoft.com/office/drawing/2014/main" id="{00000000-0008-0000-0300-000008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7</xdr:row>
          <xdr:rowOff>175260</xdr:rowOff>
        </xdr:from>
        <xdr:to>
          <xdr:col>8</xdr:col>
          <xdr:colOff>0</xdr:colOff>
          <xdr:row>8</xdr:row>
          <xdr:rowOff>175260</xdr:rowOff>
        </xdr:to>
        <xdr:sp macro="" textlink="">
          <xdr:nvSpPr>
            <xdr:cNvPr id="16395" name="Drop Down 11" hidden="1">
              <a:extLst>
                <a:ext uri="{63B3BB69-23CF-44E3-9099-C40C66FF867C}">
                  <a14:compatExt spid="_x0000_s16395"/>
                </a:ext>
                <a:ext uri="{FF2B5EF4-FFF2-40B4-BE49-F238E27FC236}">
                  <a16:creationId xmlns:a16="http://schemas.microsoft.com/office/drawing/2014/main" id="{00000000-0008-0000-0300-00000B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xdr:col>
      <xdr:colOff>12700</xdr:colOff>
      <xdr:row>14</xdr:row>
      <xdr:rowOff>0</xdr:rowOff>
    </xdr:from>
    <xdr:to>
      <xdr:col>4</xdr:col>
      <xdr:colOff>0</xdr:colOff>
      <xdr:row>15</xdr:row>
      <xdr:rowOff>0</xdr:rowOff>
    </xdr:to>
    <xdr:sp macro="" textlink="">
      <xdr:nvSpPr>
        <xdr:cNvPr id="16396" name="TextBox1" hidden="1">
          <a:extLst>
            <a:ext uri="{63B3BB69-23CF-44E3-9099-C40C66FF867C}">
              <a14:compatExt xmlns:a14="http://schemas.microsoft.com/office/drawing/2010/main" spid="_x0000_s16396"/>
            </a:ext>
            <a:ext uri="{FF2B5EF4-FFF2-40B4-BE49-F238E27FC236}">
              <a16:creationId xmlns:a16="http://schemas.microsoft.com/office/drawing/2014/main" id="{00000000-0008-0000-0300-00000C4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10</xdr:row>
      <xdr:rowOff>12700</xdr:rowOff>
    </xdr:from>
    <xdr:to>
      <xdr:col>8</xdr:col>
      <xdr:colOff>0</xdr:colOff>
      <xdr:row>11</xdr:row>
      <xdr:rowOff>16510</xdr:rowOff>
    </xdr:to>
    <xdr:sp macro="" textlink="">
      <xdr:nvSpPr>
        <xdr:cNvPr id="16399" name="TextBox3" hidden="1">
          <a:extLst>
            <a:ext uri="{63B3BB69-23CF-44E3-9099-C40C66FF867C}">
              <a14:compatExt xmlns:a14="http://schemas.microsoft.com/office/drawing/2010/main" spid="_x0000_s16399"/>
            </a:ext>
            <a:ext uri="{FF2B5EF4-FFF2-40B4-BE49-F238E27FC236}">
              <a16:creationId xmlns:a16="http://schemas.microsoft.com/office/drawing/2014/main" id="{00000000-0008-0000-0300-00000F4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12</xdr:row>
      <xdr:rowOff>12700</xdr:rowOff>
    </xdr:from>
    <xdr:to>
      <xdr:col>8</xdr:col>
      <xdr:colOff>0</xdr:colOff>
      <xdr:row>13</xdr:row>
      <xdr:rowOff>16510</xdr:rowOff>
    </xdr:to>
    <xdr:sp macro="" textlink="">
      <xdr:nvSpPr>
        <xdr:cNvPr id="16400" name="TextBox4" hidden="1">
          <a:extLst>
            <a:ext uri="{63B3BB69-23CF-44E3-9099-C40C66FF867C}">
              <a14:compatExt xmlns:a14="http://schemas.microsoft.com/office/drawing/2010/main" spid="_x0000_s16400"/>
            </a:ext>
            <a:ext uri="{FF2B5EF4-FFF2-40B4-BE49-F238E27FC236}">
              <a16:creationId xmlns:a16="http://schemas.microsoft.com/office/drawing/2014/main" id="{00000000-0008-0000-0300-0000104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6</xdr:col>
      <xdr:colOff>1315007</xdr:colOff>
      <xdr:row>27</xdr:row>
      <xdr:rowOff>152975</xdr:rowOff>
    </xdr:from>
    <xdr:to>
      <xdr:col>10</xdr:col>
      <xdr:colOff>592779</xdr:colOff>
      <xdr:row>68</xdr:row>
      <xdr:rowOff>149011</xdr:rowOff>
    </xdr:to>
    <xdr:graphicFrame macro="">
      <xdr:nvGraphicFramePr>
        <xdr:cNvPr id="24" name="Diagramm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623848</xdr:colOff>
      <xdr:row>27</xdr:row>
      <xdr:rowOff>152400</xdr:rowOff>
    </xdr:from>
    <xdr:to>
      <xdr:col>13</xdr:col>
      <xdr:colOff>1334371</xdr:colOff>
      <xdr:row>68</xdr:row>
      <xdr:rowOff>149586</xdr:rowOff>
    </xdr:to>
    <xdr:graphicFrame macro="">
      <xdr:nvGraphicFramePr>
        <xdr:cNvPr id="25" name="Diagramm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585109</xdr:colOff>
      <xdr:row>27</xdr:row>
      <xdr:rowOff>152674</xdr:rowOff>
    </xdr:from>
    <xdr:to>
      <xdr:col>6</xdr:col>
      <xdr:colOff>1305237</xdr:colOff>
      <xdr:row>68</xdr:row>
      <xdr:rowOff>149313</xdr:rowOff>
    </xdr:to>
    <xdr:graphicFrame macro="">
      <xdr:nvGraphicFramePr>
        <xdr:cNvPr id="26" name="Diagramm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0</xdr:colOff>
          <xdr:row>17</xdr:row>
          <xdr:rowOff>167640</xdr:rowOff>
        </xdr:from>
        <xdr:to>
          <xdr:col>3</xdr:col>
          <xdr:colOff>1432560</xdr:colOff>
          <xdr:row>18</xdr:row>
          <xdr:rowOff>167640</xdr:rowOff>
        </xdr:to>
        <xdr:sp macro="" textlink="">
          <xdr:nvSpPr>
            <xdr:cNvPr id="16402" name="Drop Down 18" hidden="1">
              <a:extLst>
                <a:ext uri="{63B3BB69-23CF-44E3-9099-C40C66FF867C}">
                  <a14:compatExt spid="_x0000_s16402"/>
                </a:ext>
                <a:ext uri="{FF2B5EF4-FFF2-40B4-BE49-F238E27FC236}">
                  <a16:creationId xmlns:a16="http://schemas.microsoft.com/office/drawing/2014/main" id="{00000000-0008-0000-0300-000012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16</xdr:row>
          <xdr:rowOff>15240</xdr:rowOff>
        </xdr:from>
        <xdr:to>
          <xdr:col>4</xdr:col>
          <xdr:colOff>15240</xdr:colOff>
          <xdr:row>17</xdr:row>
          <xdr:rowOff>15240</xdr:rowOff>
        </xdr:to>
        <xdr:sp macro="" textlink="">
          <xdr:nvSpPr>
            <xdr:cNvPr id="16403" name="Drop Down 19" hidden="1">
              <a:extLst>
                <a:ext uri="{63B3BB69-23CF-44E3-9099-C40C66FF867C}">
                  <a14:compatExt spid="_x0000_s16403"/>
                </a:ext>
                <a:ext uri="{FF2B5EF4-FFF2-40B4-BE49-F238E27FC236}">
                  <a16:creationId xmlns:a16="http://schemas.microsoft.com/office/drawing/2014/main" id="{00000000-0008-0000-0300-000013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1242060</xdr:colOff>
          <xdr:row>19</xdr:row>
          <xdr:rowOff>152400</xdr:rowOff>
        </xdr:from>
        <xdr:to>
          <xdr:col>4</xdr:col>
          <xdr:colOff>15240</xdr:colOff>
          <xdr:row>20</xdr:row>
          <xdr:rowOff>167640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300-00001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10</xdr:row>
          <xdr:rowOff>175260</xdr:rowOff>
        </xdr:to>
        <xdr:sp macro="" textlink="">
          <xdr:nvSpPr>
            <xdr:cNvPr id="17425" name="Check Box 17" hidden="1">
              <a:extLst>
                <a:ext uri="{63B3BB69-23CF-44E3-9099-C40C66FF867C}">
                  <a14:compatExt spid="_x0000_s17425"/>
                </a:ext>
                <a:ext uri="{FF2B5EF4-FFF2-40B4-BE49-F238E27FC236}">
                  <a16:creationId xmlns:a16="http://schemas.microsoft.com/office/drawing/2014/main" id="{00000000-0008-0000-0400-000011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10</xdr:row>
          <xdr:rowOff>175260</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00000000-0008-0000-0400-000012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10</xdr:row>
          <xdr:rowOff>175260</xdr:rowOff>
        </xdr:to>
        <xdr:sp macro="" textlink="">
          <xdr:nvSpPr>
            <xdr:cNvPr id="17427" name="Check Box 19" hidden="1">
              <a:extLst>
                <a:ext uri="{63B3BB69-23CF-44E3-9099-C40C66FF867C}">
                  <a14:compatExt spid="_x0000_s17427"/>
                </a:ext>
                <a:ext uri="{FF2B5EF4-FFF2-40B4-BE49-F238E27FC236}">
                  <a16:creationId xmlns:a16="http://schemas.microsoft.com/office/drawing/2014/main" id="{00000000-0008-0000-0400-000013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11</xdr:row>
          <xdr:rowOff>175260</xdr:rowOff>
        </xdr:from>
        <xdr:to>
          <xdr:col>3</xdr:col>
          <xdr:colOff>1432560</xdr:colOff>
          <xdr:row>13</xdr:row>
          <xdr:rowOff>0</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00000000-0008-0000-0400-000014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1203960</xdr:colOff>
          <xdr:row>9</xdr:row>
          <xdr:rowOff>175260</xdr:rowOff>
        </xdr:from>
        <xdr:to>
          <xdr:col>3</xdr:col>
          <xdr:colOff>1432560</xdr:colOff>
          <xdr:row>10</xdr:row>
          <xdr:rowOff>175260</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400-000015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8</xdr:row>
          <xdr:rowOff>0</xdr:rowOff>
        </xdr:from>
        <xdr:to>
          <xdr:col>4</xdr:col>
          <xdr:colOff>0</xdr:colOff>
          <xdr:row>9</xdr:row>
          <xdr:rowOff>22860</xdr:rowOff>
        </xdr:to>
        <xdr:sp macro="" textlink="">
          <xdr:nvSpPr>
            <xdr:cNvPr id="17430" name="Drop Down 22" hidden="1">
              <a:extLst>
                <a:ext uri="{63B3BB69-23CF-44E3-9099-C40C66FF867C}">
                  <a14:compatExt spid="_x0000_s17430"/>
                </a:ext>
                <a:ext uri="{FF2B5EF4-FFF2-40B4-BE49-F238E27FC236}">
                  <a16:creationId xmlns:a16="http://schemas.microsoft.com/office/drawing/2014/main" id="{00000000-0008-0000-0400-000016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7</xdr:row>
          <xdr:rowOff>175260</xdr:rowOff>
        </xdr:from>
        <xdr:to>
          <xdr:col>8</xdr:col>
          <xdr:colOff>0</xdr:colOff>
          <xdr:row>9</xdr:row>
          <xdr:rowOff>15240</xdr:rowOff>
        </xdr:to>
        <xdr:sp macro="" textlink="">
          <xdr:nvSpPr>
            <xdr:cNvPr id="17431" name="Drop Down 23" hidden="1">
              <a:extLst>
                <a:ext uri="{63B3BB69-23CF-44E3-9099-C40C66FF867C}">
                  <a14:compatExt spid="_x0000_s17431"/>
                </a:ext>
                <a:ext uri="{FF2B5EF4-FFF2-40B4-BE49-F238E27FC236}">
                  <a16:creationId xmlns:a16="http://schemas.microsoft.com/office/drawing/2014/main" id="{00000000-0008-0000-0400-000017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1315007</xdr:colOff>
      <xdr:row>27</xdr:row>
      <xdr:rowOff>162500</xdr:rowOff>
    </xdr:from>
    <xdr:to>
      <xdr:col>10</xdr:col>
      <xdr:colOff>592779</xdr:colOff>
      <xdr:row>68</xdr:row>
      <xdr:rowOff>158536</xdr:rowOff>
    </xdr:to>
    <xdr:graphicFrame macro="">
      <xdr:nvGraphicFramePr>
        <xdr:cNvPr id="51" name="Diagramm 50">
          <a:extLst>
            <a:ext uri="{FF2B5EF4-FFF2-40B4-BE49-F238E27FC236}">
              <a16:creationId xmlns:a16="http://schemas.microsoft.com/office/drawing/2014/main" id="{00000000-0008-0000-04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623848</xdr:colOff>
      <xdr:row>27</xdr:row>
      <xdr:rowOff>161925</xdr:rowOff>
    </xdr:from>
    <xdr:to>
      <xdr:col>13</xdr:col>
      <xdr:colOff>1334371</xdr:colOff>
      <xdr:row>68</xdr:row>
      <xdr:rowOff>159111</xdr:rowOff>
    </xdr:to>
    <xdr:graphicFrame macro="">
      <xdr:nvGraphicFramePr>
        <xdr:cNvPr id="52" name="Diagramm 51">
          <a:extLst>
            <a:ext uri="{FF2B5EF4-FFF2-40B4-BE49-F238E27FC236}">
              <a16:creationId xmlns:a16="http://schemas.microsoft.com/office/drawing/2014/main" id="{00000000-0008-0000-04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0</xdr:colOff>
          <xdr:row>17</xdr:row>
          <xdr:rowOff>167640</xdr:rowOff>
        </xdr:from>
        <xdr:to>
          <xdr:col>3</xdr:col>
          <xdr:colOff>1432560</xdr:colOff>
          <xdr:row>18</xdr:row>
          <xdr:rowOff>167640</xdr:rowOff>
        </xdr:to>
        <xdr:sp macro="" textlink="">
          <xdr:nvSpPr>
            <xdr:cNvPr id="17433" name="Drop Down 25" hidden="1">
              <a:extLst>
                <a:ext uri="{63B3BB69-23CF-44E3-9099-C40C66FF867C}">
                  <a14:compatExt spid="_x0000_s17433"/>
                </a:ext>
                <a:ext uri="{FF2B5EF4-FFF2-40B4-BE49-F238E27FC236}">
                  <a16:creationId xmlns:a16="http://schemas.microsoft.com/office/drawing/2014/main" id="{00000000-0008-0000-0400-000019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xdr:colOff>
          <xdr:row>16</xdr:row>
          <xdr:rowOff>15240</xdr:rowOff>
        </xdr:from>
        <xdr:to>
          <xdr:col>4</xdr:col>
          <xdr:colOff>15240</xdr:colOff>
          <xdr:row>17</xdr:row>
          <xdr:rowOff>15240</xdr:rowOff>
        </xdr:to>
        <xdr:sp macro="" textlink="">
          <xdr:nvSpPr>
            <xdr:cNvPr id="17434" name="Drop Down 26" hidden="1">
              <a:extLst>
                <a:ext uri="{63B3BB69-23CF-44E3-9099-C40C66FF867C}">
                  <a14:compatExt spid="_x0000_s17434"/>
                </a:ext>
                <a:ext uri="{FF2B5EF4-FFF2-40B4-BE49-F238E27FC236}">
                  <a16:creationId xmlns:a16="http://schemas.microsoft.com/office/drawing/2014/main" id="{00000000-0008-0000-0400-00001A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xdr:col>
      <xdr:colOff>0</xdr:colOff>
      <xdr:row>13</xdr:row>
      <xdr:rowOff>152400</xdr:rowOff>
    </xdr:from>
    <xdr:to>
      <xdr:col>3</xdr:col>
      <xdr:colOff>1431290</xdr:colOff>
      <xdr:row>14</xdr:row>
      <xdr:rowOff>168910</xdr:rowOff>
    </xdr:to>
    <xdr:sp macro="" textlink="">
      <xdr:nvSpPr>
        <xdr:cNvPr id="17435" name="TextBox1" hidden="1">
          <a:extLst>
            <a:ext uri="{63B3BB69-23CF-44E3-9099-C40C66FF867C}">
              <a14:compatExt xmlns:a14="http://schemas.microsoft.com/office/drawing/2010/main" spid="_x0000_s17435"/>
            </a:ext>
            <a:ext uri="{FF2B5EF4-FFF2-40B4-BE49-F238E27FC236}">
              <a16:creationId xmlns:a16="http://schemas.microsoft.com/office/drawing/2014/main" id="{00000000-0008-0000-0400-00001B4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10</xdr:row>
      <xdr:rowOff>12700</xdr:rowOff>
    </xdr:from>
    <xdr:to>
      <xdr:col>8</xdr:col>
      <xdr:colOff>0</xdr:colOff>
      <xdr:row>11</xdr:row>
      <xdr:rowOff>16510</xdr:rowOff>
    </xdr:to>
    <xdr:sp macro="" textlink="">
      <xdr:nvSpPr>
        <xdr:cNvPr id="17436" name="TextBox2" hidden="1">
          <a:extLst>
            <a:ext uri="{63B3BB69-23CF-44E3-9099-C40C66FF867C}">
              <a14:compatExt xmlns:a14="http://schemas.microsoft.com/office/drawing/2010/main" spid="_x0000_s17436"/>
            </a:ext>
            <a:ext uri="{FF2B5EF4-FFF2-40B4-BE49-F238E27FC236}">
              <a16:creationId xmlns:a16="http://schemas.microsoft.com/office/drawing/2014/main" id="{00000000-0008-0000-0400-00001C4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12</xdr:row>
      <xdr:rowOff>12700</xdr:rowOff>
    </xdr:from>
    <xdr:to>
      <xdr:col>8</xdr:col>
      <xdr:colOff>0</xdr:colOff>
      <xdr:row>13</xdr:row>
      <xdr:rowOff>16510</xdr:rowOff>
    </xdr:to>
    <xdr:sp macro="" textlink="">
      <xdr:nvSpPr>
        <xdr:cNvPr id="17437" name="TextBox3" hidden="1">
          <a:extLst>
            <a:ext uri="{63B3BB69-23CF-44E3-9099-C40C66FF867C}">
              <a14:compatExt xmlns:a14="http://schemas.microsoft.com/office/drawing/2010/main" spid="_x0000_s17437"/>
            </a:ext>
            <a:ext uri="{FF2B5EF4-FFF2-40B4-BE49-F238E27FC236}">
              <a16:creationId xmlns:a16="http://schemas.microsoft.com/office/drawing/2014/main" id="{00000000-0008-0000-0400-00001D4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1242060</xdr:colOff>
          <xdr:row>19</xdr:row>
          <xdr:rowOff>152400</xdr:rowOff>
        </xdr:from>
        <xdr:to>
          <xdr:col>4</xdr:col>
          <xdr:colOff>15240</xdr:colOff>
          <xdr:row>20</xdr:row>
          <xdr:rowOff>167640</xdr:rowOff>
        </xdr:to>
        <xdr:sp macro="" textlink="">
          <xdr:nvSpPr>
            <xdr:cNvPr id="17438" name="Check Box 30" hidden="1">
              <a:extLst>
                <a:ext uri="{63B3BB69-23CF-44E3-9099-C40C66FF867C}">
                  <a14:compatExt spid="_x0000_s17438"/>
                </a:ext>
                <a:ext uri="{FF2B5EF4-FFF2-40B4-BE49-F238E27FC236}">
                  <a16:creationId xmlns:a16="http://schemas.microsoft.com/office/drawing/2014/main" id="{00000000-0008-0000-0400-00001E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3</xdr:col>
      <xdr:colOff>428628</xdr:colOff>
      <xdr:row>28</xdr:row>
      <xdr:rowOff>0</xdr:rowOff>
    </xdr:from>
    <xdr:to>
      <xdr:col>6</xdr:col>
      <xdr:colOff>1134469</xdr:colOff>
      <xdr:row>69</xdr:row>
      <xdr:rowOff>89508</xdr:rowOff>
    </xdr:to>
    <xdr:graphicFrame macro="">
      <xdr:nvGraphicFramePr>
        <xdr:cNvPr id="25" name="Diagramm 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0.44895</cdr:x>
      <cdr:y>1</cdr:y>
    </cdr:from>
    <cdr:to>
      <cdr:x>1</cdr:x>
      <cdr:y>1</cdr:y>
    </cdr:to>
    <cdr:cxnSp macro="">
      <cdr:nvCxnSpPr>
        <cdr:cNvPr id="2" name="Gerader Verbinder 1">
          <a:extLst xmlns:a="http://schemas.openxmlformats.org/drawingml/2006/main">
            <a:ext uri="{FF2B5EF4-FFF2-40B4-BE49-F238E27FC236}">
              <a16:creationId xmlns:a16="http://schemas.microsoft.com/office/drawing/2014/main" id="{7F98E536-2E91-449C-BAA2-8C0CAC976098}"/>
            </a:ext>
          </a:extLst>
        </cdr:cNvPr>
        <cdr:cNvCxnSpPr/>
      </cdr:nvCxnSpPr>
      <cdr:spPr>
        <a:xfrm xmlns:a="http://schemas.openxmlformats.org/drawingml/2006/main">
          <a:off x="16090900" y="8023226"/>
          <a:ext cx="2847975" cy="0"/>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8</xdr:col>
      <xdr:colOff>104775</xdr:colOff>
      <xdr:row>73</xdr:row>
      <xdr:rowOff>95251</xdr:rowOff>
    </xdr:from>
    <xdr:to>
      <xdr:col>12</xdr:col>
      <xdr:colOff>838200</xdr:colOff>
      <xdr:row>73</xdr:row>
      <xdr:rowOff>95252</xdr:rowOff>
    </xdr:to>
    <xdr:cxnSp macro="">
      <xdr:nvCxnSpPr>
        <xdr:cNvPr id="7" name="Gerade Verbindung mit Pfeil 6">
          <a:extLst>
            <a:ext uri="{FF2B5EF4-FFF2-40B4-BE49-F238E27FC236}">
              <a16:creationId xmlns:a16="http://schemas.microsoft.com/office/drawing/2014/main" id="{00000000-0008-0000-0500-000007000000}"/>
            </a:ext>
          </a:extLst>
        </xdr:cNvPr>
        <xdr:cNvCxnSpPr/>
      </xdr:nvCxnSpPr>
      <xdr:spPr>
        <a:xfrm flipV="1">
          <a:off x="8677275" y="12544426"/>
          <a:ext cx="3581400" cy="1"/>
        </a:xfrm>
        <a:prstGeom prst="straightConnector1">
          <a:avLst/>
        </a:prstGeom>
        <a:ln w="381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17143</xdr:colOff>
      <xdr:row>225</xdr:row>
      <xdr:rowOff>177165</xdr:rowOff>
    </xdr:from>
    <xdr:to>
      <xdr:col>14</xdr:col>
      <xdr:colOff>1055370</xdr:colOff>
      <xdr:row>248</xdr:row>
      <xdr:rowOff>152399</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13334</xdr:colOff>
      <xdr:row>183</xdr:row>
      <xdr:rowOff>63649</xdr:rowOff>
    </xdr:from>
    <xdr:to>
      <xdr:col>15</xdr:col>
      <xdr:colOff>1075764</xdr:colOff>
      <xdr:row>205</xdr:row>
      <xdr:rowOff>150326</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4.xml"/><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2.xml"/><Relationship Id="rId5" Type="http://schemas.openxmlformats.org/officeDocument/2006/relationships/ctrlProp" Target="../ctrlProps/ctrlProp11.xml"/><Relationship Id="rId10" Type="http://schemas.openxmlformats.org/officeDocument/2006/relationships/ctrlProp" Target="../ctrlProps/ctrlProp16.xml"/><Relationship Id="rId4" Type="http://schemas.openxmlformats.org/officeDocument/2006/relationships/ctrlProp" Target="../ctrlProps/ctrlProp10.xml"/><Relationship Id="rId9" Type="http://schemas.openxmlformats.org/officeDocument/2006/relationships/ctrlProp" Target="../ctrlProps/ctrlProp1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1.xml"/><Relationship Id="rId13"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20.xml"/><Relationship Id="rId12" Type="http://schemas.openxmlformats.org/officeDocument/2006/relationships/ctrlProp" Target="../ctrlProps/ctrlProp25.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9.xml"/><Relationship Id="rId11" Type="http://schemas.openxmlformats.org/officeDocument/2006/relationships/ctrlProp" Target="../ctrlProps/ctrlProp24.xml"/><Relationship Id="rId5" Type="http://schemas.openxmlformats.org/officeDocument/2006/relationships/ctrlProp" Target="../ctrlProps/ctrlProp18.xml"/><Relationship Id="rId10" Type="http://schemas.openxmlformats.org/officeDocument/2006/relationships/ctrlProp" Target="../ctrlProps/ctrlProp23.xml"/><Relationship Id="rId4" Type="http://schemas.openxmlformats.org/officeDocument/2006/relationships/ctrlProp" Target="../ctrlProps/ctrlProp17.xml"/><Relationship Id="rId9" Type="http://schemas.openxmlformats.org/officeDocument/2006/relationships/ctrlProp" Target="../ctrlProps/ctrlProp2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1.xml"/><Relationship Id="rId13" Type="http://schemas.openxmlformats.org/officeDocument/2006/relationships/ctrlProp" Target="../ctrlProps/ctrlProp36.xml"/><Relationship Id="rId3" Type="http://schemas.openxmlformats.org/officeDocument/2006/relationships/vmlDrawing" Target="../drawings/vmlDrawing4.vml"/><Relationship Id="rId7" Type="http://schemas.openxmlformats.org/officeDocument/2006/relationships/ctrlProp" Target="../ctrlProps/ctrlProp30.xml"/><Relationship Id="rId12" Type="http://schemas.openxmlformats.org/officeDocument/2006/relationships/ctrlProp" Target="../ctrlProps/ctrlProp3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29.xml"/><Relationship Id="rId11" Type="http://schemas.openxmlformats.org/officeDocument/2006/relationships/ctrlProp" Target="../ctrlProps/ctrlProp34.xml"/><Relationship Id="rId5" Type="http://schemas.openxmlformats.org/officeDocument/2006/relationships/ctrlProp" Target="../ctrlProps/ctrlProp28.xml"/><Relationship Id="rId10" Type="http://schemas.openxmlformats.org/officeDocument/2006/relationships/ctrlProp" Target="../ctrlProps/ctrlProp33.xml"/><Relationship Id="rId4" Type="http://schemas.openxmlformats.org/officeDocument/2006/relationships/ctrlProp" Target="../ctrlProps/ctrlProp27.xml"/><Relationship Id="rId9" Type="http://schemas.openxmlformats.org/officeDocument/2006/relationships/ctrlProp" Target="../ctrlProps/ctrlProp3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rgb="FFFA6E00"/>
  </sheetPr>
  <dimension ref="B2:W45"/>
  <sheetViews>
    <sheetView tabSelected="1" zoomScale="70" zoomScaleNormal="70" workbookViewId="0">
      <selection activeCell="B3" sqref="B3"/>
    </sheetView>
  </sheetViews>
  <sheetFormatPr baseColWidth="10" defaultColWidth="11.44140625" defaultRowHeight="14.4" x14ac:dyDescent="0.3"/>
  <cols>
    <col min="1" max="1" width="5.6640625" style="788" customWidth="1"/>
    <col min="2" max="2" width="4" style="788" customWidth="1"/>
    <col min="3" max="7" width="11.44140625" style="788"/>
    <col min="8" max="8" width="16.21875" style="788" customWidth="1"/>
    <col min="9" max="13" width="11.44140625" style="788"/>
    <col min="14" max="14" width="4" style="788" customWidth="1"/>
    <col min="15" max="20" width="11.44140625" style="788"/>
    <col min="21" max="21" width="14.33203125" style="788" customWidth="1"/>
    <col min="22" max="22" width="4" style="788" customWidth="1"/>
    <col min="23" max="16384" width="11.44140625" style="788"/>
  </cols>
  <sheetData>
    <row r="2" spans="2:22" ht="18" x14ac:dyDescent="0.35">
      <c r="B2" s="798" t="s">
        <v>1254</v>
      </c>
    </row>
    <row r="3" spans="2:22" x14ac:dyDescent="0.3">
      <c r="B3" s="788" t="s">
        <v>1039</v>
      </c>
    </row>
    <row r="4" spans="2:22" x14ac:dyDescent="0.3">
      <c r="B4" s="788" t="s">
        <v>1</v>
      </c>
    </row>
    <row r="5" spans="2:22" ht="15" thickBot="1" x14ac:dyDescent="0.35"/>
    <row r="6" spans="2:22" ht="15" customHeight="1" x14ac:dyDescent="0.3">
      <c r="B6" s="789"/>
      <c r="C6" s="790"/>
      <c r="D6" s="790"/>
      <c r="E6" s="790"/>
      <c r="F6" s="790"/>
      <c r="G6" s="790"/>
      <c r="H6" s="790"/>
      <c r="I6" s="790"/>
      <c r="J6" s="790"/>
      <c r="K6" s="790"/>
      <c r="L6" s="791"/>
      <c r="N6" s="909"/>
      <c r="O6" s="910"/>
      <c r="P6" s="910"/>
      <c r="Q6" s="910"/>
      <c r="R6" s="910"/>
      <c r="S6" s="910"/>
      <c r="T6" s="910"/>
      <c r="U6" s="910"/>
      <c r="V6" s="911"/>
    </row>
    <row r="7" spans="2:22" ht="15" customHeight="1" x14ac:dyDescent="0.3">
      <c r="B7" s="792"/>
      <c r="C7" s="793" t="s">
        <v>2</v>
      </c>
      <c r="D7" s="793"/>
      <c r="E7" s="793"/>
      <c r="L7" s="794"/>
      <c r="N7" s="912"/>
      <c r="O7" s="1060" t="s">
        <v>3</v>
      </c>
      <c r="P7" s="1060"/>
      <c r="Q7" s="1060"/>
      <c r="R7" s="1060"/>
      <c r="S7" s="1060"/>
      <c r="T7" s="1060"/>
      <c r="U7" s="1060"/>
      <c r="V7" s="914"/>
    </row>
    <row r="8" spans="2:22" x14ac:dyDescent="0.3">
      <c r="B8" s="792"/>
      <c r="C8" s="793" t="s">
        <v>4</v>
      </c>
      <c r="D8" s="793"/>
      <c r="E8" s="793"/>
      <c r="L8" s="794"/>
      <c r="N8" s="912"/>
      <c r="O8" s="1060"/>
      <c r="P8" s="1060"/>
      <c r="Q8" s="1060"/>
      <c r="R8" s="1060"/>
      <c r="S8" s="1060"/>
      <c r="T8" s="1060"/>
      <c r="U8" s="1060"/>
      <c r="V8" s="914"/>
    </row>
    <row r="9" spans="2:22" ht="15" customHeight="1" x14ac:dyDescent="0.3">
      <c r="B9" s="792"/>
      <c r="D9" s="793"/>
      <c r="E9" s="793"/>
      <c r="L9" s="794"/>
      <c r="N9" s="912"/>
      <c r="O9" s="913"/>
      <c r="P9" s="1061" t="s">
        <v>5</v>
      </c>
      <c r="Q9" s="1061"/>
      <c r="R9" s="1061"/>
      <c r="S9" s="1061"/>
      <c r="T9" s="1061"/>
      <c r="U9" s="1061"/>
      <c r="V9" s="914"/>
    </row>
    <row r="10" spans="2:22" x14ac:dyDescent="0.3">
      <c r="B10" s="792"/>
      <c r="C10" s="793"/>
      <c r="D10" s="793"/>
      <c r="E10" s="793"/>
      <c r="L10" s="794"/>
      <c r="N10" s="912"/>
      <c r="O10" s="913"/>
      <c r="P10" s="1061"/>
      <c r="Q10" s="1061"/>
      <c r="R10" s="1061"/>
      <c r="S10" s="1061"/>
      <c r="T10" s="1061"/>
      <c r="U10" s="1061"/>
      <c r="V10" s="914"/>
    </row>
    <row r="11" spans="2:22" x14ac:dyDescent="0.3">
      <c r="B11" s="792"/>
      <c r="C11" s="793"/>
      <c r="D11" s="793"/>
      <c r="E11" s="793"/>
      <c r="L11" s="794"/>
      <c r="N11" s="912"/>
      <c r="O11" s="1060" t="s">
        <v>1050</v>
      </c>
      <c r="P11" s="1060"/>
      <c r="Q11" s="1060"/>
      <c r="R11" s="1060"/>
      <c r="S11" s="1060"/>
      <c r="T11" s="1060"/>
      <c r="U11" s="1060"/>
      <c r="V11" s="914"/>
    </row>
    <row r="12" spans="2:22" x14ac:dyDescent="0.3">
      <c r="B12" s="792"/>
      <c r="C12" s="793"/>
      <c r="D12" s="793"/>
      <c r="E12" s="793"/>
      <c r="L12" s="794"/>
      <c r="N12" s="912"/>
      <c r="O12" s="1060"/>
      <c r="P12" s="1060"/>
      <c r="Q12" s="1060"/>
      <c r="R12" s="1060"/>
      <c r="S12" s="1060"/>
      <c r="T12" s="1060"/>
      <c r="U12" s="1060"/>
      <c r="V12" s="914"/>
    </row>
    <row r="13" spans="2:22" x14ac:dyDescent="0.3">
      <c r="B13" s="792"/>
      <c r="C13" s="793"/>
      <c r="D13" s="793"/>
      <c r="E13" s="793"/>
      <c r="L13" s="794"/>
      <c r="N13" s="912"/>
      <c r="O13" s="1060"/>
      <c r="P13" s="1060"/>
      <c r="Q13" s="1060"/>
      <c r="R13" s="1060"/>
      <c r="S13" s="1060"/>
      <c r="T13" s="1060"/>
      <c r="U13" s="1060"/>
      <c r="V13" s="914"/>
    </row>
    <row r="14" spans="2:22" x14ac:dyDescent="0.3">
      <c r="B14" s="792"/>
      <c r="L14" s="794"/>
      <c r="N14" s="912"/>
      <c r="O14" s="1060"/>
      <c r="P14" s="1060"/>
      <c r="Q14" s="1060"/>
      <c r="R14" s="1060"/>
      <c r="S14" s="1060"/>
      <c r="T14" s="1060"/>
      <c r="U14" s="1060"/>
      <c r="V14" s="914"/>
    </row>
    <row r="15" spans="2:22" x14ac:dyDescent="0.3">
      <c r="B15" s="792"/>
      <c r="L15" s="794"/>
      <c r="N15" s="912"/>
      <c r="O15" s="1060"/>
      <c r="P15" s="1060"/>
      <c r="Q15" s="1060"/>
      <c r="R15" s="1060"/>
      <c r="S15" s="1060"/>
      <c r="T15" s="1060"/>
      <c r="U15" s="1060"/>
      <c r="V15" s="914"/>
    </row>
    <row r="16" spans="2:22" x14ac:dyDescent="0.3">
      <c r="B16" s="792"/>
      <c r="L16" s="794"/>
      <c r="N16" s="912"/>
      <c r="O16" s="1060"/>
      <c r="P16" s="1060"/>
      <c r="Q16" s="1060"/>
      <c r="R16" s="1060"/>
      <c r="S16" s="1060"/>
      <c r="T16" s="1060"/>
      <c r="U16" s="1060"/>
      <c r="V16" s="914"/>
    </row>
    <row r="17" spans="2:23" ht="15" thickBot="1" x14ac:dyDescent="0.35">
      <c r="B17" s="795"/>
      <c r="C17" s="796"/>
      <c r="D17" s="796"/>
      <c r="E17" s="796"/>
      <c r="F17" s="796"/>
      <c r="G17" s="796"/>
      <c r="H17" s="796"/>
      <c r="I17" s="796"/>
      <c r="J17" s="796"/>
      <c r="K17" s="796"/>
      <c r="L17" s="797"/>
      <c r="N17" s="915"/>
      <c r="O17" s="916"/>
      <c r="P17" s="916"/>
      <c r="Q17" s="916"/>
      <c r="R17" s="916"/>
      <c r="S17" s="916"/>
      <c r="T17" s="916"/>
      <c r="U17" s="916"/>
      <c r="V17" s="917"/>
    </row>
    <row r="18" spans="2:23" x14ac:dyDescent="0.3">
      <c r="Q18"/>
    </row>
    <row r="19" spans="2:23" x14ac:dyDescent="0.3">
      <c r="C19" s="788" t="s">
        <v>6</v>
      </c>
    </row>
    <row r="20" spans="2:23" x14ac:dyDescent="0.3">
      <c r="W20"/>
    </row>
    <row r="21" spans="2:23" ht="21" x14ac:dyDescent="0.4">
      <c r="C21" s="894" t="s">
        <v>7</v>
      </c>
    </row>
    <row r="22" spans="2:23" x14ac:dyDescent="0.3">
      <c r="C22" s="788" t="s">
        <v>1047</v>
      </c>
    </row>
    <row r="23" spans="2:23" x14ac:dyDescent="0.3">
      <c r="C23" s="788" t="s">
        <v>8</v>
      </c>
    </row>
    <row r="24" spans="2:23" x14ac:dyDescent="0.3">
      <c r="C24" s="788" t="s">
        <v>1046</v>
      </c>
    </row>
    <row r="26" spans="2:23" ht="21" x14ac:dyDescent="0.4">
      <c r="C26" s="894" t="s">
        <v>9</v>
      </c>
      <c r="I26" s="894" t="s">
        <v>10</v>
      </c>
    </row>
    <row r="27" spans="2:23" x14ac:dyDescent="0.3">
      <c r="C27" s="809"/>
      <c r="D27" s="788" t="s">
        <v>11</v>
      </c>
      <c r="V27"/>
    </row>
    <row r="30" spans="2:23" ht="15.6" x14ac:dyDescent="0.3">
      <c r="B30" s="963" t="s">
        <v>1060</v>
      </c>
      <c r="C30" s="964" t="s">
        <v>1252</v>
      </c>
      <c r="D30" s="963"/>
      <c r="E30" s="963"/>
      <c r="F30" s="963"/>
      <c r="G30" s="963"/>
      <c r="H30" s="963"/>
    </row>
    <row r="31" spans="2:23" x14ac:dyDescent="0.3">
      <c r="B31" s="965">
        <v>1</v>
      </c>
      <c r="C31" s="1023" t="s">
        <v>1251</v>
      </c>
      <c r="D31" s="965"/>
      <c r="E31" s="965"/>
      <c r="F31" s="965"/>
      <c r="G31" s="965"/>
      <c r="H31" s="965"/>
    </row>
    <row r="32" spans="2:23" x14ac:dyDescent="0.3">
      <c r="B32" s="966">
        <v>2</v>
      </c>
      <c r="C32" s="966" t="s">
        <v>1123</v>
      </c>
      <c r="D32" s="966"/>
      <c r="E32" s="966"/>
      <c r="F32" s="966"/>
      <c r="G32" s="966"/>
      <c r="H32" s="966"/>
    </row>
    <row r="33" spans="2:8" x14ac:dyDescent="0.3">
      <c r="B33" s="966">
        <v>3</v>
      </c>
      <c r="C33" s="965" t="s">
        <v>1233</v>
      </c>
      <c r="D33" s="965"/>
      <c r="E33" s="965"/>
      <c r="F33" s="965"/>
      <c r="G33" s="965"/>
      <c r="H33" s="965"/>
    </row>
    <row r="34" spans="2:8" x14ac:dyDescent="0.3">
      <c r="B34" s="966">
        <v>4</v>
      </c>
      <c r="C34" s="965" t="s">
        <v>1061</v>
      </c>
      <c r="D34" s="965"/>
      <c r="E34" s="965"/>
      <c r="F34" s="965"/>
      <c r="G34" s="965"/>
      <c r="H34" s="965"/>
    </row>
    <row r="35" spans="2:8" x14ac:dyDescent="0.3">
      <c r="B35" s="966">
        <v>5</v>
      </c>
      <c r="C35" s="966" t="s">
        <v>1122</v>
      </c>
      <c r="D35" s="966"/>
      <c r="E35" s="966"/>
      <c r="F35" s="966"/>
      <c r="G35" s="966"/>
      <c r="H35" s="966"/>
    </row>
    <row r="36" spans="2:8" x14ac:dyDescent="0.3">
      <c r="B36" s="966">
        <v>6</v>
      </c>
      <c r="C36" s="966" t="s">
        <v>1058</v>
      </c>
      <c r="D36" s="966"/>
      <c r="E36" s="966"/>
      <c r="F36" s="966"/>
      <c r="G36" s="966"/>
      <c r="H36" s="966"/>
    </row>
    <row r="37" spans="2:8" x14ac:dyDescent="0.3">
      <c r="B37" s="966">
        <v>7</v>
      </c>
      <c r="C37" s="966" t="s">
        <v>1059</v>
      </c>
      <c r="D37" s="966"/>
      <c r="E37" s="966"/>
      <c r="F37" s="966"/>
      <c r="G37" s="966"/>
      <c r="H37" s="966"/>
    </row>
    <row r="38" spans="2:8" x14ac:dyDescent="0.3">
      <c r="B38" s="966">
        <v>8</v>
      </c>
      <c r="C38" s="966" t="s">
        <v>1057</v>
      </c>
      <c r="D38" s="966"/>
      <c r="E38" s="966"/>
      <c r="F38" s="966"/>
      <c r="G38" s="966"/>
      <c r="H38" s="966"/>
    </row>
    <row r="39" spans="2:8" x14ac:dyDescent="0.3">
      <c r="B39" s="966">
        <v>9</v>
      </c>
      <c r="C39" s="966" t="s">
        <v>1130</v>
      </c>
      <c r="D39" s="966"/>
      <c r="E39" s="966"/>
      <c r="F39" s="966"/>
      <c r="G39" s="966"/>
      <c r="H39" s="966"/>
    </row>
    <row r="40" spans="2:8" x14ac:dyDescent="0.3">
      <c r="B40" s="966">
        <v>10</v>
      </c>
      <c r="C40" s="966" t="s">
        <v>1135</v>
      </c>
      <c r="D40" s="966"/>
      <c r="E40" s="966"/>
      <c r="F40" s="966"/>
      <c r="G40" s="966"/>
      <c r="H40" s="966"/>
    </row>
    <row r="41" spans="2:8" x14ac:dyDescent="0.3">
      <c r="B41" s="966">
        <v>11</v>
      </c>
      <c r="C41" s="966" t="s">
        <v>1136</v>
      </c>
      <c r="D41" s="966"/>
      <c r="E41" s="966"/>
      <c r="F41" s="966"/>
      <c r="G41" s="966"/>
      <c r="H41" s="966"/>
    </row>
    <row r="42" spans="2:8" x14ac:dyDescent="0.3">
      <c r="B42" s="966">
        <v>12</v>
      </c>
      <c r="C42" s="966" t="s">
        <v>1137</v>
      </c>
      <c r="D42" s="966"/>
      <c r="E42" s="966"/>
      <c r="F42" s="966"/>
      <c r="G42" s="966"/>
      <c r="H42" s="966"/>
    </row>
    <row r="43" spans="2:8" x14ac:dyDescent="0.3">
      <c r="B43" s="966">
        <v>13</v>
      </c>
      <c r="C43" s="966" t="s">
        <v>1139</v>
      </c>
      <c r="D43" s="966"/>
      <c r="E43" s="966"/>
      <c r="F43" s="966"/>
      <c r="G43" s="966"/>
      <c r="H43" s="966"/>
    </row>
    <row r="44" spans="2:8" x14ac:dyDescent="0.3">
      <c r="B44" s="966">
        <v>14</v>
      </c>
      <c r="C44" s="966" t="s">
        <v>1144</v>
      </c>
      <c r="D44" s="966"/>
      <c r="E44" s="966"/>
      <c r="F44" s="966"/>
      <c r="G44" s="966"/>
      <c r="H44" s="966"/>
    </row>
    <row r="45" spans="2:8" x14ac:dyDescent="0.3">
      <c r="B45" s="966">
        <v>15</v>
      </c>
      <c r="C45" s="966" t="s">
        <v>1234</v>
      </c>
      <c r="D45" s="966"/>
      <c r="E45" s="966"/>
      <c r="F45" s="966"/>
      <c r="G45" s="966"/>
      <c r="H45" s="966"/>
    </row>
  </sheetData>
  <mergeCells count="3">
    <mergeCell ref="O11:U16"/>
    <mergeCell ref="O7:U8"/>
    <mergeCell ref="P9:U10"/>
  </mergeCells>
  <hyperlinks>
    <hyperlink ref="P9" r:id="rId1" xr:uid="{00000000-0004-0000-0000-000000000000}"/>
  </hyperlinks>
  <pageMargins left="0.7" right="0.7" top="0.78740157499999996" bottom="0.78740157499999996"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7">
    <tabColor theme="0" tint="-0.499984740745262"/>
  </sheetPr>
  <dimension ref="A1:T71"/>
  <sheetViews>
    <sheetView zoomScale="70" zoomScaleNormal="70" workbookViewId="0">
      <selection activeCell="C7" sqref="C7"/>
    </sheetView>
  </sheetViews>
  <sheetFormatPr baseColWidth="10" defaultColWidth="11.44140625" defaultRowHeight="14.4" x14ac:dyDescent="0.3"/>
  <cols>
    <col min="1" max="1" width="21.77734375" customWidth="1"/>
    <col min="2" max="2" width="23.109375" bestFit="1" customWidth="1"/>
    <col min="3" max="3" width="43" bestFit="1" customWidth="1"/>
    <col min="4" max="4" width="17.44140625" bestFit="1" customWidth="1"/>
    <col min="5" max="5" width="15.77734375" customWidth="1"/>
    <col min="6" max="6" width="19.44140625" bestFit="1" customWidth="1"/>
    <col min="7" max="8" width="17" bestFit="1" customWidth="1"/>
    <col min="9" max="9" width="17.44140625" bestFit="1" customWidth="1"/>
    <col min="10" max="10" width="23.33203125" bestFit="1" customWidth="1"/>
    <col min="11" max="11" width="13.77734375" bestFit="1" customWidth="1"/>
    <col min="12" max="13" width="13.44140625" customWidth="1"/>
    <col min="14" max="14" width="15.33203125" customWidth="1"/>
    <col min="15" max="15" width="17.5546875" customWidth="1"/>
    <col min="16" max="16" width="17.88671875" customWidth="1"/>
    <col min="17" max="25" width="20.6640625" customWidth="1"/>
  </cols>
  <sheetData>
    <row r="1" spans="1:20" ht="21.6" thickBot="1" x14ac:dyDescent="0.35">
      <c r="A1" s="63" t="s">
        <v>435</v>
      </c>
    </row>
    <row r="2" spans="1:20" ht="15" customHeight="1" x14ac:dyDescent="0.3">
      <c r="A2" s="63"/>
      <c r="C2" s="289" t="s">
        <v>247</v>
      </c>
      <c r="D2" s="67" t="s">
        <v>248</v>
      </c>
      <c r="E2" s="68"/>
      <c r="F2" s="69"/>
    </row>
    <row r="3" spans="1:20" ht="15" customHeight="1" x14ac:dyDescent="0.3">
      <c r="A3" s="63"/>
      <c r="C3" s="70"/>
      <c r="D3" s="72" t="s">
        <v>250</v>
      </c>
      <c r="E3" s="73" t="s">
        <v>251</v>
      </c>
      <c r="F3" s="74" t="s">
        <v>252</v>
      </c>
    </row>
    <row r="4" spans="1:20" ht="15" customHeight="1" x14ac:dyDescent="0.3">
      <c r="A4" s="63"/>
      <c r="C4" s="70"/>
      <c r="D4" s="85"/>
      <c r="E4" s="86"/>
      <c r="F4" s="87"/>
    </row>
    <row r="5" spans="1:20" ht="15" customHeight="1" x14ac:dyDescent="0.3">
      <c r="A5" s="63"/>
      <c r="C5" s="70"/>
      <c r="D5" s="85" t="s">
        <v>436</v>
      </c>
      <c r="E5" s="475">
        <f>IF(Macro!$D$8=1,2500,IF(Macro!$D$8=2,25000,75000))</f>
        <v>25000</v>
      </c>
      <c r="F5" s="87" t="s">
        <v>263</v>
      </c>
    </row>
    <row r="6" spans="1:20" ht="15" customHeight="1" x14ac:dyDescent="0.3">
      <c r="A6" s="63"/>
      <c r="D6" s="85" t="s">
        <v>257</v>
      </c>
      <c r="E6" s="475">
        <f>E5/Battery!C3*1000</f>
        <v>43374.539145521579</v>
      </c>
      <c r="F6" s="87" t="s">
        <v>437</v>
      </c>
      <c r="G6" s="70"/>
    </row>
    <row r="7" spans="1:20" ht="15" customHeight="1" x14ac:dyDescent="0.3">
      <c r="A7" s="63"/>
      <c r="D7" s="85" t="s">
        <v>248</v>
      </c>
      <c r="E7" s="817">
        <f>E6/Macro!D16/Macro!D18/8</f>
        <v>8.2148748381669652</v>
      </c>
      <c r="F7" s="87" t="s">
        <v>438</v>
      </c>
      <c r="G7" s="348"/>
    </row>
    <row r="8" spans="1:20" ht="15" customHeight="1" x14ac:dyDescent="0.3">
      <c r="A8" s="63"/>
      <c r="D8" s="85" t="s">
        <v>439</v>
      </c>
      <c r="E8" s="817">
        <f>E6/Macro!D16/Macro!D20/8</f>
        <v>5.4765832254446432</v>
      </c>
      <c r="F8" s="87" t="s">
        <v>440</v>
      </c>
      <c r="G8" s="348"/>
    </row>
    <row r="9" spans="1:20" ht="15" customHeight="1" thickBot="1" x14ac:dyDescent="0.35">
      <c r="A9" s="63"/>
      <c r="D9" s="78" t="s">
        <v>441</v>
      </c>
      <c r="E9" s="818">
        <f>Macro!D16-1+1</f>
        <v>330</v>
      </c>
      <c r="F9" s="79"/>
      <c r="G9" s="70"/>
    </row>
    <row r="10" spans="1:20" ht="15" customHeight="1" thickBot="1" x14ac:dyDescent="0.35">
      <c r="A10" s="63"/>
      <c r="F10" s="70"/>
      <c r="G10" s="70"/>
    </row>
    <row r="11" spans="1:20" ht="87" thickBot="1" x14ac:dyDescent="0.35">
      <c r="A11" s="773" t="s">
        <v>80</v>
      </c>
      <c r="B11" s="379" t="s">
        <v>281</v>
      </c>
      <c r="C11" s="285" t="s">
        <v>442</v>
      </c>
      <c r="D11" s="379" t="s">
        <v>443</v>
      </c>
      <c r="E11" s="285" t="s">
        <v>436</v>
      </c>
      <c r="F11" s="285" t="s">
        <v>444</v>
      </c>
      <c r="G11" s="379" t="s">
        <v>445</v>
      </c>
      <c r="H11" s="379" t="s">
        <v>1142</v>
      </c>
      <c r="I11" s="285" t="s">
        <v>1140</v>
      </c>
      <c r="J11" s="379" t="s">
        <v>1141</v>
      </c>
      <c r="K11" s="379" t="s">
        <v>446</v>
      </c>
      <c r="L11" s="379" t="s">
        <v>1143</v>
      </c>
      <c r="M11" s="379" t="s">
        <v>1141</v>
      </c>
      <c r="N11" s="379" t="s">
        <v>604</v>
      </c>
      <c r="O11" s="379" t="s">
        <v>447</v>
      </c>
      <c r="P11" s="379" t="s">
        <v>1143</v>
      </c>
      <c r="Q11" s="379" t="s">
        <v>1141</v>
      </c>
      <c r="R11" s="379" t="s">
        <v>604</v>
      </c>
      <c r="S11" s="379" t="s">
        <v>450</v>
      </c>
      <c r="T11" s="288" t="s">
        <v>322</v>
      </c>
    </row>
    <row r="12" spans="1:20" ht="16.05" customHeight="1" x14ac:dyDescent="0.3">
      <c r="A12" s="1137" t="s">
        <v>248</v>
      </c>
      <c r="B12" s="286" t="s">
        <v>164</v>
      </c>
      <c r="C12" s="744" t="s">
        <v>451</v>
      </c>
      <c r="D12" s="286" t="s">
        <v>1040</v>
      </c>
      <c r="E12" s="825">
        <v>0.33333333333333331</v>
      </c>
      <c r="F12" s="819">
        <v>14500</v>
      </c>
      <c r="G12" s="822">
        <v>0</v>
      </c>
      <c r="H12" s="282">
        <f t="shared" ref="H12:H42" si="0">(1+G12)*F12</f>
        <v>14500</v>
      </c>
      <c r="I12" s="1050">
        <v>42370</v>
      </c>
      <c r="J12" s="1056">
        <v>86.1</v>
      </c>
      <c r="K12" s="809">
        <v>1</v>
      </c>
      <c r="L12" s="1050">
        <v>45261</v>
      </c>
      <c r="M12" s="809">
        <v>127.3</v>
      </c>
      <c r="N12" s="282">
        <f>(M12/J12)*H12*(E7/E12)^K12</f>
        <v>528342.39442614967</v>
      </c>
      <c r="O12" s="822">
        <v>0</v>
      </c>
      <c r="P12" s="282">
        <f t="shared" ref="P12:P43" si="1">O12*N12</f>
        <v>0</v>
      </c>
      <c r="Q12" s="657">
        <f>IF(IF(Macro!$H$14=1,5,Macro!T7)=0,5,IF(Macro!$H$14=1,5,Macro!T7))</f>
        <v>5</v>
      </c>
      <c r="R12" s="712">
        <f>N12/Q12</f>
        <v>105668.47888522994</v>
      </c>
      <c r="S12" t="s">
        <v>452</v>
      </c>
      <c r="T12" s="778" t="s">
        <v>1043</v>
      </c>
    </row>
    <row r="13" spans="1:20" x14ac:dyDescent="0.3">
      <c r="A13" s="1137"/>
      <c r="B13" s="744" t="s">
        <v>165</v>
      </c>
      <c r="C13" s="286" t="s">
        <v>453</v>
      </c>
      <c r="D13" s="286" t="s">
        <v>1041</v>
      </c>
      <c r="E13" s="825">
        <v>6</v>
      </c>
      <c r="F13" s="819">
        <v>29000</v>
      </c>
      <c r="G13" s="822">
        <v>0</v>
      </c>
      <c r="H13" s="282">
        <f t="shared" si="0"/>
        <v>29000</v>
      </c>
      <c r="I13" s="1050">
        <v>42370</v>
      </c>
      <c r="J13" s="1056">
        <v>86.1</v>
      </c>
      <c r="K13" s="809">
        <v>1</v>
      </c>
      <c r="L13" s="1050">
        <v>45261</v>
      </c>
      <c r="M13" s="809">
        <v>127.3</v>
      </c>
      <c r="N13" s="282">
        <f>(M13/J13)*H13</f>
        <v>42876.887340301975</v>
      </c>
      <c r="O13" s="822">
        <v>0</v>
      </c>
      <c r="P13" s="282">
        <f t="shared" si="1"/>
        <v>0</v>
      </c>
      <c r="Q13" s="657">
        <f>IF(IF(Macro!$H$14=1,5,Macro!T8)=0,5,IF(Macro!$H$14=1,5,Macro!T8))</f>
        <v>5</v>
      </c>
      <c r="R13" s="282">
        <f t="shared" ref="R13:R45" si="2">N13/Q13</f>
        <v>8575.3774680603947</v>
      </c>
      <c r="S13" t="s">
        <v>454</v>
      </c>
      <c r="T13" s="778" t="s">
        <v>455</v>
      </c>
    </row>
    <row r="14" spans="1:20" x14ac:dyDescent="0.3">
      <c r="A14" s="1137"/>
      <c r="B14" s="286" t="s">
        <v>286</v>
      </c>
      <c r="C14" s="744" t="s">
        <v>456</v>
      </c>
      <c r="D14" s="286" t="s">
        <v>1040</v>
      </c>
      <c r="E14" s="825">
        <f>8/'R1_MEFA'!C7</f>
        <v>1.6</v>
      </c>
      <c r="F14" s="819">
        <v>12000</v>
      </c>
      <c r="G14" s="822">
        <v>0</v>
      </c>
      <c r="H14" s="282">
        <f t="shared" si="0"/>
        <v>12000</v>
      </c>
      <c r="I14" s="1050">
        <v>42370</v>
      </c>
      <c r="J14" s="1056">
        <v>86.1</v>
      </c>
      <c r="K14" s="809">
        <v>1</v>
      </c>
      <c r="L14" s="1050">
        <v>45261</v>
      </c>
      <c r="M14" s="809">
        <v>127.3</v>
      </c>
      <c r="N14" s="282">
        <f>(M14/J14)*H14*(E7/E14)^K14</f>
        <v>91093.516280370619</v>
      </c>
      <c r="O14" s="822">
        <v>0.02</v>
      </c>
      <c r="P14" s="282">
        <f t="shared" si="1"/>
        <v>1821.8703256074125</v>
      </c>
      <c r="Q14" s="657">
        <f>IF(IF(Macro!$H$14=1,5,Macro!T9)=0,5,IF(Macro!$H$14=1,5,Macro!T9))</f>
        <v>5</v>
      </c>
      <c r="R14" s="282">
        <f t="shared" si="2"/>
        <v>18218.703256074125</v>
      </c>
      <c r="S14" t="s">
        <v>454</v>
      </c>
      <c r="T14" s="262" t="s">
        <v>457</v>
      </c>
    </row>
    <row r="15" spans="1:20" ht="15" thickBot="1" x14ac:dyDescent="0.35">
      <c r="A15" s="1138"/>
      <c r="B15" s="287" t="s">
        <v>248</v>
      </c>
      <c r="C15" s="741" t="s">
        <v>458</v>
      </c>
      <c r="D15" s="287" t="s">
        <v>1040</v>
      </c>
      <c r="E15" s="826">
        <f>1/'R1_MEFA'!C8</f>
        <v>0.5</v>
      </c>
      <c r="F15" s="819">
        <v>3000</v>
      </c>
      <c r="G15" s="823">
        <v>0</v>
      </c>
      <c r="H15" s="584">
        <f t="shared" si="0"/>
        <v>3000</v>
      </c>
      <c r="I15" s="1053">
        <v>42370</v>
      </c>
      <c r="J15" s="1057">
        <v>86.1</v>
      </c>
      <c r="K15" s="828">
        <v>1</v>
      </c>
      <c r="L15" s="1050">
        <v>45261</v>
      </c>
      <c r="M15" s="953">
        <v>127.3</v>
      </c>
      <c r="N15" s="584">
        <f>(M15/J15)*H15*(E7/E15)^K15</f>
        <v>72874.813024296498</v>
      </c>
      <c r="O15" s="823">
        <v>0.02</v>
      </c>
      <c r="P15" s="584">
        <f t="shared" si="1"/>
        <v>1457.49626048593</v>
      </c>
      <c r="Q15" s="1039">
        <f>IF(IF(Macro!$H$14=1,5,Macro!T10)=0,5,IF(Macro!$H$14=1,5,Macro!T10))</f>
        <v>5</v>
      </c>
      <c r="R15" s="584">
        <f t="shared" si="2"/>
        <v>14574.9626048593</v>
      </c>
      <c r="S15" s="273" t="s">
        <v>454</v>
      </c>
      <c r="T15" s="276"/>
    </row>
    <row r="16" spans="1:20" x14ac:dyDescent="0.3">
      <c r="A16" s="1136" t="s">
        <v>459</v>
      </c>
      <c r="B16" s="267" t="s">
        <v>170</v>
      </c>
      <c r="C16" s="775" t="s">
        <v>300</v>
      </c>
      <c r="D16" s="267" t="s">
        <v>1042</v>
      </c>
      <c r="E16" s="827">
        <v>1.5</v>
      </c>
      <c r="F16" s="821">
        <v>240000</v>
      </c>
      <c r="G16" s="824">
        <v>0.6</v>
      </c>
      <c r="H16" s="585">
        <f t="shared" si="0"/>
        <v>384000</v>
      </c>
      <c r="I16" s="1050">
        <v>43678</v>
      </c>
      <c r="J16" s="1056">
        <v>97.3</v>
      </c>
      <c r="K16" s="827">
        <v>0.6</v>
      </c>
      <c r="L16" s="1058">
        <v>45261</v>
      </c>
      <c r="M16" s="827">
        <v>127.3</v>
      </c>
      <c r="N16" s="585">
        <f>(M16/J16)*H16*(('R1_MEFA'!C40+'R1_MEFA'!F41+'R1_MEFA'!F42)/(Macro!$D$16*Macro!$D$20*8)/(E16))^K16</f>
        <v>827014.0827784451</v>
      </c>
      <c r="O16" s="824">
        <v>0.05</v>
      </c>
      <c r="P16" s="585">
        <f t="shared" si="1"/>
        <v>41350.704138922258</v>
      </c>
      <c r="Q16" s="658">
        <f>IF(IF(Macro!$H$14=1,5,Macro!T11)=0,5,IF(Macro!$H$14=1,5,Macro!T11))</f>
        <v>5</v>
      </c>
      <c r="R16" s="585">
        <f t="shared" si="2"/>
        <v>165402.81655568903</v>
      </c>
      <c r="S16" s="268" t="s">
        <v>140</v>
      </c>
      <c r="T16" s="271"/>
    </row>
    <row r="17" spans="1:20" x14ac:dyDescent="0.3">
      <c r="A17" s="1137"/>
      <c r="B17" s="744" t="s">
        <v>185</v>
      </c>
      <c r="C17" s="744" t="s">
        <v>460</v>
      </c>
      <c r="D17" s="286" t="s">
        <v>1042</v>
      </c>
      <c r="E17" s="809">
        <v>1.5</v>
      </c>
      <c r="F17" s="819">
        <v>420000</v>
      </c>
      <c r="G17" s="822">
        <v>0.6</v>
      </c>
      <c r="H17" s="282">
        <f t="shared" si="0"/>
        <v>672000</v>
      </c>
      <c r="I17" s="1050">
        <v>42370</v>
      </c>
      <c r="J17" s="1056">
        <v>86.1</v>
      </c>
      <c r="K17" s="809">
        <v>0.8</v>
      </c>
      <c r="L17" s="1050">
        <v>45261</v>
      </c>
      <c r="M17" s="809">
        <v>127.3</v>
      </c>
      <c r="N17" s="282">
        <f>(M17/J17)*H17*($E$5/(Macro!$D$16*Macro!$D$20*8)/(E17))^K17</f>
        <v>1801745.2246395454</v>
      </c>
      <c r="O17" s="822">
        <v>0.05</v>
      </c>
      <c r="P17" s="282">
        <f t="shared" si="1"/>
        <v>90087.261231977274</v>
      </c>
      <c r="Q17" s="657">
        <f>IF(IF(Macro!$H$14=1,5,Macro!T12)=0,5,IF(Macro!$H$14=1,5,Macro!T12))</f>
        <v>5</v>
      </c>
      <c r="R17" s="282">
        <f t="shared" si="2"/>
        <v>360349.0449279091</v>
      </c>
      <c r="S17" t="s">
        <v>454</v>
      </c>
      <c r="T17" s="262"/>
    </row>
    <row r="18" spans="1:20" x14ac:dyDescent="0.3">
      <c r="A18" s="1137"/>
      <c r="B18" s="286" t="s">
        <v>311</v>
      </c>
      <c r="C18" s="744" t="s">
        <v>461</v>
      </c>
      <c r="D18" s="286" t="s">
        <v>1042</v>
      </c>
      <c r="E18" s="809">
        <v>1.5</v>
      </c>
      <c r="F18" s="819">
        <v>100000</v>
      </c>
      <c r="G18" s="822">
        <v>0.6</v>
      </c>
      <c r="H18" s="282">
        <f t="shared" si="0"/>
        <v>160000</v>
      </c>
      <c r="I18" s="1050">
        <v>42370</v>
      </c>
      <c r="J18" s="1056">
        <v>86.1</v>
      </c>
      <c r="K18" s="809">
        <v>0.8</v>
      </c>
      <c r="L18" s="1050">
        <v>45261</v>
      </c>
      <c r="M18" s="809">
        <v>127.3</v>
      </c>
      <c r="N18" s="282">
        <f>(M18/J18)*H18*($E$5/(Macro!$D$16*Macro!$D$20*8)/(E18))^K18</f>
        <v>428986.95824751077</v>
      </c>
      <c r="O18" s="822">
        <v>0.05</v>
      </c>
      <c r="P18" s="282">
        <f t="shared" si="1"/>
        <v>21449.347912375539</v>
      </c>
      <c r="Q18" s="657">
        <f>IF(IF(Macro!$H$14=1,5,Macro!T13)=0,5,IF(Macro!$H$14=1,5,Macro!T13))</f>
        <v>5</v>
      </c>
      <c r="R18" s="282">
        <f t="shared" si="2"/>
        <v>85797.391649502155</v>
      </c>
      <c r="S18" t="s">
        <v>454</v>
      </c>
      <c r="T18" s="262"/>
    </row>
    <row r="19" spans="1:20" ht="15" thickBot="1" x14ac:dyDescent="0.35">
      <c r="A19" s="1138"/>
      <c r="B19" s="287" t="s">
        <v>312</v>
      </c>
      <c r="C19" s="741" t="s">
        <v>462</v>
      </c>
      <c r="D19" s="287" t="s">
        <v>1042</v>
      </c>
      <c r="E19" s="828">
        <v>1.5</v>
      </c>
      <c r="F19" s="820">
        <v>100000</v>
      </c>
      <c r="G19" s="823">
        <v>0.6</v>
      </c>
      <c r="H19" s="584">
        <f t="shared" si="0"/>
        <v>160000</v>
      </c>
      <c r="I19" s="1053">
        <v>42370</v>
      </c>
      <c r="J19" s="1057">
        <v>86.1</v>
      </c>
      <c r="K19" s="828">
        <v>0.8</v>
      </c>
      <c r="L19" s="1050">
        <v>45261</v>
      </c>
      <c r="M19" s="828">
        <v>127.3</v>
      </c>
      <c r="N19" s="584">
        <f>(M19/J19)*H19*($E$5/(Macro!$D$16*Macro!$D$20*8)/(E19))^K19</f>
        <v>428986.95824751077</v>
      </c>
      <c r="O19" s="823">
        <v>0.05</v>
      </c>
      <c r="P19" s="584">
        <f t="shared" si="1"/>
        <v>21449.347912375539</v>
      </c>
      <c r="Q19" s="1039">
        <f>IF(IF(Macro!$H$14=1,5,Macro!T14)=0,5,IF(Macro!$H$14=1,5,Macro!T14))</f>
        <v>5</v>
      </c>
      <c r="R19" s="584">
        <f t="shared" si="2"/>
        <v>85797.391649502155</v>
      </c>
      <c r="S19" s="273" t="s">
        <v>454</v>
      </c>
      <c r="T19" s="276"/>
    </row>
    <row r="20" spans="1:20" ht="16.2" x14ac:dyDescent="0.3">
      <c r="A20" s="1139" t="s">
        <v>463</v>
      </c>
      <c r="B20" s="775" t="s">
        <v>464</v>
      </c>
      <c r="C20" s="267" t="s">
        <v>333</v>
      </c>
      <c r="D20" s="267" t="s">
        <v>465</v>
      </c>
      <c r="E20" s="827">
        <v>2</v>
      </c>
      <c r="F20" s="821">
        <v>420000</v>
      </c>
      <c r="G20" s="824">
        <v>1</v>
      </c>
      <c r="H20" s="585">
        <f t="shared" si="0"/>
        <v>840000</v>
      </c>
      <c r="I20" s="1050">
        <v>43678</v>
      </c>
      <c r="J20" s="1056">
        <v>97.3</v>
      </c>
      <c r="K20" s="827">
        <v>0.6</v>
      </c>
      <c r="L20" s="1058">
        <v>45261</v>
      </c>
      <c r="M20" s="827">
        <v>127.3</v>
      </c>
      <c r="N20" s="585">
        <f>(M20/J20)*H20*('R1_Hydro_MEFA'!L19/(Macro!$D$16*Macro!$D$20*8)/(E20))^K20</f>
        <v>439446.55956837285</v>
      </c>
      <c r="O20" s="824">
        <v>0.05</v>
      </c>
      <c r="P20" s="585">
        <f t="shared" si="1"/>
        <v>21972.327978418645</v>
      </c>
      <c r="Q20" s="658">
        <f>IF(IF(Macro!$H$14=1,5,Macro!T15)=0,5,IF(Macro!$H$14=1,5,Macro!T15))</f>
        <v>5</v>
      </c>
      <c r="R20" s="585">
        <f t="shared" si="2"/>
        <v>87889.311913674566</v>
      </c>
      <c r="S20" s="268" t="s">
        <v>140</v>
      </c>
      <c r="T20" s="271"/>
    </row>
    <row r="21" spans="1:20" ht="16.2" x14ac:dyDescent="0.3">
      <c r="A21" s="1137"/>
      <c r="B21" s="744" t="s">
        <v>205</v>
      </c>
      <c r="C21" s="744" t="s">
        <v>466</v>
      </c>
      <c r="D21" s="286" t="s">
        <v>465</v>
      </c>
      <c r="E21" s="809">
        <v>10</v>
      </c>
      <c r="F21" s="819">
        <v>175000</v>
      </c>
      <c r="G21" s="822">
        <v>1</v>
      </c>
      <c r="H21" s="282">
        <f t="shared" si="0"/>
        <v>350000</v>
      </c>
      <c r="I21" s="1050">
        <v>43678</v>
      </c>
      <c r="J21" s="1056">
        <v>97.3</v>
      </c>
      <c r="K21" s="809">
        <v>0.52</v>
      </c>
      <c r="L21" s="1050">
        <v>45261</v>
      </c>
      <c r="M21" s="809">
        <v>127.3</v>
      </c>
      <c r="N21" s="282">
        <f>(M21/J21)*H21*('R1_Hydro_MEFA'!L26/(Macro!$D$16*Macro!$D$20*8)/(E21))^K21</f>
        <v>307268.70020250563</v>
      </c>
      <c r="O21" s="822">
        <v>0.05</v>
      </c>
      <c r="P21" s="282">
        <f t="shared" si="1"/>
        <v>15363.435010125282</v>
      </c>
      <c r="Q21" s="657">
        <f>IF(IF(Macro!$H$14=1,5,Macro!T16)=0,5,IF(Macro!$H$14=1,5,Macro!T16))</f>
        <v>5</v>
      </c>
      <c r="R21" s="282">
        <f t="shared" si="2"/>
        <v>61453.740040501129</v>
      </c>
      <c r="S21" t="s">
        <v>140</v>
      </c>
      <c r="T21" s="262"/>
    </row>
    <row r="22" spans="1:20" ht="16.2" x14ac:dyDescent="0.3">
      <c r="A22" s="1137"/>
      <c r="B22" s="744" t="s">
        <v>211</v>
      </c>
      <c r="C22" s="744" t="s">
        <v>466</v>
      </c>
      <c r="D22" s="286" t="s">
        <v>465</v>
      </c>
      <c r="E22" s="809">
        <v>10</v>
      </c>
      <c r="F22" s="819">
        <v>175000</v>
      </c>
      <c r="G22" s="822">
        <v>1</v>
      </c>
      <c r="H22" s="282">
        <f t="shared" ref="H22" si="3">(1+G22)*F22</f>
        <v>350000</v>
      </c>
      <c r="I22" s="1050">
        <v>43678</v>
      </c>
      <c r="J22" s="1056">
        <v>97.3</v>
      </c>
      <c r="K22" s="809">
        <v>0.52</v>
      </c>
      <c r="L22" s="1050">
        <v>45261</v>
      </c>
      <c r="M22" s="809">
        <v>127.3</v>
      </c>
      <c r="N22" s="282">
        <f>(M22/J22)*H22*('R1_Hydro_MEFA'!L33/(Macro!$D$16*Macro!$D$20*8)/(E22))^K22</f>
        <v>311875.29601080989</v>
      </c>
      <c r="O22" s="822">
        <v>0.05</v>
      </c>
      <c r="P22" s="282">
        <f t="shared" si="1"/>
        <v>15593.764800540495</v>
      </c>
      <c r="Q22" s="657">
        <f>IF(IF(Macro!$H$14=1,5,Macro!T17)=0,5,IF(Macro!$H$14=1,5,Macro!T17))</f>
        <v>5</v>
      </c>
      <c r="R22" s="282">
        <f t="shared" si="2"/>
        <v>62375.059202161981</v>
      </c>
      <c r="S22" t="s">
        <v>140</v>
      </c>
      <c r="T22" s="262"/>
    </row>
    <row r="23" spans="1:20" ht="16.2" x14ac:dyDescent="0.3">
      <c r="A23" s="1137"/>
      <c r="B23" s="286" t="s">
        <v>212</v>
      </c>
      <c r="C23" s="286" t="s">
        <v>467</v>
      </c>
      <c r="D23" s="286" t="s">
        <v>465</v>
      </c>
      <c r="E23" s="809">
        <v>10</v>
      </c>
      <c r="F23" s="819">
        <v>35000</v>
      </c>
      <c r="G23" s="822">
        <v>1</v>
      </c>
      <c r="H23" s="282">
        <f t="shared" si="0"/>
        <v>70000</v>
      </c>
      <c r="I23" s="1050">
        <v>43678</v>
      </c>
      <c r="J23" s="1056">
        <v>97.3</v>
      </c>
      <c r="K23" s="809">
        <v>0.75</v>
      </c>
      <c r="L23" s="1050">
        <v>45261</v>
      </c>
      <c r="M23" s="809">
        <v>127.3</v>
      </c>
      <c r="N23" s="282">
        <f>(M23/J23)*H23*('R1_Hydro_MEFA'!L33/(Macro!$D$16*Macro!$D$20*8)/(E23))^K23</f>
        <v>52629.941023678388</v>
      </c>
      <c r="O23" s="822">
        <v>0.05</v>
      </c>
      <c r="P23" s="282">
        <f t="shared" si="1"/>
        <v>2631.4970511839197</v>
      </c>
      <c r="Q23" s="657">
        <f>IF(IF(Macro!$H$14=1,5,Macro!T18)=0,5,IF(Macro!$H$14=1,5,Macro!T18))</f>
        <v>5</v>
      </c>
      <c r="R23" s="282">
        <f t="shared" si="2"/>
        <v>10525.988204735677</v>
      </c>
      <c r="S23" t="s">
        <v>140</v>
      </c>
      <c r="T23" s="262"/>
    </row>
    <row r="24" spans="1:20" ht="16.2" x14ac:dyDescent="0.3">
      <c r="A24" s="1137"/>
      <c r="B24" s="286" t="s">
        <v>346</v>
      </c>
      <c r="C24" s="286" t="s">
        <v>466</v>
      </c>
      <c r="D24" s="286" t="s">
        <v>465</v>
      </c>
      <c r="E24" s="809">
        <v>10</v>
      </c>
      <c r="F24" s="819">
        <v>175000</v>
      </c>
      <c r="G24" s="822">
        <v>1</v>
      </c>
      <c r="H24" s="282">
        <f t="shared" si="0"/>
        <v>350000</v>
      </c>
      <c r="I24" s="1050">
        <v>43678</v>
      </c>
      <c r="J24" s="1056">
        <v>97.3</v>
      </c>
      <c r="K24" s="809">
        <v>0.52</v>
      </c>
      <c r="L24" s="1050">
        <v>45261</v>
      </c>
      <c r="M24" s="809">
        <v>127.3</v>
      </c>
      <c r="N24" s="282">
        <f>(M24/J24)*H24*('R1_Hydro_MEFA'!L48/(Macro!$D$16*Macro!$D$20*8)/(E24))^K24</f>
        <v>313914.05133397825</v>
      </c>
      <c r="O24" s="822">
        <v>0.05</v>
      </c>
      <c r="P24" s="282">
        <f t="shared" si="1"/>
        <v>15695.702566698914</v>
      </c>
      <c r="Q24" s="657">
        <f>IF(IF(Macro!$H$14=1,5,Macro!T19)=0,5,IF(Macro!$H$14=1,5,Macro!T19))</f>
        <v>5</v>
      </c>
      <c r="R24" s="282">
        <f t="shared" si="2"/>
        <v>62782.810266795648</v>
      </c>
      <c r="S24" t="s">
        <v>140</v>
      </c>
      <c r="T24" s="262"/>
    </row>
    <row r="25" spans="1:20" ht="16.2" x14ac:dyDescent="0.3">
      <c r="A25" s="1137"/>
      <c r="B25" s="744" t="s">
        <v>468</v>
      </c>
      <c r="C25" s="286" t="s">
        <v>469</v>
      </c>
      <c r="D25" s="286" t="s">
        <v>465</v>
      </c>
      <c r="E25" s="809">
        <v>10</v>
      </c>
      <c r="F25" s="819">
        <v>175000</v>
      </c>
      <c r="G25" s="822">
        <v>1</v>
      </c>
      <c r="H25" s="282">
        <f t="shared" si="0"/>
        <v>350000</v>
      </c>
      <c r="I25" s="1050">
        <v>43678</v>
      </c>
      <c r="J25" s="1056">
        <v>97.3</v>
      </c>
      <c r="K25" s="809">
        <v>0.52</v>
      </c>
      <c r="L25" s="1050">
        <v>45261</v>
      </c>
      <c r="M25" s="809">
        <v>127.3</v>
      </c>
      <c r="N25" s="282">
        <f>(M25/J25)*H25*('R1_Hydro_MEFA'!L55/(Macro!$D$16*Macro!$D$20*8)/(E25))^K25</f>
        <v>340610.72649884206</v>
      </c>
      <c r="O25" s="822">
        <v>0.05</v>
      </c>
      <c r="P25" s="282">
        <f t="shared" si="1"/>
        <v>17030.536324942103</v>
      </c>
      <c r="Q25" s="657">
        <f>IF(IF(Macro!$H$14=1,5,Macro!T20)=0,5,IF(Macro!$H$14=1,5,Macro!T20))</f>
        <v>5</v>
      </c>
      <c r="R25" s="282">
        <f t="shared" si="2"/>
        <v>68122.14529976841</v>
      </c>
      <c r="S25" t="s">
        <v>140</v>
      </c>
      <c r="T25" s="262"/>
    </row>
    <row r="26" spans="1:20" ht="16.2" x14ac:dyDescent="0.3">
      <c r="A26" s="1137"/>
      <c r="B26" s="286" t="s">
        <v>349</v>
      </c>
      <c r="C26" s="286" t="s">
        <v>470</v>
      </c>
      <c r="D26" s="286" t="s">
        <v>465</v>
      </c>
      <c r="E26" s="809">
        <v>10</v>
      </c>
      <c r="F26" s="819">
        <v>35000</v>
      </c>
      <c r="G26" s="822">
        <v>1</v>
      </c>
      <c r="H26" s="282">
        <f t="shared" si="0"/>
        <v>70000</v>
      </c>
      <c r="I26" s="1050">
        <v>43678</v>
      </c>
      <c r="J26" s="1056">
        <v>97.3</v>
      </c>
      <c r="K26" s="809">
        <v>0.75</v>
      </c>
      <c r="L26" s="1050">
        <v>45261</v>
      </c>
      <c r="M26" s="809">
        <v>127.3</v>
      </c>
      <c r="N26" s="282">
        <f>(M26/J26)*H26*('R1_Hydro_MEFA'!L55/(Macro!$D$16*Macro!$D$20*8)/(E26))^K26</f>
        <v>59764.128814043186</v>
      </c>
      <c r="O26" s="822">
        <v>0.05</v>
      </c>
      <c r="P26" s="282">
        <f t="shared" si="1"/>
        <v>2988.2064407021594</v>
      </c>
      <c r="Q26" s="657">
        <f>IF(IF(Macro!$H$14=1,5,Macro!T21)=0,5,IF(Macro!$H$14=1,5,Macro!T21))</f>
        <v>5</v>
      </c>
      <c r="R26" s="282">
        <f t="shared" si="2"/>
        <v>11952.825762808638</v>
      </c>
      <c r="S26" t="s">
        <v>140</v>
      </c>
      <c r="T26" s="262"/>
    </row>
    <row r="27" spans="1:20" ht="16.2" x14ac:dyDescent="0.3">
      <c r="A27" s="1137"/>
      <c r="B27" s="286" t="s">
        <v>471</v>
      </c>
      <c r="C27" s="286" t="s">
        <v>472</v>
      </c>
      <c r="D27" s="286" t="s">
        <v>465</v>
      </c>
      <c r="E27" s="809">
        <v>10</v>
      </c>
      <c r="F27" s="819">
        <v>175000</v>
      </c>
      <c r="G27" s="822">
        <v>1</v>
      </c>
      <c r="H27" s="282">
        <f t="shared" si="0"/>
        <v>350000</v>
      </c>
      <c r="I27" s="1050">
        <v>43678</v>
      </c>
      <c r="J27" s="1056">
        <v>97.3</v>
      </c>
      <c r="K27" s="809">
        <v>0.52</v>
      </c>
      <c r="L27" s="1050">
        <v>45261</v>
      </c>
      <c r="M27" s="809">
        <v>127.3</v>
      </c>
      <c r="N27" s="282">
        <f>(M27/J27)*H27*('R1_Hydro_MEFA'!L61/(Macro!$D$16*Macro!$D$20*8)/(E27))^K27</f>
        <v>304290.50775596726</v>
      </c>
      <c r="O27" s="822">
        <v>0.05</v>
      </c>
      <c r="P27" s="282">
        <f t="shared" si="1"/>
        <v>15214.525387798363</v>
      </c>
      <c r="Q27" s="657">
        <f>IF(IF(Macro!$H$14=1,5,Macro!T22)=0,5,IF(Macro!$H$14=1,5,Macro!T22))</f>
        <v>5</v>
      </c>
      <c r="R27" s="282">
        <f t="shared" si="2"/>
        <v>60858.101551193453</v>
      </c>
      <c r="S27" t="s">
        <v>140</v>
      </c>
      <c r="T27" s="262"/>
    </row>
    <row r="28" spans="1:20" ht="16.2" x14ac:dyDescent="0.3">
      <c r="A28" s="1137"/>
      <c r="B28" s="744" t="s">
        <v>473</v>
      </c>
      <c r="C28" s="286" t="s">
        <v>472</v>
      </c>
      <c r="D28" s="286" t="s">
        <v>465</v>
      </c>
      <c r="E28" s="809">
        <v>10</v>
      </c>
      <c r="F28" s="819">
        <v>175000</v>
      </c>
      <c r="G28" s="822">
        <v>1</v>
      </c>
      <c r="H28" s="282">
        <f t="shared" si="0"/>
        <v>350000</v>
      </c>
      <c r="I28" s="1050">
        <v>43678</v>
      </c>
      <c r="J28" s="1056">
        <v>97.3</v>
      </c>
      <c r="K28" s="809">
        <v>0.52</v>
      </c>
      <c r="L28" s="1050">
        <v>45261</v>
      </c>
      <c r="M28" s="809">
        <v>127.3</v>
      </c>
      <c r="N28" s="282">
        <f>(M28/J28)*H28*('R1_Hydro_MEFA'!L79/(Macro!$D$16*Macro!$D$20*8)/(E28))^K28</f>
        <v>88933.470552688217</v>
      </c>
      <c r="O28" s="822">
        <v>0.05</v>
      </c>
      <c r="P28" s="282">
        <f t="shared" si="1"/>
        <v>4446.6735276344107</v>
      </c>
      <c r="Q28" s="657">
        <f>IF(IF(Macro!$H$14=1,5,Macro!T23)=0,5,IF(Macro!$H$14=1,5,Macro!T23))</f>
        <v>5</v>
      </c>
      <c r="R28" s="282">
        <f t="shared" si="2"/>
        <v>17786.694110537643</v>
      </c>
      <c r="S28" t="s">
        <v>140</v>
      </c>
      <c r="T28" s="262"/>
    </row>
    <row r="29" spans="1:20" ht="16.2" x14ac:dyDescent="0.3">
      <c r="A29" s="1137"/>
      <c r="B29" s="286" t="s">
        <v>366</v>
      </c>
      <c r="C29" s="286" t="s">
        <v>472</v>
      </c>
      <c r="D29" s="286" t="s">
        <v>465</v>
      </c>
      <c r="E29" s="809">
        <v>10</v>
      </c>
      <c r="F29" s="819">
        <v>175000</v>
      </c>
      <c r="G29" s="822">
        <v>1</v>
      </c>
      <c r="H29" s="282">
        <f t="shared" si="0"/>
        <v>350000</v>
      </c>
      <c r="I29" s="1050">
        <v>43678</v>
      </c>
      <c r="J29" s="1056">
        <v>97.3</v>
      </c>
      <c r="K29" s="809">
        <v>0.52</v>
      </c>
      <c r="L29" s="1050">
        <v>45261</v>
      </c>
      <c r="M29" s="809">
        <v>127.3</v>
      </c>
      <c r="N29" s="282">
        <f>(M29/J29)*H29*('R1_Hydro_MEFA'!L85/(Macro!$D$16*Macro!$D$20*8)/(E29))^K29</f>
        <v>88983.449762682503</v>
      </c>
      <c r="O29" s="822">
        <v>0.05</v>
      </c>
      <c r="P29" s="282">
        <f t="shared" si="1"/>
        <v>4449.1724881341252</v>
      </c>
      <c r="Q29" s="657">
        <f>IF(IF(Macro!$H$14=1,5,Macro!T24)=0,5,IF(Macro!$H$14=1,5,Macro!T24))</f>
        <v>5</v>
      </c>
      <c r="R29" s="282">
        <f t="shared" si="2"/>
        <v>17796.689952536501</v>
      </c>
      <c r="S29" t="s">
        <v>140</v>
      </c>
      <c r="T29" s="262"/>
    </row>
    <row r="30" spans="1:20" x14ac:dyDescent="0.3">
      <c r="A30" s="1137"/>
      <c r="B30" s="744" t="s">
        <v>194</v>
      </c>
      <c r="C30" s="286" t="s">
        <v>474</v>
      </c>
      <c r="D30" s="286" t="s">
        <v>475</v>
      </c>
      <c r="E30" s="809">
        <v>1</v>
      </c>
      <c r="F30" s="819">
        <v>1500000</v>
      </c>
      <c r="G30" s="822">
        <v>1</v>
      </c>
      <c r="H30" s="282">
        <f t="shared" si="0"/>
        <v>3000000</v>
      </c>
      <c r="I30" s="1050">
        <v>43678</v>
      </c>
      <c r="J30" s="1056">
        <v>97.3</v>
      </c>
      <c r="K30" s="809">
        <v>0.65</v>
      </c>
      <c r="L30" s="1050">
        <v>45261</v>
      </c>
      <c r="M30" s="809">
        <v>127.3</v>
      </c>
      <c r="N30" s="282">
        <f>(M30/J30)*H30*('R1_Hydro_MEFA'!C90/(Macro!$D$16*Macro!$D$20*8)/(E30))^K30</f>
        <v>15481749.738693718</v>
      </c>
      <c r="O30" s="822">
        <v>0.05</v>
      </c>
      <c r="P30" s="282">
        <f t="shared" si="1"/>
        <v>774087.48693468596</v>
      </c>
      <c r="Q30" s="657">
        <f>IF(IF(Macro!$H$14=1,5,Macro!T25)=0,5,IF(Macro!$H$14=1,5,Macro!T25))</f>
        <v>5</v>
      </c>
      <c r="R30" s="282">
        <f t="shared" si="2"/>
        <v>3096349.9477387434</v>
      </c>
      <c r="S30" t="s">
        <v>140</v>
      </c>
      <c r="T30" s="262"/>
    </row>
    <row r="31" spans="1:20" ht="15" thickBot="1" x14ac:dyDescent="0.35">
      <c r="A31" s="1137"/>
      <c r="B31" s="744" t="s">
        <v>195</v>
      </c>
      <c r="C31" s="744" t="s">
        <v>474</v>
      </c>
      <c r="D31" s="286" t="s">
        <v>475</v>
      </c>
      <c r="E31" s="809">
        <v>1</v>
      </c>
      <c r="F31" s="819">
        <v>1500000</v>
      </c>
      <c r="G31" s="822">
        <v>1</v>
      </c>
      <c r="H31" s="282">
        <f t="shared" si="0"/>
        <v>3000000</v>
      </c>
      <c r="I31" s="1053">
        <v>43678</v>
      </c>
      <c r="J31" s="1057">
        <v>97.3</v>
      </c>
      <c r="K31" s="809">
        <v>0.65</v>
      </c>
      <c r="L31" s="1050">
        <v>45261</v>
      </c>
      <c r="M31" s="809">
        <v>127.3</v>
      </c>
      <c r="N31" s="282">
        <f>(M31/J31)*H31*('R1_Hydro_MEFA'!C96/(Macro!$D$16*Macro!$D$20*8)/(E31))^K31</f>
        <v>3549468.7261329433</v>
      </c>
      <c r="O31" s="822">
        <v>0.05</v>
      </c>
      <c r="P31" s="282">
        <f t="shared" si="1"/>
        <v>177473.43630664717</v>
      </c>
      <c r="Q31" s="657">
        <f>IF(IF(Macro!$H$14=1,5,Macro!T26)=0,5,IF(Macro!$H$14=1,5,Macro!T26))</f>
        <v>5</v>
      </c>
      <c r="R31" s="282">
        <f t="shared" si="2"/>
        <v>709893.74522658868</v>
      </c>
      <c r="S31" t="s">
        <v>140</v>
      </c>
      <c r="T31" s="262"/>
    </row>
    <row r="32" spans="1:20" ht="15" customHeight="1" x14ac:dyDescent="0.3">
      <c r="A32" s="1139" t="s">
        <v>476</v>
      </c>
      <c r="B32" s="775" t="s">
        <v>204</v>
      </c>
      <c r="C32" s="267" t="s">
        <v>333</v>
      </c>
      <c r="D32" s="267" t="s">
        <v>465</v>
      </c>
      <c r="E32" s="827">
        <v>2</v>
      </c>
      <c r="F32" s="821">
        <v>420000</v>
      </c>
      <c r="G32" s="824">
        <v>1</v>
      </c>
      <c r="H32" s="585">
        <f t="shared" ref="H32:H33" si="4">(1+G32)*F32</f>
        <v>840000</v>
      </c>
      <c r="I32" s="1050">
        <v>43678</v>
      </c>
      <c r="J32" s="1056">
        <v>97.3</v>
      </c>
      <c r="K32" s="827">
        <v>0.6</v>
      </c>
      <c r="L32" s="1058">
        <v>45261</v>
      </c>
      <c r="M32" s="827">
        <v>127.3</v>
      </c>
      <c r="N32" s="585">
        <f>(M32/J32)*H32*('R1_Hydro_MEFA'!L117/(Macro!$D$16*Macro!$D$20*8)/(E32))^K32</f>
        <v>0</v>
      </c>
      <c r="O32" s="824">
        <v>0.05</v>
      </c>
      <c r="P32" s="585">
        <f t="shared" si="1"/>
        <v>0</v>
      </c>
      <c r="Q32" s="658">
        <f>IF(IF(Macro!$H$14=1,5,Macro!T27)=0,5,IF(Macro!$H$14=1,5,Macro!T27))</f>
        <v>5</v>
      </c>
      <c r="R32" s="585">
        <f t="shared" si="2"/>
        <v>0</v>
      </c>
      <c r="S32" s="268" t="s">
        <v>140</v>
      </c>
      <c r="T32" s="271"/>
    </row>
    <row r="33" spans="1:20" ht="16.2" x14ac:dyDescent="0.3">
      <c r="A33" s="1140"/>
      <c r="B33" s="744" t="s">
        <v>205</v>
      </c>
      <c r="C33" s="286" t="s">
        <v>472</v>
      </c>
      <c r="D33" s="286" t="s">
        <v>465</v>
      </c>
      <c r="E33" s="809">
        <v>10</v>
      </c>
      <c r="F33" s="819">
        <v>175000</v>
      </c>
      <c r="G33" s="822">
        <v>1</v>
      </c>
      <c r="H33" s="282">
        <f t="shared" si="4"/>
        <v>350000</v>
      </c>
      <c r="I33" s="1050">
        <v>43678</v>
      </c>
      <c r="J33" s="1056">
        <v>97.3</v>
      </c>
      <c r="K33" s="809">
        <v>0.52</v>
      </c>
      <c r="L33" s="1050">
        <v>45261</v>
      </c>
      <c r="M33" s="809">
        <v>127.3</v>
      </c>
      <c r="N33" s="282">
        <f>(M33/J33)*H33*('R1_Hydro_MEFA'!L124/(Macro!$D$16*Macro!$D$20*8)/(E33))^K33</f>
        <v>0</v>
      </c>
      <c r="O33" s="822">
        <v>0.05</v>
      </c>
      <c r="P33" s="282">
        <f t="shared" si="1"/>
        <v>0</v>
      </c>
      <c r="Q33" s="657">
        <f>IF(IF(Macro!$H$14=1,5,Macro!T28)=0,5,IF(Macro!$H$14=1,5,Macro!T28))</f>
        <v>5</v>
      </c>
      <c r="R33" s="282">
        <f t="shared" si="2"/>
        <v>0</v>
      </c>
      <c r="S33" t="s">
        <v>140</v>
      </c>
      <c r="T33" s="262"/>
    </row>
    <row r="34" spans="1:20" ht="16.2" x14ac:dyDescent="0.3">
      <c r="A34" s="1140"/>
      <c r="B34" s="286" t="s">
        <v>197</v>
      </c>
      <c r="C34" s="744" t="s">
        <v>477</v>
      </c>
      <c r="D34" s="286" t="s">
        <v>465</v>
      </c>
      <c r="E34" s="809">
        <v>10</v>
      </c>
      <c r="F34" s="819">
        <v>100000</v>
      </c>
      <c r="G34" s="822">
        <v>1</v>
      </c>
      <c r="H34" s="282">
        <v>200000</v>
      </c>
      <c r="I34" s="1050">
        <v>43678</v>
      </c>
      <c r="J34" s="1056">
        <v>97.3</v>
      </c>
      <c r="K34" s="809">
        <v>0.75</v>
      </c>
      <c r="L34" s="1050">
        <v>45261</v>
      </c>
      <c r="M34" s="809">
        <v>127.3</v>
      </c>
      <c r="N34" s="282">
        <f>(M34/J34)*H34*('R1_Hydro_MEFA'!L124/(Macro!$D$16*Macro!$D$20*8)/(E34))^K34</f>
        <v>0</v>
      </c>
      <c r="O34" s="822">
        <v>0.05</v>
      </c>
      <c r="P34" s="282">
        <f t="shared" si="1"/>
        <v>0</v>
      </c>
      <c r="Q34" s="657">
        <f>IF(IF(Macro!$H$14=1,5,Macro!T29)=0,5,IF(Macro!$H$14=1,5,Macro!T29))</f>
        <v>5</v>
      </c>
      <c r="R34" s="282">
        <f t="shared" si="2"/>
        <v>0</v>
      </c>
      <c r="S34" t="s">
        <v>140</v>
      </c>
      <c r="T34" s="262"/>
    </row>
    <row r="35" spans="1:20" ht="16.2" x14ac:dyDescent="0.3">
      <c r="A35" s="1140"/>
      <c r="B35" s="286" t="s">
        <v>346</v>
      </c>
      <c r="C35" s="286" t="s">
        <v>466</v>
      </c>
      <c r="D35" s="286" t="s">
        <v>465</v>
      </c>
      <c r="E35" s="809">
        <v>10</v>
      </c>
      <c r="F35" s="819">
        <v>175000</v>
      </c>
      <c r="G35" s="822">
        <v>1</v>
      </c>
      <c r="H35" s="282">
        <f t="shared" ref="H35:H37" si="5">(1+G35)*F35</f>
        <v>350000</v>
      </c>
      <c r="I35" s="1050">
        <v>43678</v>
      </c>
      <c r="J35" s="1056">
        <v>97.3</v>
      </c>
      <c r="K35" s="809">
        <v>0.52</v>
      </c>
      <c r="L35" s="1050">
        <v>45261</v>
      </c>
      <c r="M35" s="809">
        <v>127.3</v>
      </c>
      <c r="N35" s="282">
        <f>(M35/J35)*H35*('R1_Hydro_MEFA'!L140/(Macro!$D$16*Macro!$D$20*8)/(E35))^K35</f>
        <v>0</v>
      </c>
      <c r="O35" s="822">
        <v>0.05</v>
      </c>
      <c r="P35" s="282">
        <f t="shared" si="1"/>
        <v>0</v>
      </c>
      <c r="Q35" s="657">
        <f>IF(IF(Macro!$H$14=1,5,Macro!T30)=0,5,IF(Macro!$H$14=1,5,Macro!T30))</f>
        <v>5</v>
      </c>
      <c r="R35" s="282">
        <f t="shared" si="2"/>
        <v>0</v>
      </c>
      <c r="S35" t="s">
        <v>140</v>
      </c>
      <c r="T35" s="262"/>
    </row>
    <row r="36" spans="1:20" ht="16.2" x14ac:dyDescent="0.3">
      <c r="A36" s="1140"/>
      <c r="B36" s="286" t="s">
        <v>391</v>
      </c>
      <c r="C36" s="286" t="s">
        <v>472</v>
      </c>
      <c r="D36" s="286" t="s">
        <v>465</v>
      </c>
      <c r="E36" s="809">
        <v>10</v>
      </c>
      <c r="F36" s="819">
        <v>175000</v>
      </c>
      <c r="G36" s="822">
        <v>1</v>
      </c>
      <c r="H36" s="282">
        <f t="shared" si="5"/>
        <v>350000</v>
      </c>
      <c r="I36" s="1050">
        <v>43678</v>
      </c>
      <c r="J36" s="1056">
        <v>97.3</v>
      </c>
      <c r="K36" s="809">
        <v>0.52</v>
      </c>
      <c r="L36" s="1050">
        <v>45261</v>
      </c>
      <c r="M36" s="809">
        <v>127.3</v>
      </c>
      <c r="N36" s="282">
        <f>(M36/J36)*H36*('R1_Hydro_MEFA'!L147/(Macro!$D$16*Macro!$D$20*8)/(E36))^K36</f>
        <v>0</v>
      </c>
      <c r="O36" s="822">
        <v>0.05</v>
      </c>
      <c r="P36" s="282">
        <f t="shared" si="1"/>
        <v>0</v>
      </c>
      <c r="Q36" s="657">
        <f>IF(IF(Macro!$H$14=1,5,Macro!T31)=0,5,IF(Macro!$H$14=1,5,Macro!T31))</f>
        <v>5</v>
      </c>
      <c r="R36" s="282">
        <f t="shared" si="2"/>
        <v>0</v>
      </c>
      <c r="S36" t="s">
        <v>140</v>
      </c>
      <c r="T36" s="262"/>
    </row>
    <row r="37" spans="1:20" ht="16.2" x14ac:dyDescent="0.3">
      <c r="A37" s="1140"/>
      <c r="B37" s="286" t="s">
        <v>392</v>
      </c>
      <c r="C37" s="286" t="s">
        <v>478</v>
      </c>
      <c r="D37" s="286" t="s">
        <v>465</v>
      </c>
      <c r="E37" s="809">
        <v>10</v>
      </c>
      <c r="F37" s="819">
        <v>35000</v>
      </c>
      <c r="G37" s="822">
        <v>1</v>
      </c>
      <c r="H37" s="282">
        <f t="shared" si="5"/>
        <v>70000</v>
      </c>
      <c r="I37" s="1050">
        <v>43678</v>
      </c>
      <c r="J37" s="1056">
        <v>97.3</v>
      </c>
      <c r="K37" s="809">
        <v>0.75</v>
      </c>
      <c r="L37" s="1050">
        <v>45261</v>
      </c>
      <c r="M37" s="809">
        <v>127.3</v>
      </c>
      <c r="N37" s="282">
        <f>(M37/J37)*H37*('R1_Hydro_MEFA'!L147/(Macro!$D$16*Macro!$D$20*8)/(E37))^K37</f>
        <v>0</v>
      </c>
      <c r="O37" s="822">
        <v>0.05</v>
      </c>
      <c r="P37" s="282">
        <f t="shared" si="1"/>
        <v>0</v>
      </c>
      <c r="Q37" s="657">
        <f>IF(IF(Macro!$H$14=1,5,Macro!T32)=0,5,IF(Macro!$H$14=1,5,Macro!T32))</f>
        <v>5</v>
      </c>
      <c r="R37" s="282">
        <f t="shared" si="2"/>
        <v>0</v>
      </c>
      <c r="S37" t="s">
        <v>140</v>
      </c>
      <c r="T37" s="262"/>
    </row>
    <row r="38" spans="1:20" ht="16.2" x14ac:dyDescent="0.3">
      <c r="A38" s="1140"/>
      <c r="B38" s="286" t="s">
        <v>394</v>
      </c>
      <c r="C38" s="286" t="s">
        <v>466</v>
      </c>
      <c r="D38" s="286" t="s">
        <v>465</v>
      </c>
      <c r="E38" s="809">
        <v>10</v>
      </c>
      <c r="F38" s="819">
        <v>175000</v>
      </c>
      <c r="G38" s="822">
        <v>1</v>
      </c>
      <c r="H38" s="282">
        <f t="shared" ref="H38:H40" si="6">(1+G38)*F38</f>
        <v>350000</v>
      </c>
      <c r="I38" s="1050">
        <v>43678</v>
      </c>
      <c r="J38" s="1056">
        <v>97.3</v>
      </c>
      <c r="K38" s="809">
        <v>0.52</v>
      </c>
      <c r="L38" s="1050">
        <v>45261</v>
      </c>
      <c r="M38" s="809">
        <v>127.3</v>
      </c>
      <c r="N38" s="282">
        <f>(M38/J38)*H38*('R1_Hydro_MEFA'!L155/(Macro!$D$16*Macro!$D$20*8)/(E38))^K38</f>
        <v>0</v>
      </c>
      <c r="O38" s="822">
        <v>0.05</v>
      </c>
      <c r="P38" s="282">
        <f t="shared" si="1"/>
        <v>0</v>
      </c>
      <c r="Q38" s="657">
        <f>IF(IF(Macro!$H$14=1,5,Macro!T33)=0,5,IF(Macro!$H$14=1,5,Macro!T33))</f>
        <v>5</v>
      </c>
      <c r="R38" s="282">
        <f t="shared" si="2"/>
        <v>0</v>
      </c>
      <c r="S38" t="s">
        <v>140</v>
      </c>
      <c r="T38" s="262"/>
    </row>
    <row r="39" spans="1:20" ht="16.2" x14ac:dyDescent="0.3">
      <c r="A39" s="1140"/>
      <c r="B39" s="286" t="s">
        <v>400</v>
      </c>
      <c r="C39" s="286" t="s">
        <v>472</v>
      </c>
      <c r="D39" s="286" t="s">
        <v>465</v>
      </c>
      <c r="E39" s="809">
        <v>10</v>
      </c>
      <c r="F39" s="819">
        <v>175000</v>
      </c>
      <c r="G39" s="822">
        <v>1</v>
      </c>
      <c r="H39" s="282">
        <f t="shared" si="6"/>
        <v>350000</v>
      </c>
      <c r="I39" s="1050">
        <v>43678</v>
      </c>
      <c r="J39" s="1056">
        <v>97.3</v>
      </c>
      <c r="K39" s="809">
        <v>0.52</v>
      </c>
      <c r="L39" s="1050">
        <v>45261</v>
      </c>
      <c r="M39" s="809">
        <v>127.3</v>
      </c>
      <c r="N39" s="282">
        <f>(M39/J39)*H39*('R1_Hydro_MEFA'!L172/(Macro!$D$16*Macro!$D$20*8)/(E39))^K39</f>
        <v>0</v>
      </c>
      <c r="O39" s="822">
        <v>0.05</v>
      </c>
      <c r="P39" s="282">
        <f t="shared" si="1"/>
        <v>0</v>
      </c>
      <c r="Q39" s="657">
        <f>IF(IF(Macro!$H$14=1,5,Macro!T34)=0,5,IF(Macro!$H$14=1,5,Macro!T34))</f>
        <v>5</v>
      </c>
      <c r="R39" s="282">
        <f t="shared" si="2"/>
        <v>0</v>
      </c>
      <c r="S39" t="s">
        <v>140</v>
      </c>
      <c r="T39" s="262"/>
    </row>
    <row r="40" spans="1:20" ht="16.2" x14ac:dyDescent="0.3">
      <c r="A40" s="1140"/>
      <c r="B40" s="286" t="s">
        <v>403</v>
      </c>
      <c r="C40" s="286" t="s">
        <v>466</v>
      </c>
      <c r="D40" s="286" t="s">
        <v>465</v>
      </c>
      <c r="E40" s="809">
        <v>10</v>
      </c>
      <c r="F40" s="819">
        <v>175000</v>
      </c>
      <c r="G40" s="822">
        <v>1</v>
      </c>
      <c r="H40" s="282">
        <f t="shared" si="6"/>
        <v>350000</v>
      </c>
      <c r="I40" s="1050">
        <v>43678</v>
      </c>
      <c r="J40" s="1056">
        <v>97.3</v>
      </c>
      <c r="K40" s="809">
        <v>0.52</v>
      </c>
      <c r="L40" s="1050">
        <v>45261</v>
      </c>
      <c r="M40" s="809">
        <v>127.3</v>
      </c>
      <c r="N40" s="282">
        <f>(M40/J40)*H40*('R1_Hydro_MEFA'!L178/(Macro!$D$16*Macro!$D$20*8)/(E40))^K40</f>
        <v>0</v>
      </c>
      <c r="O40" s="822">
        <v>0.05</v>
      </c>
      <c r="P40" s="282">
        <f t="shared" si="1"/>
        <v>0</v>
      </c>
      <c r="Q40" s="657">
        <f>IF(IF(Macro!$H$14=1,5,Macro!T35)=0,5,IF(Macro!$H$14=1,5,Macro!T35))</f>
        <v>5</v>
      </c>
      <c r="R40" s="282">
        <f t="shared" si="2"/>
        <v>0</v>
      </c>
      <c r="S40" t="s">
        <v>140</v>
      </c>
      <c r="T40" s="262"/>
    </row>
    <row r="41" spans="1:20" x14ac:dyDescent="0.3">
      <c r="A41" s="1140"/>
      <c r="B41" s="744" t="s">
        <v>200</v>
      </c>
      <c r="C41" s="286" t="s">
        <v>474</v>
      </c>
      <c r="D41" s="286" t="s">
        <v>475</v>
      </c>
      <c r="E41" s="809">
        <v>1</v>
      </c>
      <c r="F41" s="819">
        <v>1500000</v>
      </c>
      <c r="G41" s="822">
        <v>1</v>
      </c>
      <c r="H41" s="282">
        <f t="shared" si="0"/>
        <v>3000000</v>
      </c>
      <c r="I41" s="1050">
        <v>43678</v>
      </c>
      <c r="J41" s="1056">
        <v>97.3</v>
      </c>
      <c r="K41" s="809">
        <v>0.65</v>
      </c>
      <c r="L41" s="1050">
        <v>45261</v>
      </c>
      <c r="M41" s="809">
        <v>127.3</v>
      </c>
      <c r="N41" s="282">
        <f>(M41/J41)*H41*('R1_Hydro_MEFA'!C183/(Macro!$D$16*Macro!$D$20*8)/(E41))^K41</f>
        <v>0</v>
      </c>
      <c r="O41" s="822">
        <v>0.05</v>
      </c>
      <c r="P41" s="282">
        <f t="shared" si="1"/>
        <v>0</v>
      </c>
      <c r="Q41" s="657">
        <f>IF(IF(Macro!$H$14=1,5,Macro!T36)=0,5,IF(Macro!$H$14=1,5,Macro!T36))</f>
        <v>5</v>
      </c>
      <c r="R41" s="282">
        <f t="shared" si="2"/>
        <v>0</v>
      </c>
      <c r="S41" t="s">
        <v>140</v>
      </c>
      <c r="T41" s="262"/>
    </row>
    <row r="42" spans="1:20" x14ac:dyDescent="0.3">
      <c r="A42" s="1140"/>
      <c r="B42" s="744" t="s">
        <v>201</v>
      </c>
      <c r="C42" s="286" t="s">
        <v>406</v>
      </c>
      <c r="D42" s="286" t="s">
        <v>475</v>
      </c>
      <c r="E42" s="809">
        <v>5</v>
      </c>
      <c r="F42" s="819">
        <v>1500000</v>
      </c>
      <c r="G42" s="822">
        <v>1</v>
      </c>
      <c r="H42" s="282">
        <f t="shared" si="0"/>
        <v>3000000</v>
      </c>
      <c r="I42" s="1050">
        <v>43678</v>
      </c>
      <c r="J42" s="1056">
        <v>97.3</v>
      </c>
      <c r="K42" s="809">
        <v>0.65</v>
      </c>
      <c r="L42" s="1050">
        <v>45261</v>
      </c>
      <c r="M42" s="809">
        <v>127.3</v>
      </c>
      <c r="N42" s="282">
        <f>(M42/J42)*H42*('R1_Hydro_MEFA'!C189/(Macro!$D$16*Macro!$D$20*8)/(E42))^K42</f>
        <v>0</v>
      </c>
      <c r="O42" s="822">
        <v>0.05</v>
      </c>
      <c r="P42" s="282">
        <f t="shared" si="1"/>
        <v>0</v>
      </c>
      <c r="Q42" s="657">
        <f>IF(IF(Macro!$H$14=1,5,Macro!T37)=0,5,IF(Macro!$H$14=1,5,Macro!T37))</f>
        <v>5</v>
      </c>
      <c r="R42" s="282">
        <f t="shared" si="2"/>
        <v>0</v>
      </c>
      <c r="S42" t="s">
        <v>140</v>
      </c>
      <c r="T42" s="262"/>
    </row>
    <row r="43" spans="1:20" ht="16.2" x14ac:dyDescent="0.3">
      <c r="A43" s="1140"/>
      <c r="B43" s="744" t="s">
        <v>415</v>
      </c>
      <c r="C43" s="286" t="s">
        <v>472</v>
      </c>
      <c r="D43" s="286" t="s">
        <v>465</v>
      </c>
      <c r="E43" s="809">
        <v>10</v>
      </c>
      <c r="F43" s="819">
        <v>175000</v>
      </c>
      <c r="G43" s="822">
        <v>1</v>
      </c>
      <c r="H43" s="282">
        <f t="shared" ref="H43:H45" si="7">(1+G43)*F43</f>
        <v>350000</v>
      </c>
      <c r="I43" s="1050">
        <v>43678</v>
      </c>
      <c r="J43" s="1056">
        <v>97.3</v>
      </c>
      <c r="K43" s="809">
        <v>0.52</v>
      </c>
      <c r="L43" s="1050">
        <v>45261</v>
      </c>
      <c r="M43" s="809">
        <v>127.3</v>
      </c>
      <c r="N43" s="282">
        <f>(M43/J43)*H43*('R1_Hydro_MEFA'!L200/(Macro!$D$16*Macro!$D$20*8)/(E43))^K43</f>
        <v>0</v>
      </c>
      <c r="O43" s="822">
        <v>0.05</v>
      </c>
      <c r="P43" s="282">
        <f t="shared" si="1"/>
        <v>0</v>
      </c>
      <c r="Q43" s="657">
        <f>IF(IF(Macro!$H$14=1,5,Macro!T38)=0,5,IF(Macro!$H$14=1,5,Macro!T38))</f>
        <v>5</v>
      </c>
      <c r="R43" s="282">
        <f t="shared" si="2"/>
        <v>0</v>
      </c>
      <c r="S43" t="s">
        <v>140</v>
      </c>
      <c r="T43" s="262"/>
    </row>
    <row r="44" spans="1:20" ht="16.2" x14ac:dyDescent="0.3">
      <c r="A44" s="1140"/>
      <c r="B44" s="286" t="s">
        <v>426</v>
      </c>
      <c r="C44" s="286" t="s">
        <v>478</v>
      </c>
      <c r="D44" s="286" t="s">
        <v>465</v>
      </c>
      <c r="E44" s="809">
        <v>10</v>
      </c>
      <c r="F44" s="819">
        <v>35000</v>
      </c>
      <c r="G44" s="822">
        <v>1</v>
      </c>
      <c r="H44" s="282">
        <f t="shared" si="7"/>
        <v>70000</v>
      </c>
      <c r="I44" s="1050">
        <v>43678</v>
      </c>
      <c r="J44" s="1056">
        <v>97.3</v>
      </c>
      <c r="K44" s="809">
        <v>0.75</v>
      </c>
      <c r="L44" s="1050">
        <v>45261</v>
      </c>
      <c r="M44" s="809">
        <v>127.3</v>
      </c>
      <c r="N44" s="282">
        <f>(M44/J44)*H44*('R1_Hydro_MEFA'!L200/(Macro!$D$16*Macro!$D$20*8)/(E44))^K44</f>
        <v>0</v>
      </c>
      <c r="O44" s="822">
        <v>0.05</v>
      </c>
      <c r="P44" s="282">
        <f>O44*N44</f>
        <v>0</v>
      </c>
      <c r="Q44" s="657">
        <f>IF(IF(Macro!$H$14=1,5,Macro!T39)=0,5,IF(Macro!$H$14=1,5,Macro!T39))</f>
        <v>5</v>
      </c>
      <c r="R44" s="282">
        <f t="shared" si="2"/>
        <v>0</v>
      </c>
      <c r="S44" t="s">
        <v>140</v>
      </c>
      <c r="T44" s="262"/>
    </row>
    <row r="45" spans="1:20" ht="15" thickBot="1" x14ac:dyDescent="0.35">
      <c r="A45" s="1141"/>
      <c r="B45" s="273" t="s">
        <v>22</v>
      </c>
      <c r="C45" s="742" t="s">
        <v>406</v>
      </c>
      <c r="D45" s="273" t="s">
        <v>475</v>
      </c>
      <c r="E45" s="828">
        <v>5</v>
      </c>
      <c r="F45" s="820">
        <v>1500000</v>
      </c>
      <c r="G45" s="823">
        <v>1</v>
      </c>
      <c r="H45" s="584">
        <f t="shared" si="7"/>
        <v>3000000</v>
      </c>
      <c r="I45" s="1053">
        <v>43678</v>
      </c>
      <c r="J45" s="1057">
        <v>97.3</v>
      </c>
      <c r="K45" s="828">
        <v>0.65</v>
      </c>
      <c r="L45" s="1053">
        <v>45261</v>
      </c>
      <c r="M45" s="828">
        <v>127.3</v>
      </c>
      <c r="N45" s="1037">
        <f>(M45/J45)*H45*('R1_Hydro_MEFA'!C210/(Macro!$D$16*Macro!$D$20*8)/(E45))^K45</f>
        <v>0</v>
      </c>
      <c r="O45" s="823">
        <v>0.05</v>
      </c>
      <c r="P45" s="1037">
        <f>O45*N45</f>
        <v>0</v>
      </c>
      <c r="Q45" s="1040">
        <f>IF(IF(Macro!$H$14=1,5,Macro!T40)=0,5,IF(Macro!$H$14=1,5,Macro!T40))</f>
        <v>5</v>
      </c>
      <c r="R45" s="1037">
        <f t="shared" si="2"/>
        <v>0</v>
      </c>
      <c r="S45" t="s">
        <v>140</v>
      </c>
      <c r="T45" s="276"/>
    </row>
    <row r="46" spans="1:20" x14ac:dyDescent="0.3">
      <c r="G46" s="257"/>
      <c r="H46" s="257"/>
      <c r="I46" s="257"/>
      <c r="N46" s="283">
        <f>SUM(N12:N45)</f>
        <v>25560856.131334361</v>
      </c>
      <c r="O46" s="283"/>
      <c r="P46" s="283">
        <f>SUM(P12:P45)</f>
        <v>1244562.7925992555</v>
      </c>
      <c r="Q46" s="283"/>
      <c r="R46" s="283">
        <f>SUM(R12:R45)</f>
        <v>5112171.2262668721</v>
      </c>
      <c r="S46" s="268"/>
    </row>
    <row r="47" spans="1:20" ht="42.6" thickBot="1" x14ac:dyDescent="0.35">
      <c r="A47" s="774" t="s">
        <v>479</v>
      </c>
    </row>
    <row r="48" spans="1:20" ht="49.5" customHeight="1" thickBot="1" x14ac:dyDescent="0.35">
      <c r="A48" s="773" t="s">
        <v>480</v>
      </c>
      <c r="B48" s="379" t="s">
        <v>481</v>
      </c>
      <c r="C48" s="379" t="s">
        <v>482</v>
      </c>
      <c r="D48" s="379" t="s">
        <v>483</v>
      </c>
      <c r="E48" s="379" t="s">
        <v>484</v>
      </c>
      <c r="F48" s="379" t="s">
        <v>485</v>
      </c>
      <c r="G48" s="379" t="s">
        <v>486</v>
      </c>
      <c r="H48" s="379" t="s">
        <v>487</v>
      </c>
      <c r="I48" s="379" t="s">
        <v>488</v>
      </c>
      <c r="J48" s="379" t="s">
        <v>489</v>
      </c>
      <c r="K48" s="380" t="s">
        <v>490</v>
      </c>
    </row>
    <row r="49" spans="1:11" ht="15" customHeight="1" x14ac:dyDescent="0.3">
      <c r="A49" s="1136" t="s">
        <v>248</v>
      </c>
      <c r="B49" s="68" t="s">
        <v>491</v>
      </c>
      <c r="C49" s="660">
        <f>ROUNDUP(E6/(210*8*E15)+E6/(210*8*2),0)</f>
        <v>65</v>
      </c>
      <c r="D49" s="898">
        <v>40000</v>
      </c>
      <c r="E49" s="824">
        <v>0.2</v>
      </c>
      <c r="F49" s="824">
        <v>0.5</v>
      </c>
      <c r="G49" s="270">
        <f>IF($E$9&gt;250,($E$9-250)/$E$9*0.5,0)</f>
        <v>0.12121212121212122</v>
      </c>
      <c r="H49" s="895">
        <f>(1+F49+E49+G49)*D49</f>
        <v>72848.484848484848</v>
      </c>
      <c r="I49" s="381">
        <f>H49/Macro!D16/8</f>
        <v>27.594123048668504</v>
      </c>
      <c r="J49" s="895">
        <f>H49*C49*(1+IF(Macro!D18=3,1/3,0))</f>
        <v>4735151.5151515147</v>
      </c>
      <c r="K49" s="271"/>
    </row>
    <row r="50" spans="1:11" ht="15" customHeight="1" thickBot="1" x14ac:dyDescent="0.35">
      <c r="A50" s="1138"/>
      <c r="B50" s="776" t="s">
        <v>492</v>
      </c>
      <c r="C50">
        <f>ROUNDUP(E6/(210*8*E15)+E6/(210*8*2),0)</f>
        <v>65</v>
      </c>
      <c r="D50" s="899">
        <v>60000</v>
      </c>
      <c r="E50" s="823">
        <v>0.2</v>
      </c>
      <c r="F50" s="823">
        <v>0.5</v>
      </c>
      <c r="G50" s="275">
        <f>IF($E$9&gt;250,($E$9-250)/$E$9*0.5,0)</f>
        <v>0.12121212121212122</v>
      </c>
      <c r="H50" s="896">
        <f t="shared" ref="H50:H56" si="8">(1+F50+E50+G50)*D50</f>
        <v>109272.72727272728</v>
      </c>
      <c r="I50" s="383">
        <f>H50/Macro!$D$16/8</f>
        <v>41.391184573002761</v>
      </c>
      <c r="J50" s="896">
        <f>H50*C50*(1+IF(Macro!D18=3,1/3,0))</f>
        <v>7102727.2727272734</v>
      </c>
      <c r="K50" s="262"/>
    </row>
    <row r="51" spans="1:11" ht="15" customHeight="1" x14ac:dyDescent="0.3">
      <c r="A51" s="1136" t="s">
        <v>459</v>
      </c>
      <c r="B51" s="777" t="s">
        <v>493</v>
      </c>
      <c r="C51" s="268">
        <f>2*ROUNDUP(Macro!D16/210,0)*Macro!D20</f>
        <v>12</v>
      </c>
      <c r="D51" s="898">
        <v>40000</v>
      </c>
      <c r="E51" s="824">
        <v>0.2</v>
      </c>
      <c r="F51" s="824">
        <v>0.5</v>
      </c>
      <c r="G51" s="270">
        <f t="shared" ref="G51:G56" si="9">IF($E$9&gt;250,($E$9-250)/$E$9*0.5,0)</f>
        <v>0.12121212121212122</v>
      </c>
      <c r="H51" s="895">
        <f t="shared" si="8"/>
        <v>72848.484848484848</v>
      </c>
      <c r="I51" s="381">
        <f>H51/Macro!$D$16/8</f>
        <v>27.594123048668504</v>
      </c>
      <c r="J51" s="895">
        <f>H51*C51*(1+IF(Macro!D20=3,1/3,0))</f>
        <v>1165575.7575757573</v>
      </c>
      <c r="K51" s="271"/>
    </row>
    <row r="52" spans="1:11" ht="15" customHeight="1" thickBot="1" x14ac:dyDescent="0.35">
      <c r="A52" s="1137"/>
      <c r="B52" s="121" t="s">
        <v>494</v>
      </c>
      <c r="C52">
        <f>ROUNDUP(Macro!D16/210,0)*Macro!D20</f>
        <v>6</v>
      </c>
      <c r="D52" s="900">
        <v>60000</v>
      </c>
      <c r="E52" s="822">
        <v>0.2</v>
      </c>
      <c r="F52" s="822">
        <v>0.5</v>
      </c>
      <c r="G52" s="256">
        <f t="shared" si="9"/>
        <v>0.12121212121212122</v>
      </c>
      <c r="H52" s="897">
        <f t="shared" si="8"/>
        <v>109272.72727272728</v>
      </c>
      <c r="I52" s="382">
        <f>H52/Macro!$D$16/8</f>
        <v>41.391184573002761</v>
      </c>
      <c r="J52" s="897">
        <f>H52*C52*(1+IF(Macro!D20=3,1/3,0))</f>
        <v>874181.81818181812</v>
      </c>
      <c r="K52" s="262"/>
    </row>
    <row r="53" spans="1:11" ht="15" customHeight="1" x14ac:dyDescent="0.3">
      <c r="A53" s="1136" t="s">
        <v>495</v>
      </c>
      <c r="B53" s="777" t="s">
        <v>493</v>
      </c>
      <c r="C53" s="268">
        <f>IF(Macro!D8=1,1,2)*Macro!D20*ROUNDUP(Macro!D16/210,0)</f>
        <v>12</v>
      </c>
      <c r="D53" s="898">
        <v>40000</v>
      </c>
      <c r="E53" s="824">
        <v>0.2</v>
      </c>
      <c r="F53" s="824">
        <v>0.5</v>
      </c>
      <c r="G53" s="270">
        <f t="shared" si="9"/>
        <v>0.12121212121212122</v>
      </c>
      <c r="H53" s="895">
        <f t="shared" si="8"/>
        <v>72848.484848484848</v>
      </c>
      <c r="I53" s="381">
        <f>H53/Macro!$D$16/8</f>
        <v>27.594123048668504</v>
      </c>
      <c r="J53" s="895">
        <f>H53*C53*(1+IF(Macro!D20=3,1/3,0))</f>
        <v>1165575.7575757573</v>
      </c>
      <c r="K53" s="271"/>
    </row>
    <row r="54" spans="1:11" ht="15" customHeight="1" thickBot="1" x14ac:dyDescent="0.35">
      <c r="A54" s="1138"/>
      <c r="B54" s="742" t="s">
        <v>494</v>
      </c>
      <c r="C54" s="273">
        <f>Macro!D20*ROUNDUP(Macro!D16/210,0)</f>
        <v>6</v>
      </c>
      <c r="D54" s="900">
        <v>60000</v>
      </c>
      <c r="E54" s="823">
        <v>0.2</v>
      </c>
      <c r="F54" s="823">
        <v>0.5</v>
      </c>
      <c r="G54" s="275">
        <f t="shared" si="9"/>
        <v>0.12121212121212122</v>
      </c>
      <c r="H54" s="896">
        <f t="shared" si="8"/>
        <v>109272.72727272728</v>
      </c>
      <c r="I54" s="383">
        <f>H54/Macro!$D$16/8</f>
        <v>41.391184573002761</v>
      </c>
      <c r="J54" s="896">
        <f>H54*C54*(1+IF(Macro!D20=3,1/3,0))</f>
        <v>874181.81818181812</v>
      </c>
      <c r="K54" s="276"/>
    </row>
    <row r="55" spans="1:11" ht="15" customHeight="1" x14ac:dyDescent="0.3">
      <c r="A55" s="1136" t="s">
        <v>496</v>
      </c>
      <c r="B55" s="777" t="s">
        <v>493</v>
      </c>
      <c r="C55" s="268">
        <f>IF(Macro!D8=1,1,2)*Macro!D20*ROUNDUP(Macro!D16/210,0)</f>
        <v>12</v>
      </c>
      <c r="D55" s="898">
        <v>40000</v>
      </c>
      <c r="E55" s="824">
        <v>0.2</v>
      </c>
      <c r="F55" s="824">
        <v>0.5</v>
      </c>
      <c r="G55" s="270">
        <f t="shared" si="9"/>
        <v>0.12121212121212122</v>
      </c>
      <c r="H55" s="895">
        <f t="shared" si="8"/>
        <v>72848.484848484848</v>
      </c>
      <c r="I55" s="381">
        <f>H55/Macro!$D$16/8</f>
        <v>27.594123048668504</v>
      </c>
      <c r="J55" s="895">
        <f>IF(Macro!D10=TRUE,H55*C55,0)*(1+IF(Macro!D20=3,1/3,0))</f>
        <v>0</v>
      </c>
      <c r="K55" s="271"/>
    </row>
    <row r="56" spans="1:11" ht="15" customHeight="1" thickBot="1" x14ac:dyDescent="0.35">
      <c r="A56" s="1138"/>
      <c r="B56" s="742" t="s">
        <v>494</v>
      </c>
      <c r="C56" s="273">
        <f>Macro!D20*ROUNDUP(Macro!D16/210,0)</f>
        <v>6</v>
      </c>
      <c r="D56" s="899">
        <v>60000</v>
      </c>
      <c r="E56" s="823">
        <v>0.2</v>
      </c>
      <c r="F56" s="823">
        <v>0.5</v>
      </c>
      <c r="G56" s="275">
        <f t="shared" si="9"/>
        <v>0.12121212121212122</v>
      </c>
      <c r="H56" s="896">
        <f t="shared" si="8"/>
        <v>109272.72727272728</v>
      </c>
      <c r="I56" s="383">
        <f>H56/Macro!$D$16/8</f>
        <v>41.391184573002761</v>
      </c>
      <c r="J56" s="896">
        <f>IF(Macro!D10=TRUE,H56*C56,0)*(1+IF(Macro!D20=3,1/3,0))</f>
        <v>0</v>
      </c>
      <c r="K56" s="276"/>
    </row>
    <row r="57" spans="1:11" ht="15" customHeight="1" x14ac:dyDescent="0.3">
      <c r="G57" s="180"/>
      <c r="J57" s="897">
        <f>SUM(J49:J56)</f>
        <v>15917393.939393941</v>
      </c>
    </row>
    <row r="58" spans="1:11" ht="15" customHeight="1" x14ac:dyDescent="0.3"/>
    <row r="59" spans="1:11" ht="15" customHeight="1" x14ac:dyDescent="0.3"/>
    <row r="60" spans="1:11" ht="15" customHeight="1" x14ac:dyDescent="0.3"/>
    <row r="61" spans="1:11" ht="15" customHeight="1" x14ac:dyDescent="0.3"/>
    <row r="62" spans="1:11" ht="15" customHeight="1" x14ac:dyDescent="0.3"/>
    <row r="63" spans="1:11" ht="15" customHeight="1" x14ac:dyDescent="0.3"/>
    <row r="64" spans="1:11"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sheetData>
  <mergeCells count="8">
    <mergeCell ref="A51:A52"/>
    <mergeCell ref="A53:A54"/>
    <mergeCell ref="A55:A56"/>
    <mergeCell ref="A12:A15"/>
    <mergeCell ref="A16:A19"/>
    <mergeCell ref="A20:A31"/>
    <mergeCell ref="A32:A45"/>
    <mergeCell ref="A49:A5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tabColor theme="0" tint="-0.499984740745262"/>
  </sheetPr>
  <dimension ref="A1:V140"/>
  <sheetViews>
    <sheetView zoomScale="70" zoomScaleNormal="70" workbookViewId="0">
      <selection activeCell="K77" sqref="K77"/>
    </sheetView>
  </sheetViews>
  <sheetFormatPr baseColWidth="10" defaultColWidth="11.44140625" defaultRowHeight="14.4" x14ac:dyDescent="0.3"/>
  <cols>
    <col min="1" max="1" width="27.109375" style="70" customWidth="1"/>
    <col min="2" max="2" width="20.44140625" style="70" customWidth="1"/>
    <col min="3" max="3" width="13.6640625" style="70" customWidth="1"/>
    <col min="4" max="4" width="7.33203125" style="70" customWidth="1"/>
    <col min="5" max="5" width="17.33203125" style="70" customWidth="1"/>
    <col min="6" max="6" width="14.44140625" style="70" customWidth="1"/>
    <col min="7" max="7" width="9.33203125" style="70" customWidth="1"/>
    <col min="8" max="8" width="17.6640625" style="70" customWidth="1"/>
    <col min="9" max="9" width="13.6640625" style="70" customWidth="1"/>
    <col min="10" max="10" width="14.44140625" style="70" customWidth="1"/>
    <col min="11" max="11" width="21.6640625" style="70" customWidth="1"/>
    <col min="12" max="12" width="13.109375" style="70" customWidth="1"/>
    <col min="13" max="13" width="8" style="212" customWidth="1"/>
    <col min="14" max="14" width="30.77734375" style="70" customWidth="1"/>
    <col min="15" max="15" width="22.77734375" style="70" customWidth="1"/>
    <col min="16" max="16" width="12.77734375" style="70" customWidth="1"/>
    <col min="17" max="17" width="27.44140625" style="70" customWidth="1"/>
    <col min="18" max="18" width="17.6640625" style="70" customWidth="1"/>
    <col min="19" max="20" width="13.77734375" style="70" customWidth="1"/>
    <col min="21" max="21" width="24" style="70" customWidth="1"/>
    <col min="22" max="22" width="11.44140625" style="70"/>
    <col min="23" max="23" width="13.77734375" style="70" customWidth="1"/>
    <col min="24" max="16384" width="11.44140625" style="70"/>
  </cols>
  <sheetData>
    <row r="1" spans="1:22" s="64" customFormat="1" ht="21" x14ac:dyDescent="0.3">
      <c r="A1" s="63" t="s">
        <v>497</v>
      </c>
      <c r="M1" s="211"/>
    </row>
    <row r="2" spans="1:22" s="64" customFormat="1" ht="18.600000000000001" thickBot="1" x14ac:dyDescent="0.35">
      <c r="B2" s="65"/>
      <c r="M2" s="211"/>
    </row>
    <row r="3" spans="1:22" s="64" customFormat="1" ht="28.8" x14ac:dyDescent="0.3">
      <c r="A3" s="66" t="s">
        <v>247</v>
      </c>
      <c r="B3" s="67" t="s">
        <v>248</v>
      </c>
      <c r="C3" s="68"/>
      <c r="D3" s="69"/>
      <c r="F3" s="67" t="s">
        <v>498</v>
      </c>
      <c r="G3" s="68"/>
      <c r="H3" s="69"/>
      <c r="J3" s="70" t="s">
        <v>322</v>
      </c>
      <c r="K3" s="70"/>
      <c r="L3" s="226"/>
      <c r="M3" s="212"/>
      <c r="Q3" s="70"/>
      <c r="R3" s="70"/>
      <c r="S3" s="70"/>
      <c r="U3" s="96"/>
    </row>
    <row r="4" spans="1:22" ht="57.6" x14ac:dyDescent="0.3">
      <c r="B4" s="72" t="s">
        <v>250</v>
      </c>
      <c r="C4" s="73" t="s">
        <v>251</v>
      </c>
      <c r="D4" s="74" t="s">
        <v>252</v>
      </c>
      <c r="F4" s="72" t="s">
        <v>250</v>
      </c>
      <c r="G4" s="73" t="s">
        <v>251</v>
      </c>
      <c r="H4" s="74" t="s">
        <v>252</v>
      </c>
      <c r="J4" s="97" t="s">
        <v>499</v>
      </c>
      <c r="K4" s="213" t="s">
        <v>251</v>
      </c>
      <c r="L4" s="97" t="s">
        <v>324</v>
      </c>
      <c r="R4" s="336"/>
    </row>
    <row r="5" spans="1:22" ht="28.8" x14ac:dyDescent="0.3">
      <c r="B5" s="72" t="s">
        <v>253</v>
      </c>
      <c r="C5" s="475">
        <f>IF(Macro!$D$8=1,2500,IF(Macro!$D$8=2,25000,75000))</f>
        <v>25000</v>
      </c>
      <c r="D5" s="74" t="s">
        <v>500</v>
      </c>
      <c r="F5" s="72" t="s">
        <v>253</v>
      </c>
      <c r="G5" s="214">
        <f>C31</f>
        <v>16631.182823682495</v>
      </c>
      <c r="H5" s="74" t="s">
        <v>326</v>
      </c>
      <c r="J5" s="73" t="s">
        <v>234</v>
      </c>
      <c r="K5" s="830">
        <v>0.02</v>
      </c>
      <c r="L5" s="215">
        <v>0.02</v>
      </c>
      <c r="N5" s="337"/>
      <c r="R5" s="336"/>
      <c r="V5" s="94"/>
    </row>
    <row r="6" spans="1:22" ht="30.45" customHeight="1" x14ac:dyDescent="0.3">
      <c r="B6" s="72" t="s">
        <v>257</v>
      </c>
      <c r="C6" s="77">
        <f>C5*1000/Battery!C3</f>
        <v>43374.539145521579</v>
      </c>
      <c r="D6" s="74" t="s">
        <v>184</v>
      </c>
      <c r="F6" s="85" t="s">
        <v>253</v>
      </c>
      <c r="G6" s="216">
        <f>G5/G7/G8</f>
        <v>2.0998968211720324</v>
      </c>
      <c r="H6" s="87" t="s">
        <v>501</v>
      </c>
      <c r="J6" s="73" t="s">
        <v>502</v>
      </c>
      <c r="K6" s="830">
        <v>0.02</v>
      </c>
      <c r="L6" s="215">
        <v>0.02</v>
      </c>
      <c r="N6" s="338"/>
      <c r="R6" s="336"/>
      <c r="V6" s="91"/>
    </row>
    <row r="7" spans="1:22" ht="28.8" x14ac:dyDescent="0.3">
      <c r="B7" s="72" t="s">
        <v>503</v>
      </c>
      <c r="C7" s="800">
        <v>5</v>
      </c>
      <c r="D7" s="74" t="s">
        <v>261</v>
      </c>
      <c r="F7" s="72" t="s">
        <v>504</v>
      </c>
      <c r="G7" s="76" t="str">
        <f>Macro!D16</f>
        <v>330</v>
      </c>
      <c r="H7" s="74" t="s">
        <v>505</v>
      </c>
      <c r="I7" s="217"/>
      <c r="J7" s="73" t="s">
        <v>506</v>
      </c>
      <c r="K7" s="830">
        <v>0.01</v>
      </c>
      <c r="L7" s="215">
        <v>0.01</v>
      </c>
      <c r="N7" s="91"/>
      <c r="R7" s="339"/>
      <c r="V7" s="218"/>
    </row>
    <row r="8" spans="1:22" ht="15" thickBot="1" x14ac:dyDescent="0.35">
      <c r="B8" s="78" t="s">
        <v>264</v>
      </c>
      <c r="C8" s="829">
        <v>2</v>
      </c>
      <c r="D8" s="79" t="s">
        <v>265</v>
      </c>
      <c r="F8" s="78" t="s">
        <v>507</v>
      </c>
      <c r="G8" s="95">
        <f>Macro!D20*8</f>
        <v>24</v>
      </c>
      <c r="H8" s="79" t="s">
        <v>508</v>
      </c>
      <c r="I8" s="94"/>
      <c r="N8" s="340"/>
      <c r="V8" s="94"/>
    </row>
    <row r="9" spans="1:22" x14ac:dyDescent="0.3">
      <c r="C9" s="81"/>
      <c r="D9" s="81"/>
      <c r="I9" s="91"/>
      <c r="J9" s="91"/>
      <c r="Q9" s="91"/>
      <c r="R9" s="341"/>
      <c r="T9" s="236"/>
      <c r="V9" s="91"/>
    </row>
    <row r="10" spans="1:22" x14ac:dyDescent="0.3">
      <c r="C10" s="81"/>
      <c r="D10" s="81"/>
      <c r="I10" s="91"/>
      <c r="J10" s="91"/>
      <c r="V10" s="91"/>
    </row>
    <row r="11" spans="1:22" x14ac:dyDescent="0.3">
      <c r="C11" s="219"/>
      <c r="D11" s="219"/>
      <c r="R11" s="336"/>
      <c r="V11" s="91"/>
    </row>
    <row r="12" spans="1:22" x14ac:dyDescent="0.3">
      <c r="A12" s="96" t="s">
        <v>280</v>
      </c>
      <c r="C12" s="220"/>
      <c r="D12" s="220"/>
    </row>
    <row r="13" spans="1:22" x14ac:dyDescent="0.3">
      <c r="A13" s="97" t="s">
        <v>281</v>
      </c>
      <c r="B13" s="98" t="s">
        <v>13</v>
      </c>
      <c r="C13" s="98" t="s">
        <v>251</v>
      </c>
      <c r="D13" s="98" t="s">
        <v>252</v>
      </c>
      <c r="E13" s="99" t="s">
        <v>282</v>
      </c>
      <c r="F13" s="99" t="s">
        <v>251</v>
      </c>
      <c r="G13" s="100" t="s">
        <v>252</v>
      </c>
      <c r="H13" s="101" t="s">
        <v>283</v>
      </c>
      <c r="I13" s="101" t="s">
        <v>509</v>
      </c>
      <c r="J13" s="101" t="s">
        <v>252</v>
      </c>
      <c r="K13" s="102" t="s">
        <v>284</v>
      </c>
      <c r="L13" s="102" t="s">
        <v>251</v>
      </c>
      <c r="M13" s="103" t="s">
        <v>252</v>
      </c>
      <c r="N13" s="97" t="s">
        <v>285</v>
      </c>
      <c r="O13" s="97" t="s">
        <v>298</v>
      </c>
      <c r="V13" s="81"/>
    </row>
    <row r="14" spans="1:22" x14ac:dyDescent="0.3">
      <c r="A14" s="106" t="s">
        <v>286</v>
      </c>
      <c r="B14" s="86"/>
      <c r="C14" s="86"/>
      <c r="D14" s="86"/>
      <c r="E14" s="86"/>
      <c r="F14" s="86"/>
      <c r="G14" s="86"/>
      <c r="H14" s="86"/>
      <c r="I14" s="86"/>
      <c r="J14" s="86"/>
      <c r="K14" s="86"/>
      <c r="L14" s="86"/>
      <c r="M14" s="107"/>
      <c r="N14" s="86"/>
      <c r="O14" s="110"/>
      <c r="P14" s="104"/>
      <c r="V14" s="91"/>
    </row>
    <row r="15" spans="1:22" x14ac:dyDescent="0.3">
      <c r="A15" s="108"/>
      <c r="B15" s="108" t="s">
        <v>1044</v>
      </c>
      <c r="C15" s="342">
        <f>C5</f>
        <v>25000</v>
      </c>
      <c r="D15" s="109" t="s">
        <v>288</v>
      </c>
      <c r="E15" s="110"/>
      <c r="F15" s="110"/>
      <c r="G15" s="110"/>
      <c r="H15" s="110"/>
      <c r="I15" s="110"/>
      <c r="J15" s="110"/>
      <c r="K15" s="110"/>
      <c r="L15" s="110"/>
      <c r="M15" s="111"/>
      <c r="N15" s="110"/>
      <c r="O15" s="110"/>
      <c r="V15" s="91"/>
    </row>
    <row r="16" spans="1:22" x14ac:dyDescent="0.3">
      <c r="A16" s="108"/>
      <c r="B16" s="108"/>
      <c r="C16" s="342"/>
      <c r="D16" s="109"/>
      <c r="E16" s="110"/>
      <c r="F16" s="110"/>
      <c r="G16" s="110"/>
      <c r="H16" s="110"/>
      <c r="I16" s="110"/>
      <c r="J16" s="110"/>
      <c r="K16" s="110" t="s">
        <v>48</v>
      </c>
      <c r="L16" s="335">
        <f>C6*C7</f>
        <v>216872.6957276079</v>
      </c>
      <c r="M16" s="221" t="s">
        <v>221</v>
      </c>
      <c r="N16" s="110"/>
      <c r="O16" s="110"/>
      <c r="V16" s="91"/>
    </row>
    <row r="17" spans="1:22" x14ac:dyDescent="0.3">
      <c r="A17" s="113"/>
      <c r="B17" s="113"/>
      <c r="C17" s="343"/>
      <c r="D17" s="114"/>
      <c r="E17" s="93"/>
      <c r="F17" s="93"/>
      <c r="G17" s="93"/>
      <c r="H17" s="93"/>
      <c r="I17" s="93"/>
      <c r="J17" s="93"/>
      <c r="K17" s="93"/>
      <c r="L17" s="344"/>
      <c r="M17" s="223"/>
      <c r="N17" s="93"/>
      <c r="O17" s="93"/>
      <c r="V17" s="217"/>
    </row>
    <row r="18" spans="1:22" x14ac:dyDescent="0.3">
      <c r="A18" s="108" t="s">
        <v>248</v>
      </c>
      <c r="B18" s="86"/>
      <c r="C18" s="345"/>
      <c r="E18" s="110"/>
      <c r="F18" s="110"/>
      <c r="G18" s="110"/>
      <c r="H18" s="110"/>
      <c r="I18" s="110"/>
      <c r="J18" s="110"/>
      <c r="K18" s="110"/>
      <c r="L18" s="279"/>
      <c r="M18" s="111"/>
      <c r="N18" s="110"/>
      <c r="O18" s="110"/>
    </row>
    <row r="19" spans="1:22" x14ac:dyDescent="0.3">
      <c r="A19" s="108"/>
      <c r="B19" s="108" t="s">
        <v>1044</v>
      </c>
      <c r="C19" s="342">
        <f>C15</f>
        <v>25000</v>
      </c>
      <c r="D19" s="109" t="s">
        <v>288</v>
      </c>
      <c r="E19" s="110"/>
      <c r="F19" s="110"/>
      <c r="G19" s="110"/>
      <c r="H19" s="110"/>
      <c r="I19" s="110"/>
      <c r="J19" s="110"/>
      <c r="K19" s="110"/>
      <c r="L19" s="279"/>
      <c r="M19" s="111"/>
      <c r="N19" s="110"/>
      <c r="O19" s="110"/>
    </row>
    <row r="20" spans="1:22" ht="28.8" x14ac:dyDescent="0.3">
      <c r="A20" s="108"/>
      <c r="B20" s="108"/>
      <c r="C20" s="109"/>
      <c r="D20" s="109"/>
      <c r="E20" s="110"/>
      <c r="F20" s="110"/>
      <c r="G20" s="110"/>
      <c r="H20" s="110"/>
      <c r="I20" s="110"/>
      <c r="J20" s="110"/>
      <c r="K20" s="110" t="s">
        <v>289</v>
      </c>
      <c r="L20" s="335">
        <f>$C$5*Battery!E34*Efficiencies!E44</f>
        <v>6253.8972023422257</v>
      </c>
      <c r="M20" s="221" t="s">
        <v>288</v>
      </c>
      <c r="N20" s="110" t="s">
        <v>510</v>
      </c>
      <c r="O20" s="110"/>
    </row>
    <row r="21" spans="1:22" ht="15" customHeight="1" x14ac:dyDescent="0.3">
      <c r="A21" s="108"/>
      <c r="B21" s="108"/>
      <c r="C21" s="110"/>
      <c r="D21" s="110"/>
      <c r="E21" s="110"/>
      <c r="F21" s="110"/>
      <c r="G21" s="110"/>
      <c r="H21" s="110"/>
      <c r="I21" s="110"/>
      <c r="J21" s="110"/>
      <c r="K21" s="110" t="s">
        <v>71</v>
      </c>
      <c r="L21" s="335">
        <f>$C$5*Battery!E35*Efficiencies!E44</f>
        <v>1567.3389720234222</v>
      </c>
      <c r="M21" s="221" t="s">
        <v>288</v>
      </c>
      <c r="N21" s="110"/>
      <c r="O21" s="110"/>
    </row>
    <row r="22" spans="1:22" x14ac:dyDescent="0.3">
      <c r="A22" s="108"/>
      <c r="B22" s="108"/>
      <c r="C22" s="110"/>
      <c r="D22" s="110"/>
      <c r="E22" s="110"/>
      <c r="F22" s="110"/>
      <c r="G22" s="110"/>
      <c r="H22" s="110"/>
      <c r="I22" s="110"/>
      <c r="J22" s="110"/>
      <c r="K22" s="110" t="s">
        <v>242</v>
      </c>
      <c r="L22" s="335">
        <f>$C$5*Battery!E36*Efficiencies!E44</f>
        <v>391.27651268705267</v>
      </c>
      <c r="M22" s="221" t="s">
        <v>288</v>
      </c>
      <c r="N22" s="110"/>
      <c r="O22" s="110"/>
    </row>
    <row r="23" spans="1:22" x14ac:dyDescent="0.3">
      <c r="A23" s="108"/>
      <c r="B23" s="108"/>
      <c r="C23" s="110"/>
      <c r="D23" s="110"/>
      <c r="E23" s="110"/>
      <c r="F23" s="110"/>
      <c r="G23" s="110"/>
      <c r="H23" s="110"/>
      <c r="I23" s="110"/>
      <c r="J23" s="110"/>
      <c r="K23" s="110" t="s">
        <v>166</v>
      </c>
      <c r="L23" s="335">
        <f>$C$5*Battery!E37*Efficiencies!E44</f>
        <v>154.58685751463889</v>
      </c>
      <c r="M23" s="221" t="s">
        <v>288</v>
      </c>
      <c r="N23" s="110" t="s">
        <v>292</v>
      </c>
      <c r="O23" s="110"/>
    </row>
    <row r="24" spans="1:22" ht="28.8" x14ac:dyDescent="0.3">
      <c r="A24" s="108"/>
      <c r="B24" s="108"/>
      <c r="C24" s="110"/>
      <c r="D24" s="110"/>
      <c r="E24" s="110"/>
      <c r="F24" s="110"/>
      <c r="G24" s="110"/>
      <c r="H24" s="110"/>
      <c r="I24" s="110"/>
      <c r="J24" s="110"/>
      <c r="K24" s="110" t="s">
        <v>243</v>
      </c>
      <c r="L24" s="335">
        <f>$C$5*Battery!E38*Efficiencies!E44</f>
        <v>0</v>
      </c>
      <c r="M24" s="221" t="s">
        <v>288</v>
      </c>
      <c r="N24" s="110" t="s">
        <v>293</v>
      </c>
      <c r="O24" s="110"/>
    </row>
    <row r="25" spans="1:22" s="104" customFormat="1" x14ac:dyDescent="0.3">
      <c r="A25" s="108"/>
      <c r="B25" s="108"/>
      <c r="C25" s="110"/>
      <c r="D25" s="110"/>
      <c r="E25" s="110"/>
      <c r="F25" s="110"/>
      <c r="G25" s="110"/>
      <c r="H25" s="110"/>
      <c r="I25" s="110"/>
      <c r="J25" s="110"/>
      <c r="K25" s="110" t="s">
        <v>168</v>
      </c>
      <c r="L25" s="335">
        <f>$C$5*Battery!E39*Efficiencies!E44</f>
        <v>0</v>
      </c>
      <c r="M25" s="221" t="s">
        <v>288</v>
      </c>
      <c r="N25" s="110" t="s">
        <v>294</v>
      </c>
      <c r="O25" s="110"/>
      <c r="P25" s="70"/>
      <c r="Q25" s="105"/>
    </row>
    <row r="26" spans="1:22" ht="28.8" x14ac:dyDescent="0.3">
      <c r="A26" s="93"/>
      <c r="B26" s="113"/>
      <c r="C26" s="93"/>
      <c r="D26" s="93"/>
      <c r="E26" s="93"/>
      <c r="F26" s="93"/>
      <c r="G26" s="113"/>
      <c r="H26" s="93"/>
      <c r="I26" s="93"/>
      <c r="J26" s="93"/>
      <c r="K26" s="113" t="s">
        <v>295</v>
      </c>
      <c r="L26" s="344">
        <f>$C$5*Battery!E40*Efficiencies!E44</f>
        <v>1.7176317501626546</v>
      </c>
      <c r="M26" s="223" t="s">
        <v>288</v>
      </c>
      <c r="N26" s="93" t="s">
        <v>296</v>
      </c>
      <c r="O26" s="93"/>
    </row>
    <row r="27" spans="1:22" x14ac:dyDescent="0.3">
      <c r="L27" s="346"/>
    </row>
    <row r="28" spans="1:22" x14ac:dyDescent="0.3">
      <c r="A28" s="779" t="s">
        <v>511</v>
      </c>
      <c r="L28" s="346"/>
    </row>
    <row r="29" spans="1:22" ht="18" customHeight="1" x14ac:dyDescent="0.3">
      <c r="A29" s="224" t="s">
        <v>281</v>
      </c>
      <c r="B29" s="98" t="s">
        <v>13</v>
      </c>
      <c r="C29" s="98" t="s">
        <v>251</v>
      </c>
      <c r="D29" s="98" t="s">
        <v>252</v>
      </c>
      <c r="E29" s="99" t="s">
        <v>282</v>
      </c>
      <c r="F29" s="99" t="s">
        <v>251</v>
      </c>
      <c r="G29" s="100" t="s">
        <v>252</v>
      </c>
      <c r="H29" s="101" t="s">
        <v>283</v>
      </c>
      <c r="I29" s="101" t="s">
        <v>509</v>
      </c>
      <c r="J29" s="101" t="s">
        <v>252</v>
      </c>
      <c r="K29" s="102" t="s">
        <v>284</v>
      </c>
      <c r="L29" s="347" t="s">
        <v>251</v>
      </c>
      <c r="M29" s="103" t="s">
        <v>252</v>
      </c>
      <c r="N29" s="97" t="s">
        <v>285</v>
      </c>
      <c r="O29" s="97" t="s">
        <v>298</v>
      </c>
      <c r="Q29" s="91"/>
    </row>
    <row r="30" spans="1:22" x14ac:dyDescent="0.3">
      <c r="A30" s="108" t="s">
        <v>176</v>
      </c>
      <c r="B30" s="86"/>
      <c r="C30" s="86"/>
      <c r="D30" s="116"/>
      <c r="E30" s="86"/>
      <c r="F30" s="86"/>
      <c r="G30" s="86"/>
      <c r="H30" s="86"/>
      <c r="I30" s="86"/>
      <c r="J30" s="86"/>
      <c r="K30" s="86"/>
      <c r="L30" s="345"/>
      <c r="M30" s="107"/>
      <c r="N30" s="86"/>
      <c r="O30" s="110"/>
      <c r="Q30" s="91"/>
      <c r="R30" s="348"/>
    </row>
    <row r="31" spans="1:22" x14ac:dyDescent="0.3">
      <c r="A31" s="108"/>
      <c r="B31" s="110" t="s">
        <v>299</v>
      </c>
      <c r="C31" s="342">
        <f>C5-SUM(L20:L26)</f>
        <v>16631.182823682495</v>
      </c>
      <c r="D31" s="109" t="s">
        <v>288</v>
      </c>
      <c r="E31" s="110"/>
      <c r="F31" s="110"/>
      <c r="G31" s="110"/>
      <c r="H31" s="110"/>
      <c r="I31" s="110"/>
      <c r="J31" s="110"/>
      <c r="K31" s="110"/>
      <c r="L31" s="279"/>
      <c r="M31" s="111"/>
      <c r="N31" s="110"/>
      <c r="O31" s="110"/>
      <c r="Q31" s="91"/>
      <c r="R31" s="348"/>
    </row>
    <row r="32" spans="1:22" ht="28.8" x14ac:dyDescent="0.3">
      <c r="A32" s="108"/>
      <c r="B32" s="110"/>
      <c r="C32" s="279"/>
      <c r="D32" s="110"/>
      <c r="E32" s="110" t="s">
        <v>154</v>
      </c>
      <c r="F32" s="359">
        <f>C31*1000*'R2_MEFA'!O32/1000</f>
        <v>432.41075341574481</v>
      </c>
      <c r="G32" s="117" t="s">
        <v>288</v>
      </c>
      <c r="H32" s="110"/>
      <c r="I32" s="110"/>
      <c r="J32" s="110"/>
      <c r="K32" s="110"/>
      <c r="L32" s="279"/>
      <c r="M32" s="111"/>
      <c r="N32" s="110" t="s">
        <v>512</v>
      </c>
      <c r="O32" s="831">
        <v>2.5999999999999999E-2</v>
      </c>
      <c r="Q32" s="91"/>
    </row>
    <row r="33" spans="1:18" x14ac:dyDescent="0.3">
      <c r="A33" s="108"/>
      <c r="B33" s="110"/>
      <c r="C33" s="279"/>
      <c r="D33" s="110"/>
      <c r="E33" s="110" t="s">
        <v>154</v>
      </c>
      <c r="F33" s="342">
        <f>F32*1000/O33</f>
        <v>345928.60273259587</v>
      </c>
      <c r="G33" s="117" t="s">
        <v>301</v>
      </c>
      <c r="H33" s="110"/>
      <c r="I33" s="110"/>
      <c r="J33" s="110"/>
      <c r="K33" s="110"/>
      <c r="L33" s="279"/>
      <c r="M33" s="111"/>
      <c r="N33" s="110" t="s">
        <v>513</v>
      </c>
      <c r="O33" s="831">
        <v>1.25</v>
      </c>
      <c r="Q33" s="91"/>
      <c r="R33" s="348"/>
    </row>
    <row r="34" spans="1:18" x14ac:dyDescent="0.3">
      <c r="A34" s="108"/>
      <c r="B34" s="110"/>
      <c r="C34" s="279"/>
      <c r="D34" s="110"/>
      <c r="E34" s="110"/>
      <c r="F34" s="108"/>
      <c r="H34" s="110" t="s">
        <v>48</v>
      </c>
      <c r="I34" s="349">
        <f>Energy!P49</f>
        <v>29024.755538973754</v>
      </c>
      <c r="J34" s="110" t="s">
        <v>221</v>
      </c>
      <c r="K34" s="110"/>
      <c r="L34" s="279"/>
      <c r="M34" s="111"/>
      <c r="N34" s="110"/>
      <c r="O34" s="108"/>
      <c r="Q34" s="91"/>
      <c r="R34" s="350"/>
    </row>
    <row r="35" spans="1:18" x14ac:dyDescent="0.3">
      <c r="A35" s="108"/>
      <c r="B35" s="110"/>
      <c r="C35" s="279"/>
      <c r="D35" s="110"/>
      <c r="E35" s="110"/>
      <c r="F35" s="109"/>
      <c r="G35" s="117"/>
      <c r="H35" s="110"/>
      <c r="I35" s="110"/>
      <c r="J35" s="110"/>
      <c r="K35" s="110" t="s">
        <v>514</v>
      </c>
      <c r="L35" s="279">
        <f>C31</f>
        <v>16631.182823682495</v>
      </c>
      <c r="M35" s="111" t="s">
        <v>288</v>
      </c>
      <c r="N35" s="110"/>
      <c r="O35" s="110"/>
    </row>
    <row r="36" spans="1:18" x14ac:dyDescent="0.3">
      <c r="A36" s="108"/>
      <c r="B36" s="110"/>
      <c r="C36" s="279"/>
      <c r="D36" s="110"/>
      <c r="E36" s="110"/>
      <c r="F36" s="117"/>
      <c r="G36" s="117"/>
      <c r="H36" s="110"/>
      <c r="I36" s="110"/>
      <c r="J36" s="110"/>
      <c r="K36" s="110"/>
      <c r="L36" s="279"/>
      <c r="M36" s="111"/>
      <c r="N36" s="110"/>
      <c r="O36" s="93"/>
    </row>
    <row r="37" spans="1:18" x14ac:dyDescent="0.3">
      <c r="A37" s="106" t="s">
        <v>177</v>
      </c>
      <c r="B37" s="86"/>
      <c r="C37" s="345"/>
      <c r="D37" s="86"/>
      <c r="E37" s="86"/>
      <c r="F37" s="225"/>
      <c r="G37" s="225"/>
      <c r="H37" s="86"/>
      <c r="I37" s="86"/>
      <c r="J37" s="86"/>
      <c r="K37" s="86"/>
      <c r="L37" s="345"/>
      <c r="M37" s="107"/>
      <c r="N37" s="86"/>
      <c r="O37" s="110"/>
    </row>
    <row r="38" spans="1:18" x14ac:dyDescent="0.3">
      <c r="A38" s="108"/>
      <c r="B38" s="110" t="s">
        <v>514</v>
      </c>
      <c r="C38" s="279">
        <f>L35</f>
        <v>16631.182823682495</v>
      </c>
      <c r="D38" s="110" t="s">
        <v>288</v>
      </c>
      <c r="E38" s="110"/>
      <c r="F38" s="117"/>
      <c r="G38" s="117"/>
      <c r="H38" s="110"/>
      <c r="I38" s="110"/>
      <c r="J38" s="110"/>
      <c r="K38" s="110"/>
      <c r="L38" s="279"/>
      <c r="M38" s="111"/>
      <c r="N38" s="110"/>
      <c r="O38" s="110"/>
    </row>
    <row r="39" spans="1:18" x14ac:dyDescent="0.3">
      <c r="A39" s="108"/>
      <c r="B39" s="110"/>
      <c r="C39" s="279"/>
      <c r="D39" s="110"/>
      <c r="F39" s="117"/>
      <c r="G39" s="117"/>
      <c r="H39" s="110" t="s">
        <v>515</v>
      </c>
      <c r="I39" s="110">
        <v>0</v>
      </c>
      <c r="J39" s="110" t="s">
        <v>301</v>
      </c>
      <c r="K39" s="110"/>
      <c r="L39" s="279"/>
      <c r="M39" s="111"/>
      <c r="N39" s="110"/>
      <c r="O39" s="110"/>
    </row>
    <row r="40" spans="1:18" x14ac:dyDescent="0.3">
      <c r="A40" s="108"/>
      <c r="B40" s="110"/>
      <c r="C40" s="279"/>
      <c r="D40" s="110"/>
      <c r="F40" s="117"/>
      <c r="G40" s="117"/>
      <c r="H40" s="110" t="s">
        <v>515</v>
      </c>
      <c r="I40" s="110">
        <v>0</v>
      </c>
      <c r="J40" s="110" t="s">
        <v>288</v>
      </c>
      <c r="K40" s="110"/>
      <c r="L40" s="279"/>
      <c r="M40" s="111"/>
      <c r="N40" s="110"/>
      <c r="O40" s="110"/>
    </row>
    <row r="41" spans="1:18" x14ac:dyDescent="0.3">
      <c r="A41" s="108"/>
      <c r="B41" s="110"/>
      <c r="C41" s="279"/>
      <c r="D41" s="110"/>
      <c r="F41" s="117"/>
      <c r="G41" s="117"/>
      <c r="H41" s="110" t="s">
        <v>48</v>
      </c>
      <c r="I41" s="349">
        <f>Energy!P50</f>
        <v>40634.657754563246</v>
      </c>
      <c r="J41" s="110" t="s">
        <v>221</v>
      </c>
      <c r="K41" s="110"/>
      <c r="L41" s="279"/>
      <c r="M41" s="111"/>
      <c r="N41" s="110"/>
      <c r="O41" s="110"/>
    </row>
    <row r="42" spans="1:18" x14ac:dyDescent="0.3">
      <c r="A42" s="108"/>
      <c r="B42" s="110"/>
      <c r="C42" s="279"/>
      <c r="D42" s="110"/>
      <c r="F42" s="117"/>
      <c r="G42" s="117"/>
      <c r="H42" s="110"/>
      <c r="I42" s="110"/>
      <c r="J42" s="110"/>
      <c r="K42" s="110" t="s">
        <v>516</v>
      </c>
      <c r="L42" s="634">
        <f>IF(Macro!D14=TRUE,C5*Battery!E19,0)</f>
        <v>0</v>
      </c>
      <c r="M42" s="111" t="s">
        <v>288</v>
      </c>
      <c r="N42" s="110"/>
      <c r="O42" s="110"/>
    </row>
    <row r="43" spans="1:18" x14ac:dyDescent="0.3">
      <c r="A43" s="108"/>
      <c r="B43" s="110"/>
      <c r="C43" s="279"/>
      <c r="D43" s="110"/>
      <c r="F43" s="117"/>
      <c r="G43" s="117"/>
      <c r="H43" s="110"/>
      <c r="I43" s="110"/>
      <c r="J43" s="110"/>
      <c r="K43" s="110" t="s">
        <v>514</v>
      </c>
      <c r="L43" s="351">
        <f>C38-L42-L44</f>
        <v>14278.547820429405</v>
      </c>
      <c r="M43" s="111" t="s">
        <v>288</v>
      </c>
      <c r="N43" s="110"/>
      <c r="O43" s="110"/>
    </row>
    <row r="44" spans="1:18" ht="28.8" x14ac:dyDescent="0.3">
      <c r="A44" s="108"/>
      <c r="B44" s="110"/>
      <c r="C44" s="279"/>
      <c r="D44" s="110"/>
      <c r="F44" s="117"/>
      <c r="G44" s="117"/>
      <c r="H44" s="110"/>
      <c r="I44" s="110"/>
      <c r="J44" s="110"/>
      <c r="K44" s="110" t="s">
        <v>517</v>
      </c>
      <c r="L44" s="351">
        <f>IF(Macro!D14=FALSE,C5*Battery!E19,0)</f>
        <v>2352.6350032530904</v>
      </c>
      <c r="M44" s="111" t="s">
        <v>288</v>
      </c>
      <c r="N44" s="110" t="s">
        <v>518</v>
      </c>
      <c r="O44" s="110"/>
    </row>
    <row r="45" spans="1:18" x14ac:dyDescent="0.3">
      <c r="A45" s="113"/>
      <c r="B45" s="93"/>
      <c r="C45" s="352"/>
      <c r="D45" s="93"/>
      <c r="E45" s="226"/>
      <c r="F45" s="222"/>
      <c r="G45" s="222"/>
      <c r="H45" s="93"/>
      <c r="I45" s="93"/>
      <c r="J45" s="93"/>
      <c r="K45" s="93"/>
      <c r="L45" s="352"/>
      <c r="M45" s="227"/>
      <c r="N45" s="93"/>
      <c r="O45" s="93"/>
    </row>
    <row r="46" spans="1:18" x14ac:dyDescent="0.3">
      <c r="A46" s="108" t="s">
        <v>185</v>
      </c>
      <c r="B46" s="110"/>
      <c r="C46" s="279"/>
      <c r="D46" s="110"/>
      <c r="F46" s="117"/>
      <c r="G46" s="117"/>
      <c r="H46" s="110"/>
      <c r="I46" s="110"/>
      <c r="J46" s="110"/>
      <c r="K46" s="110"/>
      <c r="L46" s="279"/>
      <c r="M46" s="111"/>
      <c r="N46" s="110"/>
      <c r="O46" s="110"/>
    </row>
    <row r="47" spans="1:18" x14ac:dyDescent="0.3">
      <c r="A47" s="108"/>
      <c r="B47" s="110" t="s">
        <v>517</v>
      </c>
      <c r="C47" s="279">
        <f>(L44)/O47</f>
        <v>1188199.49659247</v>
      </c>
      <c r="D47" s="110" t="s">
        <v>301</v>
      </c>
      <c r="F47" s="117"/>
      <c r="G47" s="117"/>
      <c r="H47" s="110"/>
      <c r="I47" s="110"/>
      <c r="J47" s="110"/>
      <c r="K47" s="110"/>
      <c r="L47" s="279"/>
      <c r="M47" s="111"/>
      <c r="N47" s="110" t="s">
        <v>519</v>
      </c>
      <c r="O47" s="831">
        <v>1.98E-3</v>
      </c>
    </row>
    <row r="48" spans="1:18" x14ac:dyDescent="0.3">
      <c r="A48" s="108"/>
      <c r="B48" s="110"/>
      <c r="C48" s="279"/>
      <c r="D48" s="110"/>
      <c r="F48" s="117"/>
      <c r="G48" s="117"/>
      <c r="H48" s="110" t="s">
        <v>48</v>
      </c>
      <c r="I48" s="342">
        <f>IF(Macro!D14=TRUE,0,Energy!P51)</f>
        <v>144581.7971517386</v>
      </c>
      <c r="J48" s="110" t="s">
        <v>221</v>
      </c>
      <c r="K48" s="110"/>
      <c r="L48" s="279"/>
      <c r="M48" s="111"/>
      <c r="N48" s="110"/>
      <c r="O48" s="110"/>
    </row>
    <row r="49" spans="1:15" x14ac:dyDescent="0.3">
      <c r="A49" s="108"/>
      <c r="B49" s="110"/>
      <c r="C49" s="279"/>
      <c r="D49" s="110"/>
      <c r="F49" s="117"/>
      <c r="G49" s="117"/>
      <c r="H49" s="110"/>
      <c r="I49" s="110"/>
      <c r="J49" s="110"/>
      <c r="K49" s="110" t="s">
        <v>517</v>
      </c>
      <c r="L49" s="279">
        <f>C47</f>
        <v>1188199.49659247</v>
      </c>
      <c r="M49" s="111" t="s">
        <v>301</v>
      </c>
      <c r="N49" s="110"/>
      <c r="O49" s="110"/>
    </row>
    <row r="50" spans="1:15" x14ac:dyDescent="0.3">
      <c r="A50" s="108"/>
      <c r="B50" s="110"/>
      <c r="C50" s="279"/>
      <c r="D50" s="110"/>
      <c r="F50" s="117"/>
      <c r="G50" s="117"/>
      <c r="H50" s="110"/>
      <c r="I50" s="110"/>
      <c r="J50" s="110"/>
      <c r="K50" s="110"/>
      <c r="L50" s="279"/>
      <c r="M50" s="111"/>
      <c r="N50" s="110"/>
      <c r="O50" s="110"/>
    </row>
    <row r="51" spans="1:15" x14ac:dyDescent="0.3">
      <c r="A51" s="106" t="s">
        <v>181</v>
      </c>
      <c r="B51" s="86"/>
      <c r="C51" s="345"/>
      <c r="D51" s="86"/>
      <c r="E51" s="625"/>
      <c r="F51" s="116"/>
      <c r="G51" s="116"/>
      <c r="H51" s="86"/>
      <c r="I51" s="86"/>
      <c r="J51" s="86"/>
      <c r="K51" s="86"/>
      <c r="L51" s="345"/>
      <c r="M51" s="107"/>
      <c r="N51" s="86"/>
      <c r="O51" s="86"/>
    </row>
    <row r="52" spans="1:15" x14ac:dyDescent="0.3">
      <c r="A52" s="108"/>
      <c r="B52" s="110" t="s">
        <v>516</v>
      </c>
      <c r="C52" s="279">
        <f>IF(Macro!D14=TRUE,L42,0)</f>
        <v>0</v>
      </c>
      <c r="D52" s="110" t="s">
        <v>288</v>
      </c>
      <c r="F52" s="109"/>
      <c r="G52" s="109"/>
      <c r="H52" s="110"/>
      <c r="I52" s="110"/>
      <c r="J52" s="110"/>
      <c r="K52" s="110"/>
      <c r="L52" s="279"/>
      <c r="M52" s="111"/>
      <c r="N52" s="110"/>
      <c r="O52" s="110"/>
    </row>
    <row r="53" spans="1:15" x14ac:dyDescent="0.3">
      <c r="A53" s="108"/>
      <c r="B53" s="110"/>
      <c r="C53" s="279"/>
      <c r="D53" s="110"/>
      <c r="F53" s="109"/>
      <c r="G53" s="109"/>
      <c r="H53" s="110" t="s">
        <v>48</v>
      </c>
      <c r="I53" s="342">
        <f>Energy!P57</f>
        <v>0</v>
      </c>
      <c r="J53" s="110" t="s">
        <v>221</v>
      </c>
      <c r="K53" s="110"/>
      <c r="L53" s="279"/>
      <c r="M53" s="111"/>
      <c r="N53" s="110"/>
      <c r="O53" s="110"/>
    </row>
    <row r="54" spans="1:15" x14ac:dyDescent="0.3">
      <c r="A54" s="108"/>
      <c r="B54" s="110"/>
      <c r="C54" s="279"/>
      <c r="D54" s="110"/>
      <c r="F54" s="109"/>
      <c r="G54" s="109"/>
      <c r="H54" s="110"/>
      <c r="I54" s="110"/>
      <c r="J54" s="110"/>
      <c r="K54" s="110" t="s">
        <v>520</v>
      </c>
      <c r="L54" s="279">
        <f>C52*Efficiencies!E46</f>
        <v>0</v>
      </c>
      <c r="M54" s="111" t="s">
        <v>288</v>
      </c>
      <c r="N54" s="110"/>
      <c r="O54" s="110"/>
    </row>
    <row r="55" spans="1:15" x14ac:dyDescent="0.3">
      <c r="A55" s="113"/>
      <c r="B55" s="93"/>
      <c r="C55" s="352"/>
      <c r="D55" s="93"/>
      <c r="E55" s="226"/>
      <c r="F55" s="114"/>
      <c r="G55" s="114"/>
      <c r="H55" s="93"/>
      <c r="I55" s="93"/>
      <c r="J55" s="93"/>
      <c r="K55" s="93"/>
      <c r="L55" s="352"/>
      <c r="M55" s="227"/>
      <c r="N55" s="93"/>
      <c r="O55" s="93"/>
    </row>
    <row r="56" spans="1:15" x14ac:dyDescent="0.3">
      <c r="A56" s="108" t="s">
        <v>178</v>
      </c>
      <c r="B56" s="110"/>
      <c r="C56" s="279"/>
      <c r="D56" s="110"/>
      <c r="F56" s="117"/>
      <c r="G56" s="117"/>
      <c r="H56" s="110"/>
      <c r="I56" s="110"/>
      <c r="J56" s="110"/>
      <c r="K56" s="110"/>
      <c r="L56" s="279"/>
      <c r="M56" s="111"/>
      <c r="N56" s="110"/>
      <c r="O56" s="110"/>
    </row>
    <row r="57" spans="1:15" x14ac:dyDescent="0.3">
      <c r="A57" s="108"/>
      <c r="B57" s="110" t="s">
        <v>514</v>
      </c>
      <c r="C57" s="279">
        <f>L43</f>
        <v>14278.547820429405</v>
      </c>
      <c r="D57" s="110" t="s">
        <v>288</v>
      </c>
      <c r="F57" s="117"/>
      <c r="G57" s="117"/>
      <c r="H57" s="110"/>
      <c r="I57" s="110"/>
      <c r="J57" s="110"/>
      <c r="K57" s="110"/>
      <c r="L57" s="279"/>
      <c r="M57" s="111"/>
      <c r="N57" s="110"/>
      <c r="O57" s="110"/>
    </row>
    <row r="58" spans="1:15" x14ac:dyDescent="0.3">
      <c r="A58" s="108"/>
      <c r="B58" s="110"/>
      <c r="C58" s="279"/>
      <c r="D58" s="110"/>
      <c r="F58" s="117"/>
      <c r="G58" s="117"/>
      <c r="H58" s="110" t="s">
        <v>48</v>
      </c>
      <c r="I58" s="349">
        <v>0</v>
      </c>
      <c r="J58" s="110" t="s">
        <v>221</v>
      </c>
      <c r="K58" s="110"/>
      <c r="L58" s="279"/>
      <c r="M58" s="111"/>
      <c r="N58" s="110"/>
      <c r="O58" s="110"/>
    </row>
    <row r="59" spans="1:15" x14ac:dyDescent="0.3">
      <c r="A59" s="108"/>
      <c r="B59" s="110"/>
      <c r="C59" s="279"/>
      <c r="D59" s="110"/>
      <c r="F59" s="117"/>
      <c r="G59" s="117"/>
      <c r="H59" s="110"/>
      <c r="I59" s="110"/>
      <c r="J59" s="110"/>
      <c r="K59" s="110" t="s">
        <v>521</v>
      </c>
      <c r="L59" s="689">
        <f>$C$5*Battery!E26*Efficiencies!E47</f>
        <v>716.66883539362391</v>
      </c>
      <c r="M59" s="111" t="s">
        <v>288</v>
      </c>
      <c r="N59" s="110"/>
      <c r="O59" s="110"/>
    </row>
    <row r="60" spans="1:15" x14ac:dyDescent="0.3">
      <c r="A60" s="108"/>
      <c r="B60" s="110"/>
      <c r="C60" s="279"/>
      <c r="D60" s="110"/>
      <c r="F60" s="117"/>
      <c r="G60" s="117"/>
      <c r="H60" s="110"/>
      <c r="I60" s="110"/>
      <c r="J60" s="110"/>
      <c r="K60" s="110" t="s">
        <v>522</v>
      </c>
      <c r="L60" s="689">
        <f>C5*Battery!E20*(1-K7)*Efficiencies!E47</f>
        <v>0</v>
      </c>
      <c r="M60" s="111" t="s">
        <v>288</v>
      </c>
      <c r="N60" s="110" t="s">
        <v>523</v>
      </c>
      <c r="O60" s="110"/>
    </row>
    <row r="61" spans="1:15" x14ac:dyDescent="0.3">
      <c r="A61" s="108"/>
      <c r="B61" s="110"/>
      <c r="C61" s="279"/>
      <c r="D61" s="110"/>
      <c r="F61" s="117"/>
      <c r="G61" s="117"/>
      <c r="H61" s="110"/>
      <c r="I61" s="110"/>
      <c r="J61" s="110"/>
      <c r="K61" s="110" t="s">
        <v>514</v>
      </c>
      <c r="L61" s="353">
        <f>C57-L59-L60</f>
        <v>13561.878985035781</v>
      </c>
      <c r="M61" s="111" t="s">
        <v>288</v>
      </c>
      <c r="N61" s="110"/>
      <c r="O61" s="110"/>
    </row>
    <row r="62" spans="1:15" x14ac:dyDescent="0.3">
      <c r="A62" s="113"/>
      <c r="B62" s="93"/>
      <c r="C62" s="352"/>
      <c r="D62" s="93"/>
      <c r="E62" s="93"/>
      <c r="F62" s="228"/>
      <c r="G62" s="228"/>
      <c r="H62" s="93"/>
      <c r="I62" s="93"/>
      <c r="J62" s="93"/>
      <c r="K62" s="93"/>
      <c r="L62" s="354"/>
      <c r="M62" s="229"/>
      <c r="N62" s="93"/>
      <c r="O62" s="93"/>
    </row>
    <row r="63" spans="1:15" x14ac:dyDescent="0.3">
      <c r="A63" s="108" t="s">
        <v>179</v>
      </c>
      <c r="B63" s="110"/>
      <c r="C63" s="279"/>
      <c r="D63" s="110"/>
      <c r="E63" s="230"/>
      <c r="F63" s="118"/>
      <c r="G63" s="118"/>
      <c r="H63" s="110"/>
      <c r="I63" s="110"/>
      <c r="J63" s="110"/>
      <c r="K63" s="110"/>
      <c r="L63" s="346"/>
      <c r="M63" s="231"/>
      <c r="N63" s="110"/>
      <c r="O63" s="178"/>
    </row>
    <row r="64" spans="1:15" x14ac:dyDescent="0.3">
      <c r="A64" s="108"/>
      <c r="B64" s="110" t="s">
        <v>514</v>
      </c>
      <c r="C64" s="279">
        <f>L61</f>
        <v>13561.878985035781</v>
      </c>
      <c r="D64" s="110" t="s">
        <v>288</v>
      </c>
      <c r="E64" s="230"/>
      <c r="F64" s="118"/>
      <c r="G64" s="118"/>
      <c r="H64" s="110"/>
      <c r="I64" s="110"/>
      <c r="J64" s="110"/>
      <c r="K64" s="110"/>
      <c r="L64" s="346"/>
      <c r="M64" s="231"/>
      <c r="N64" s="110"/>
      <c r="O64" s="178"/>
    </row>
    <row r="65" spans="1:15" x14ac:dyDescent="0.3">
      <c r="A65" s="108"/>
      <c r="B65" s="110"/>
      <c r="C65" s="279"/>
      <c r="D65" s="110"/>
      <c r="E65" s="230"/>
      <c r="F65" s="118"/>
      <c r="G65" s="118"/>
      <c r="H65" s="110" t="s">
        <v>48</v>
      </c>
      <c r="I65" s="349">
        <f>Energy!P53</f>
        <v>18490.438715835469</v>
      </c>
      <c r="J65" s="110" t="s">
        <v>221</v>
      </c>
      <c r="K65" s="110"/>
      <c r="L65" s="346"/>
      <c r="M65" s="231"/>
      <c r="N65" s="110"/>
      <c r="O65" s="178"/>
    </row>
    <row r="66" spans="1:15" x14ac:dyDescent="0.3">
      <c r="A66" s="108"/>
      <c r="B66" s="110"/>
      <c r="C66" s="279"/>
      <c r="D66" s="110"/>
      <c r="E66" s="230"/>
      <c r="F66" s="118"/>
      <c r="G66" s="118"/>
      <c r="H66" s="110"/>
      <c r="I66" s="110"/>
      <c r="J66" s="110"/>
      <c r="K66" s="110" t="s">
        <v>524</v>
      </c>
      <c r="L66" s="351">
        <f>$C$5*Battery!E25*Efficiencies!E48</f>
        <v>496.11797874647573</v>
      </c>
      <c r="M66" s="231" t="s">
        <v>288</v>
      </c>
      <c r="N66" s="110"/>
      <c r="O66" s="178"/>
    </row>
    <row r="67" spans="1:15" x14ac:dyDescent="0.3">
      <c r="A67" s="108"/>
      <c r="B67" s="110"/>
      <c r="C67" s="279"/>
      <c r="D67" s="110"/>
      <c r="E67" s="230"/>
      <c r="F67" s="118"/>
      <c r="G67" s="118"/>
      <c r="H67" s="110"/>
      <c r="I67" s="110"/>
      <c r="J67" s="110"/>
      <c r="K67" s="110" t="s">
        <v>525</v>
      </c>
      <c r="L67" s="351">
        <f>$C$5*Battery!E27*Efficiencies!E49</f>
        <v>92.986337020169159</v>
      </c>
      <c r="M67" s="231" t="s">
        <v>288</v>
      </c>
      <c r="N67" s="110" t="s">
        <v>526</v>
      </c>
      <c r="O67" s="110"/>
    </row>
    <row r="68" spans="1:15" ht="28.8" x14ac:dyDescent="0.3">
      <c r="A68" s="108"/>
      <c r="B68" s="110"/>
      <c r="C68" s="279"/>
      <c r="D68" s="110"/>
      <c r="E68" s="110"/>
      <c r="F68" s="110"/>
      <c r="G68" s="110"/>
      <c r="H68" s="110"/>
      <c r="I68" s="119"/>
      <c r="J68" s="119"/>
      <c r="K68" s="110" t="s">
        <v>166</v>
      </c>
      <c r="L68" s="351">
        <f>$C$5*Battery!E28*Efficiencies!E49</f>
        <v>35.914118412491867</v>
      </c>
      <c r="M68" s="231" t="s">
        <v>288</v>
      </c>
      <c r="N68" s="110" t="s">
        <v>527</v>
      </c>
      <c r="O68" s="110"/>
    </row>
    <row r="69" spans="1:15" x14ac:dyDescent="0.3">
      <c r="B69" s="110"/>
      <c r="C69" s="279"/>
      <c r="D69" s="110"/>
      <c r="E69" s="110"/>
      <c r="F69" s="110"/>
      <c r="G69" s="110"/>
      <c r="H69" s="110"/>
      <c r="I69" s="119"/>
      <c r="J69" s="119"/>
      <c r="K69" s="110" t="s">
        <v>528</v>
      </c>
      <c r="L69" s="351">
        <f>$C$5*Battery!E29*Efficiencies!E48</f>
        <v>0</v>
      </c>
      <c r="M69" s="232"/>
      <c r="N69" s="110"/>
      <c r="O69" s="110"/>
    </row>
    <row r="70" spans="1:15" x14ac:dyDescent="0.3">
      <c r="B70" s="110"/>
      <c r="C70" s="279"/>
      <c r="D70" s="110"/>
      <c r="E70" s="110"/>
      <c r="F70" s="110"/>
      <c r="G70" s="110"/>
      <c r="H70" s="110"/>
      <c r="I70" s="119"/>
      <c r="J70" s="119"/>
      <c r="K70" s="110" t="s">
        <v>514</v>
      </c>
      <c r="L70" s="351">
        <f>C64-L66-L67-L68</f>
        <v>12936.860550856645</v>
      </c>
      <c r="M70" s="232" t="s">
        <v>288</v>
      </c>
      <c r="N70" s="110"/>
      <c r="O70" s="110"/>
    </row>
    <row r="71" spans="1:15" x14ac:dyDescent="0.3">
      <c r="A71" s="226"/>
      <c r="B71" s="93"/>
      <c r="C71" s="352"/>
      <c r="D71" s="93"/>
      <c r="E71" s="93"/>
      <c r="F71" s="93"/>
      <c r="G71" s="93"/>
      <c r="H71" s="93"/>
      <c r="I71" s="120"/>
      <c r="J71" s="120"/>
      <c r="K71" s="93"/>
      <c r="L71" s="355"/>
      <c r="M71" s="233"/>
      <c r="N71" s="93"/>
      <c r="O71" s="93"/>
    </row>
    <row r="72" spans="1:15" x14ac:dyDescent="0.3">
      <c r="A72" s="70" t="s">
        <v>529</v>
      </c>
      <c r="B72" s="110"/>
      <c r="C72" s="279"/>
      <c r="D72" s="110"/>
      <c r="E72" s="110"/>
      <c r="F72" s="110"/>
      <c r="G72" s="110"/>
      <c r="H72" s="110"/>
      <c r="I72" s="119"/>
      <c r="J72" s="119"/>
      <c r="K72" s="110"/>
      <c r="L72" s="351"/>
      <c r="M72" s="232"/>
      <c r="N72" s="110"/>
      <c r="O72" s="110"/>
    </row>
    <row r="73" spans="1:15" x14ac:dyDescent="0.3">
      <c r="B73" s="110" t="s">
        <v>514</v>
      </c>
      <c r="C73" s="279">
        <f>L70</f>
        <v>12936.860550856645</v>
      </c>
      <c r="D73" s="110" t="s">
        <v>288</v>
      </c>
      <c r="E73" s="110"/>
      <c r="F73" s="110"/>
      <c r="G73" s="110"/>
      <c r="H73" s="110"/>
      <c r="I73" s="119"/>
      <c r="J73" s="119"/>
      <c r="K73" s="110"/>
      <c r="L73" s="351"/>
      <c r="M73" s="232"/>
      <c r="N73" s="110"/>
      <c r="O73" s="110"/>
    </row>
    <row r="74" spans="1:15" x14ac:dyDescent="0.3">
      <c r="B74" s="110"/>
      <c r="C74" s="279"/>
      <c r="D74" s="110"/>
      <c r="E74" s="110"/>
      <c r="F74" s="110"/>
      <c r="G74" s="110"/>
      <c r="H74" s="110" t="s">
        <v>48</v>
      </c>
      <c r="I74" s="349">
        <f>Energy!P54</f>
        <v>11870.34064664673</v>
      </c>
      <c r="J74" s="110" t="s">
        <v>221</v>
      </c>
      <c r="K74" s="110"/>
      <c r="L74" s="279"/>
      <c r="N74" s="110" t="s">
        <v>530</v>
      </c>
      <c r="O74" s="110"/>
    </row>
    <row r="75" spans="1:15" x14ac:dyDescent="0.3">
      <c r="B75" s="110"/>
      <c r="C75" s="279"/>
      <c r="D75" s="110"/>
      <c r="E75" s="110"/>
      <c r="F75" s="110"/>
      <c r="G75" s="110"/>
      <c r="H75" s="110"/>
      <c r="I75" s="110"/>
      <c r="J75" s="110"/>
      <c r="K75" s="110" t="s">
        <v>514</v>
      </c>
      <c r="L75" s="279">
        <f>C73</f>
        <v>12936.860550856645</v>
      </c>
      <c r="M75" s="212" t="s">
        <v>288</v>
      </c>
      <c r="N75" s="110"/>
      <c r="O75" s="110"/>
    </row>
    <row r="76" spans="1:15" x14ac:dyDescent="0.3">
      <c r="A76" s="226"/>
      <c r="B76" s="93"/>
      <c r="C76" s="352"/>
      <c r="D76" s="93"/>
      <c r="E76" s="93"/>
      <c r="F76" s="93"/>
      <c r="G76" s="93"/>
      <c r="H76" s="93"/>
      <c r="I76" s="93"/>
      <c r="J76" s="93"/>
      <c r="K76" s="93"/>
      <c r="L76" s="352"/>
      <c r="M76" s="234"/>
      <c r="N76" s="93"/>
      <c r="O76" s="93"/>
    </row>
    <row r="77" spans="1:15" x14ac:dyDescent="0.3">
      <c r="A77" s="70" t="s">
        <v>1015</v>
      </c>
      <c r="B77" s="110"/>
      <c r="C77" s="279"/>
      <c r="D77" s="110"/>
      <c r="E77" s="110"/>
      <c r="F77" s="110"/>
      <c r="G77" s="110"/>
      <c r="H77" s="110"/>
      <c r="I77" s="110"/>
      <c r="J77" s="110"/>
      <c r="K77" s="110"/>
      <c r="L77" s="279"/>
      <c r="N77" s="110"/>
      <c r="O77" s="110"/>
    </row>
    <row r="78" spans="1:15" x14ac:dyDescent="0.3">
      <c r="B78" s="110" t="s">
        <v>514</v>
      </c>
      <c r="C78" s="279">
        <f>L75</f>
        <v>12936.860550856645</v>
      </c>
      <c r="D78" s="110" t="s">
        <v>288</v>
      </c>
      <c r="E78" s="110"/>
      <c r="F78" s="110"/>
      <c r="G78" s="110"/>
      <c r="H78" s="110"/>
      <c r="I78" s="110"/>
      <c r="J78" s="110"/>
      <c r="K78" s="110"/>
      <c r="L78" s="279"/>
      <c r="N78" s="110"/>
      <c r="O78" s="110"/>
    </row>
    <row r="79" spans="1:15" x14ac:dyDescent="0.3">
      <c r="B79" s="110"/>
      <c r="C79" s="279"/>
      <c r="D79" s="110"/>
      <c r="E79" s="110"/>
      <c r="F79" s="110"/>
      <c r="G79" s="110"/>
      <c r="H79" s="110" t="s">
        <v>531</v>
      </c>
      <c r="I79" s="349">
        <f>Energy!P55</f>
        <v>59351.703233233646</v>
      </c>
      <c r="J79" s="110" t="s">
        <v>221</v>
      </c>
      <c r="K79" s="110"/>
      <c r="L79" s="279"/>
      <c r="N79" s="110"/>
      <c r="O79" s="110"/>
    </row>
    <row r="80" spans="1:15" ht="43.2" x14ac:dyDescent="0.3">
      <c r="B80" s="110"/>
      <c r="C80" s="279"/>
      <c r="D80" s="110"/>
      <c r="E80" s="110"/>
      <c r="F80" s="110"/>
      <c r="G80" s="110"/>
      <c r="H80" s="110"/>
      <c r="I80" s="110"/>
      <c r="J80" s="110"/>
      <c r="K80" s="110" t="s">
        <v>532</v>
      </c>
      <c r="L80" s="351">
        <f>($C$5*SUM(Battery!E10:E13,Battery!E16))*Efficiencies!E50+$C$5*Battery!E9*'R2_MEFA'!K6+$C$5*Battery!E15*'R2_MEFA'!K5+$C$5*Battery!E20*'R2_MEFA'!K7</f>
        <v>6397.9658191281715</v>
      </c>
      <c r="M80" s="231" t="s">
        <v>288</v>
      </c>
      <c r="N80" s="110" t="s">
        <v>533</v>
      </c>
      <c r="O80" s="110"/>
    </row>
    <row r="81" spans="1:16" x14ac:dyDescent="0.3">
      <c r="B81" s="110"/>
      <c r="C81" s="279"/>
      <c r="D81" s="110"/>
      <c r="E81" s="110"/>
      <c r="F81" s="110"/>
      <c r="G81" s="110"/>
      <c r="H81" s="110"/>
      <c r="I81" s="110"/>
      <c r="J81" s="110"/>
      <c r="K81" s="110" t="s">
        <v>1134</v>
      </c>
      <c r="L81" s="279">
        <f>C78-L80</f>
        <v>6538.8947317284737</v>
      </c>
      <c r="M81" s="212" t="s">
        <v>288</v>
      </c>
      <c r="N81" s="110" t="s">
        <v>535</v>
      </c>
      <c r="O81" s="110"/>
    </row>
    <row r="82" spans="1:16" x14ac:dyDescent="0.3">
      <c r="A82" s="226"/>
      <c r="B82" s="93"/>
      <c r="C82" s="352"/>
      <c r="D82" s="93"/>
      <c r="E82" s="93"/>
      <c r="F82" s="93"/>
      <c r="G82" s="93"/>
      <c r="H82" s="93"/>
      <c r="I82" s="93"/>
      <c r="J82" s="93"/>
      <c r="K82" s="93"/>
      <c r="L82" s="352"/>
      <c r="M82" s="234"/>
      <c r="N82" s="93"/>
      <c r="O82" s="93"/>
    </row>
    <row r="83" spans="1:16" x14ac:dyDescent="0.3">
      <c r="A83" s="70" t="s">
        <v>536</v>
      </c>
      <c r="B83" s="110"/>
      <c r="C83" s="279"/>
      <c r="D83" s="110"/>
      <c r="E83" s="110"/>
      <c r="F83" s="110"/>
      <c r="G83" s="110"/>
      <c r="H83" s="110"/>
      <c r="I83" s="110"/>
      <c r="J83" s="110"/>
      <c r="K83" s="110"/>
      <c r="L83" s="279"/>
      <c r="N83" s="110"/>
      <c r="O83" s="110"/>
    </row>
    <row r="84" spans="1:16" x14ac:dyDescent="0.3">
      <c r="B84" s="110" t="s">
        <v>534</v>
      </c>
      <c r="C84" s="279">
        <f>L81</f>
        <v>6538.8947317284737</v>
      </c>
      <c r="D84" s="110" t="s">
        <v>288</v>
      </c>
      <c r="E84" s="110"/>
      <c r="F84" s="110"/>
      <c r="G84" s="110"/>
      <c r="H84" s="110"/>
      <c r="I84" s="110"/>
      <c r="J84" s="110"/>
      <c r="K84" s="110"/>
      <c r="L84" s="279"/>
      <c r="N84" s="110"/>
      <c r="O84" s="110"/>
    </row>
    <row r="85" spans="1:16" x14ac:dyDescent="0.3">
      <c r="A85" s="108"/>
      <c r="B85" s="110"/>
      <c r="C85" s="279"/>
      <c r="D85" s="110"/>
      <c r="E85" s="110"/>
      <c r="F85" s="110"/>
      <c r="G85" s="110"/>
      <c r="H85" s="110" t="s">
        <v>48</v>
      </c>
      <c r="I85" s="349">
        <f>Energy!P56</f>
        <v>1719.2678818400937</v>
      </c>
      <c r="J85" s="110" t="s">
        <v>221</v>
      </c>
      <c r="K85" s="110"/>
      <c r="L85" s="346"/>
      <c r="M85" s="231"/>
      <c r="N85" s="110"/>
      <c r="O85" s="110"/>
    </row>
    <row r="86" spans="1:16" x14ac:dyDescent="0.3">
      <c r="A86" s="108"/>
      <c r="B86" s="110"/>
      <c r="C86" s="110"/>
      <c r="D86" s="110"/>
      <c r="E86" s="110"/>
      <c r="F86" s="110"/>
      <c r="G86" s="110"/>
      <c r="H86" s="110"/>
      <c r="I86" s="110"/>
      <c r="J86" s="110"/>
      <c r="K86" s="110" t="s">
        <v>537</v>
      </c>
      <c r="L86" s="351">
        <f>C5*Battery!E9*(1-K6)*Efficiencies!E52</f>
        <v>636.61956191715467</v>
      </c>
      <c r="M86" s="231" t="s">
        <v>288</v>
      </c>
      <c r="N86" s="110" t="s">
        <v>523</v>
      </c>
      <c r="O86" s="110"/>
    </row>
    <row r="87" spans="1:16" x14ac:dyDescent="0.3">
      <c r="A87" s="108"/>
      <c r="B87" s="110"/>
      <c r="C87" s="110"/>
      <c r="D87" s="110"/>
      <c r="E87" s="110"/>
      <c r="F87" s="110"/>
      <c r="G87" s="110"/>
      <c r="H87" s="110"/>
      <c r="I87" s="110"/>
      <c r="J87" s="110"/>
      <c r="K87" s="110" t="s">
        <v>234</v>
      </c>
      <c r="L87" s="351">
        <f>C5*Battery!E15*(1-K5)*Efficiencies!E51</f>
        <v>1659.87779483843</v>
      </c>
      <c r="M87" s="231" t="s">
        <v>288</v>
      </c>
      <c r="N87" s="110" t="s">
        <v>523</v>
      </c>
      <c r="O87" s="110"/>
    </row>
    <row r="88" spans="1:16" ht="28.8" x14ac:dyDescent="0.3">
      <c r="A88" s="108"/>
      <c r="B88" s="110"/>
      <c r="C88" s="110"/>
      <c r="D88" s="110"/>
      <c r="E88" s="110"/>
      <c r="F88" s="110"/>
      <c r="G88" s="110"/>
      <c r="H88" s="110"/>
      <c r="I88" s="110"/>
      <c r="J88" s="110"/>
      <c r="K88" s="110" t="s">
        <v>538</v>
      </c>
      <c r="L88" s="351">
        <f>C84-L86-L87</f>
        <v>4242.3973749728884</v>
      </c>
      <c r="M88" s="231" t="s">
        <v>288</v>
      </c>
      <c r="N88" s="110" t="s">
        <v>539</v>
      </c>
      <c r="O88" s="110"/>
    </row>
    <row r="89" spans="1:16" x14ac:dyDescent="0.3">
      <c r="A89" s="113"/>
      <c r="B89" s="93"/>
      <c r="C89" s="93"/>
      <c r="D89" s="93"/>
      <c r="E89" s="93"/>
      <c r="F89" s="93"/>
      <c r="G89" s="93"/>
      <c r="H89" s="93"/>
      <c r="I89" s="93"/>
      <c r="J89" s="93"/>
      <c r="K89" s="93"/>
      <c r="L89" s="352"/>
      <c r="M89" s="234"/>
      <c r="N89" s="93"/>
      <c r="O89" s="93"/>
    </row>
    <row r="90" spans="1:16" x14ac:dyDescent="0.3">
      <c r="L90" s="346"/>
    </row>
    <row r="91" spans="1:16" x14ac:dyDescent="0.3">
      <c r="A91" s="96" t="s">
        <v>540</v>
      </c>
      <c r="C91" s="346"/>
      <c r="L91" s="346"/>
      <c r="M91" s="70"/>
    </row>
    <row r="92" spans="1:16" x14ac:dyDescent="0.3">
      <c r="A92" s="97" t="s">
        <v>281</v>
      </c>
      <c r="B92" s="98" t="s">
        <v>13</v>
      </c>
      <c r="C92" s="361" t="s">
        <v>251</v>
      </c>
      <c r="D92" s="98" t="s">
        <v>252</v>
      </c>
      <c r="E92" s="99" t="s">
        <v>282</v>
      </c>
      <c r="F92" s="99" t="s">
        <v>251</v>
      </c>
      <c r="G92" s="100" t="s">
        <v>252</v>
      </c>
      <c r="H92" s="101" t="s">
        <v>283</v>
      </c>
      <c r="I92" s="101" t="s">
        <v>509</v>
      </c>
      <c r="J92" s="101" t="s">
        <v>252</v>
      </c>
      <c r="K92" s="102" t="s">
        <v>284</v>
      </c>
      <c r="L92" s="347" t="s">
        <v>251</v>
      </c>
      <c r="M92" s="103" t="s">
        <v>252</v>
      </c>
      <c r="N92" s="366"/>
      <c r="O92" s="367"/>
    </row>
    <row r="93" spans="1:16" x14ac:dyDescent="0.3">
      <c r="A93" s="86"/>
      <c r="B93" s="86" t="str">
        <f>B15</f>
        <v>battery systems</v>
      </c>
      <c r="C93" s="362">
        <f t="shared" ref="C93:D93" si="0">C15</f>
        <v>25000</v>
      </c>
      <c r="D93" s="86" t="str">
        <f t="shared" si="0"/>
        <v>t</v>
      </c>
      <c r="E93" s="86" t="s">
        <v>154</v>
      </c>
      <c r="F93" s="364">
        <f>F33</f>
        <v>345928.60273259587</v>
      </c>
      <c r="G93" s="375" t="str">
        <f>G33</f>
        <v>m³</v>
      </c>
      <c r="H93" s="86" t="str">
        <f>H34</f>
        <v>Electricity</v>
      </c>
      <c r="I93" s="363">
        <f>SUMIF(H29:H89,H93,I29:I89)+SUMIF('R2_Hydro_MEFA'!H:H,'R2_MEFA'!H93,'R2_Hydro_MEFA'!I:I)</f>
        <v>17301600.370749019</v>
      </c>
      <c r="J93" s="86" t="s">
        <v>221</v>
      </c>
      <c r="K93" s="86" t="s">
        <v>48</v>
      </c>
      <c r="L93" s="364">
        <f>L16</f>
        <v>216872.6957276079</v>
      </c>
      <c r="M93" s="86" t="s">
        <v>221</v>
      </c>
      <c r="N93" s="369"/>
      <c r="O93" s="368"/>
      <c r="P93" s="925"/>
    </row>
    <row r="94" spans="1:16" x14ac:dyDescent="0.3">
      <c r="A94" s="110"/>
      <c r="B94" s="110"/>
      <c r="C94" s="279"/>
      <c r="D94" s="110"/>
      <c r="E94" s="110" t="s">
        <v>70</v>
      </c>
      <c r="F94" s="365">
        <f>SUMIF('R2_Hydro_MEFA'!E:E,'R2_MEFA'!E94,'R2_Hydro_MEFA'!F:F)</f>
        <v>7711.729518437196</v>
      </c>
      <c r="G94" s="110" t="s">
        <v>288</v>
      </c>
      <c r="H94" s="110" t="s">
        <v>515</v>
      </c>
      <c r="I94" s="349">
        <f>I39</f>
        <v>0</v>
      </c>
      <c r="J94" s="110" t="s">
        <v>301</v>
      </c>
      <c r="K94" s="110" t="s">
        <v>97</v>
      </c>
      <c r="L94" s="365">
        <f>L20+L66+L86</f>
        <v>7386.6347430058568</v>
      </c>
      <c r="M94" s="279" t="s">
        <v>288</v>
      </c>
      <c r="N94" s="371"/>
      <c r="O94" s="370"/>
    </row>
    <row r="95" spans="1:16" x14ac:dyDescent="0.3">
      <c r="A95" s="110"/>
      <c r="B95" s="110"/>
      <c r="C95" s="279"/>
      <c r="D95" s="110"/>
      <c r="E95" s="110" t="s">
        <v>214</v>
      </c>
      <c r="F95" s="365">
        <f>SUMIF('R2_Hydro_MEFA'!E:E,'R2_MEFA'!E95,'R2_Hydro_MEFA'!F:F)</f>
        <v>36238.084361738089</v>
      </c>
      <c r="G95" s="110" t="s">
        <v>288</v>
      </c>
      <c r="H95" s="110"/>
      <c r="I95" s="349"/>
      <c r="J95" s="110"/>
      <c r="K95" s="110" t="s">
        <v>71</v>
      </c>
      <c r="L95" s="365">
        <f>L21+L59+L60</f>
        <v>2284.007807417046</v>
      </c>
      <c r="M95" s="279" t="s">
        <v>288</v>
      </c>
      <c r="N95" s="371"/>
      <c r="O95" s="370"/>
    </row>
    <row r="96" spans="1:16" x14ac:dyDescent="0.3">
      <c r="A96" s="110"/>
      <c r="B96" s="110"/>
      <c r="C96" s="279"/>
      <c r="D96" s="110"/>
      <c r="E96" s="110" t="s">
        <v>45</v>
      </c>
      <c r="F96" s="365">
        <f>SUMIF('R2_Hydro_MEFA'!E:E,'R2_MEFA'!E96,'R2_Hydro_MEFA'!F:F)</f>
        <v>33.415984988519064</v>
      </c>
      <c r="G96" s="110" t="s">
        <v>288</v>
      </c>
      <c r="H96" s="110"/>
      <c r="I96" s="110"/>
      <c r="J96" s="110"/>
      <c r="K96" s="110" t="s">
        <v>98</v>
      </c>
      <c r="L96" s="365">
        <f>L22+L69+L87+'R2_Hydro_MEFA'!L55</f>
        <v>2084.6837007156801</v>
      </c>
      <c r="M96" s="279" t="s">
        <v>288</v>
      </c>
      <c r="N96" s="371"/>
      <c r="O96" s="370"/>
    </row>
    <row r="97" spans="1:16" x14ac:dyDescent="0.3">
      <c r="A97" s="110"/>
      <c r="B97" s="110"/>
      <c r="C97" s="279"/>
      <c r="D97" s="110"/>
      <c r="E97" s="110" t="s">
        <v>74</v>
      </c>
      <c r="F97" s="365">
        <f>'R2_Hydro_MEFA'!F61</f>
        <v>1337.3493179480506</v>
      </c>
      <c r="G97" s="110" t="s">
        <v>288</v>
      </c>
      <c r="H97" s="110"/>
      <c r="I97" s="110"/>
      <c r="J97" s="110"/>
      <c r="K97" s="110" t="s">
        <v>52</v>
      </c>
      <c r="L97" s="365">
        <f>L23+L68</f>
        <v>190.50097592713075</v>
      </c>
      <c r="M97" s="279" t="s">
        <v>288</v>
      </c>
      <c r="N97" s="371"/>
      <c r="O97" s="370"/>
    </row>
    <row r="98" spans="1:16" x14ac:dyDescent="0.3">
      <c r="A98" s="110"/>
      <c r="B98" s="110"/>
      <c r="C98" s="279"/>
      <c r="D98" s="110"/>
      <c r="E98" s="110" t="s">
        <v>66</v>
      </c>
      <c r="F98" s="365">
        <f>SUMIF('R2_Hydro_MEFA'!E:E,'R2_MEFA'!E98,'R2_Hydro_MEFA'!F:F)</f>
        <v>15388.081648888608</v>
      </c>
      <c r="G98" s="110" t="s">
        <v>288</v>
      </c>
      <c r="H98" s="110"/>
      <c r="I98" s="110"/>
      <c r="J98" s="110"/>
      <c r="K98" s="110" t="s">
        <v>56</v>
      </c>
      <c r="L98" s="365">
        <f>L24</f>
        <v>0</v>
      </c>
      <c r="M98" s="279" t="s">
        <v>288</v>
      </c>
      <c r="N98" s="371"/>
      <c r="O98" s="370"/>
    </row>
    <row r="99" spans="1:16" x14ac:dyDescent="0.3">
      <c r="A99" s="110"/>
      <c r="B99" s="110"/>
      <c r="C99" s="279"/>
      <c r="D99" s="110"/>
      <c r="E99" s="110" t="s">
        <v>59</v>
      </c>
      <c r="F99" s="688">
        <f>'R2_Hydro_MEFA'!F84+'R2_Hydro_MEFA'!F110+'R2_Hydro_MEFA'!F147</f>
        <v>3.9878097351119974</v>
      </c>
      <c r="G99" s="110" t="s">
        <v>288</v>
      </c>
      <c r="H99" s="110"/>
      <c r="I99" s="110"/>
      <c r="J99" s="110"/>
      <c r="K99" s="110" t="s">
        <v>17</v>
      </c>
      <c r="L99" s="365">
        <f>L25+L26+L67+L88+IF(Macro!D12=FALSE,'R2_Hydro_MEFA'!L35,0)</f>
        <v>4337.1013437432202</v>
      </c>
      <c r="M99" s="279" t="s">
        <v>288</v>
      </c>
      <c r="N99" s="371"/>
      <c r="O99" s="370"/>
    </row>
    <row r="100" spans="1:16" x14ac:dyDescent="0.3">
      <c r="A100" s="110"/>
      <c r="B100" s="110"/>
      <c r="C100" s="279"/>
      <c r="D100" s="110"/>
      <c r="E100" s="110" t="s">
        <v>315</v>
      </c>
      <c r="F100" s="688">
        <f>'R2_Hydro_MEFA'!F111+'R2_Hydro_MEFA'!F112</f>
        <v>0.31339909845842057</v>
      </c>
      <c r="G100" s="110" t="s">
        <v>288</v>
      </c>
      <c r="H100" s="110"/>
      <c r="I100" s="110"/>
      <c r="J100" s="110"/>
      <c r="K100" s="110" t="s">
        <v>50</v>
      </c>
      <c r="L100" s="365">
        <f>L54</f>
        <v>0</v>
      </c>
      <c r="M100" s="279" t="s">
        <v>288</v>
      </c>
      <c r="N100" s="783"/>
      <c r="O100" s="370"/>
    </row>
    <row r="101" spans="1:16" x14ac:dyDescent="0.3">
      <c r="A101" s="110"/>
      <c r="B101" s="110"/>
      <c r="C101" s="279"/>
      <c r="D101" s="110"/>
      <c r="E101" s="110" t="s">
        <v>40</v>
      </c>
      <c r="F101" s="688">
        <f>'R2_Hydro_MEFA'!F85+'R2_Hydro_MEFA'!F86</f>
        <v>1.1849465729024378</v>
      </c>
      <c r="G101" s="110" t="s">
        <v>288</v>
      </c>
      <c r="H101" s="365"/>
      <c r="I101" s="110"/>
      <c r="J101" s="110"/>
      <c r="K101" s="110" t="s">
        <v>46</v>
      </c>
      <c r="L101" s="365">
        <f>'R2_Hydro_MEFA'!L79</f>
        <v>58.826732506091133</v>
      </c>
      <c r="M101" s="279" t="s">
        <v>288</v>
      </c>
      <c r="N101" s="784"/>
      <c r="O101" s="370"/>
    </row>
    <row r="102" spans="1:16" x14ac:dyDescent="0.3">
      <c r="A102" s="110"/>
      <c r="B102" s="110"/>
      <c r="C102" s="279"/>
      <c r="D102" s="110"/>
      <c r="E102" s="110" t="s">
        <v>41</v>
      </c>
      <c r="F102" s="688">
        <f>'R2_Hydro_MEFA'!F148+'R2_Hydro_MEFA'!F149</f>
        <v>0.63472487312595105</v>
      </c>
      <c r="G102" s="110" t="s">
        <v>288</v>
      </c>
      <c r="H102" s="110"/>
      <c r="I102" s="110"/>
      <c r="J102" s="110"/>
      <c r="K102" s="110" t="s">
        <v>59</v>
      </c>
      <c r="L102" s="365">
        <f>'R2_Hydro_MEFA'!L106+'R2_Hydro_MEFA'!L131+'R2_Hydro_MEFA'!L167</f>
        <v>3.9878097351119974</v>
      </c>
      <c r="M102" s="279" t="s">
        <v>288</v>
      </c>
      <c r="N102" s="784" t="s">
        <v>314</v>
      </c>
      <c r="O102" s="370"/>
    </row>
    <row r="103" spans="1:16" x14ac:dyDescent="0.3">
      <c r="A103" s="110"/>
      <c r="B103" s="110"/>
      <c r="C103" s="279"/>
      <c r="D103" s="110"/>
      <c r="E103" s="110" t="s">
        <v>65</v>
      </c>
      <c r="F103" s="833">
        <f>SUMIF('R2_Hydro_MEFA'!E:E,'R2_MEFA'!E103,'R2_Hydro_MEFA'!F:F)</f>
        <v>2090.3041631637666</v>
      </c>
      <c r="G103" s="110" t="s">
        <v>288</v>
      </c>
      <c r="H103" s="110"/>
      <c r="I103" s="110"/>
      <c r="J103" s="110"/>
      <c r="K103" s="110" t="s">
        <v>37</v>
      </c>
      <c r="L103" s="365">
        <f>'R2_Hydro_MEFA'!L130</f>
        <v>0.29847533186516245</v>
      </c>
      <c r="M103" s="279" t="s">
        <v>288</v>
      </c>
      <c r="N103" s="784" t="s">
        <v>314</v>
      </c>
      <c r="O103" s="370"/>
    </row>
    <row r="104" spans="1:16" ht="28.8" x14ac:dyDescent="0.3">
      <c r="A104" s="110"/>
      <c r="B104" s="110"/>
      <c r="C104" s="279"/>
      <c r="D104" s="110"/>
      <c r="E104" s="110" t="s">
        <v>316</v>
      </c>
      <c r="F104" s="833">
        <f>IF(F95*0.9&lt;L112,F95*0.1,F95-L112)</f>
        <v>11527.91977056042</v>
      </c>
      <c r="G104" s="110" t="s">
        <v>288</v>
      </c>
      <c r="H104" s="110"/>
      <c r="I104" s="110"/>
      <c r="J104" s="110"/>
      <c r="K104" s="110" t="s">
        <v>40</v>
      </c>
      <c r="L104" s="365">
        <f>'R2_Hydro_MEFA'!L105</f>
        <v>1.1285205456213694</v>
      </c>
      <c r="M104" s="279" t="s">
        <v>288</v>
      </c>
      <c r="N104" s="784" t="s">
        <v>314</v>
      </c>
      <c r="O104" s="370"/>
    </row>
    <row r="105" spans="1:16" ht="15.6" x14ac:dyDescent="0.3">
      <c r="A105" s="110"/>
      <c r="B105" s="110"/>
      <c r="C105" s="279"/>
      <c r="D105" s="110"/>
      <c r="E105" s="110"/>
      <c r="F105" s="833"/>
      <c r="G105" s="110"/>
      <c r="H105" s="110"/>
      <c r="I105" s="110"/>
      <c r="J105" s="110"/>
      <c r="K105" s="110" t="s">
        <v>151</v>
      </c>
      <c r="L105" s="365">
        <f>'R2_Hydro_MEFA'!L136</f>
        <v>7950.9730297357528</v>
      </c>
      <c r="M105" s="279" t="s">
        <v>288</v>
      </c>
      <c r="N105" s="784"/>
      <c r="O105" s="370"/>
      <c r="P105" s="348"/>
    </row>
    <row r="106" spans="1:16" ht="15.6" x14ac:dyDescent="0.3">
      <c r="A106" s="110"/>
      <c r="B106" s="110"/>
      <c r="C106" s="279"/>
      <c r="D106" s="110"/>
      <c r="E106" s="110"/>
      <c r="F106" s="833"/>
      <c r="G106" s="110"/>
      <c r="H106" s="110"/>
      <c r="I106" s="110"/>
      <c r="J106" s="110"/>
      <c r="K106" s="110" t="s">
        <v>139</v>
      </c>
      <c r="L106" s="365">
        <f>'R2_Hydro_MEFA'!L142</f>
        <v>2806.1926827227089</v>
      </c>
      <c r="M106" s="279" t="s">
        <v>288</v>
      </c>
      <c r="N106" s="785"/>
      <c r="O106" s="370"/>
    </row>
    <row r="107" spans="1:16" x14ac:dyDescent="0.3">
      <c r="A107" s="110"/>
      <c r="B107" s="110"/>
      <c r="C107" s="279"/>
      <c r="D107" s="110"/>
      <c r="E107" s="110"/>
      <c r="F107" s="833"/>
      <c r="G107" s="110"/>
      <c r="H107" s="110"/>
      <c r="I107" s="110"/>
      <c r="J107" s="110"/>
      <c r="K107" s="110" t="s">
        <v>55</v>
      </c>
      <c r="L107" s="365">
        <f>'R2_Hydro_MEFA'!L42</f>
        <v>2950.0231620039035</v>
      </c>
      <c r="M107" s="279" t="s">
        <v>288</v>
      </c>
      <c r="N107" s="783"/>
      <c r="O107" s="370"/>
    </row>
    <row r="108" spans="1:16" x14ac:dyDescent="0.3">
      <c r="A108" s="110"/>
      <c r="B108" s="110"/>
      <c r="C108" s="279"/>
      <c r="D108" s="110"/>
      <c r="E108" s="110"/>
      <c r="F108" s="833"/>
      <c r="G108" s="110"/>
      <c r="H108" s="110"/>
      <c r="I108" s="110"/>
      <c r="J108" s="110"/>
      <c r="K108" s="110" t="s">
        <v>29</v>
      </c>
      <c r="L108" s="365">
        <f>'R2_Hydro_MEFA'!L80</f>
        <v>35.70421915678736</v>
      </c>
      <c r="M108" s="279" t="s">
        <v>288</v>
      </c>
      <c r="N108" s="783"/>
      <c r="O108" s="370"/>
    </row>
    <row r="109" spans="1:16" x14ac:dyDescent="0.3">
      <c r="A109" s="110"/>
      <c r="B109" s="110"/>
      <c r="C109" s="279"/>
      <c r="D109" s="110"/>
      <c r="E109" s="110"/>
      <c r="F109" s="833"/>
      <c r="G109" s="110"/>
      <c r="H109" s="110"/>
      <c r="I109" s="110"/>
      <c r="J109" s="110"/>
      <c r="K109" s="110" t="s">
        <v>41</v>
      </c>
      <c r="L109" s="365">
        <f>'R2_Hydro_MEFA'!L166</f>
        <v>0.60449987916757242</v>
      </c>
      <c r="M109" s="279" t="s">
        <v>288</v>
      </c>
      <c r="N109" s="784" t="s">
        <v>314</v>
      </c>
      <c r="O109" s="370"/>
    </row>
    <row r="110" spans="1:16" x14ac:dyDescent="0.3">
      <c r="A110" s="110"/>
      <c r="B110" s="110"/>
      <c r="C110" s="279"/>
      <c r="D110" s="110"/>
      <c r="E110" s="110"/>
      <c r="F110" s="833"/>
      <c r="G110" s="110"/>
      <c r="H110" s="110"/>
      <c r="I110" s="110"/>
      <c r="J110" s="110"/>
      <c r="K110" s="110" t="s">
        <v>64</v>
      </c>
      <c r="L110" s="365">
        <f>'R2_Hydro_MEFA'!L172</f>
        <v>1704.6705709446658</v>
      </c>
      <c r="M110" s="279" t="s">
        <v>288</v>
      </c>
      <c r="N110" s="783"/>
      <c r="O110" s="370"/>
    </row>
    <row r="111" spans="1:16" ht="15.6" x14ac:dyDescent="0.3">
      <c r="A111" s="110"/>
      <c r="B111" s="110"/>
      <c r="C111" s="279"/>
      <c r="D111" s="110"/>
      <c r="E111" s="110"/>
      <c r="F111" s="833"/>
      <c r="G111" s="110"/>
      <c r="H111" s="110"/>
      <c r="I111" s="110"/>
      <c r="J111" s="110"/>
      <c r="K111" s="110" t="s">
        <v>541</v>
      </c>
      <c r="L111" s="365">
        <f>'R2_Hydro_MEFA'!L193</f>
        <v>1615.2350351720013</v>
      </c>
      <c r="M111" s="279" t="s">
        <v>288</v>
      </c>
      <c r="N111" s="783"/>
      <c r="O111" s="370"/>
    </row>
    <row r="112" spans="1:16" x14ac:dyDescent="0.3">
      <c r="A112" s="110"/>
      <c r="B112" s="110"/>
      <c r="C112" s="279"/>
      <c r="D112" s="110"/>
      <c r="E112" s="110"/>
      <c r="F112" s="833"/>
      <c r="G112" s="110"/>
      <c r="H112" s="110"/>
      <c r="I112" s="110"/>
      <c r="J112" s="110"/>
      <c r="K112" s="110" t="s">
        <v>214</v>
      </c>
      <c r="L112" s="365">
        <f>SUMIF('R2_Hydro_MEFA'!$K$12:$K$251,'R2_MEFA'!K112,'R2_Hydro_MEFA'!$L$12:$L$251)</f>
        <v>24710.164591177669</v>
      </c>
      <c r="M112" s="279" t="s">
        <v>288</v>
      </c>
      <c r="N112" s="783" t="s">
        <v>319</v>
      </c>
      <c r="O112" s="370"/>
    </row>
    <row r="113" spans="1:15" x14ac:dyDescent="0.3">
      <c r="A113" s="110"/>
      <c r="B113" s="110"/>
      <c r="C113" s="279"/>
      <c r="D113" s="110"/>
      <c r="E113" s="110"/>
      <c r="F113" s="833"/>
      <c r="G113" s="110"/>
      <c r="H113" s="110"/>
      <c r="I113" s="110"/>
      <c r="J113" s="110"/>
      <c r="K113" s="110" t="s">
        <v>60</v>
      </c>
      <c r="L113" s="365">
        <f>SUMIF('R2_Hydro_MEFA'!$K$12:$K$251,'R2_MEFA'!K113,'R2_Hydro_MEFA'!$L$12:$L$251)</f>
        <v>0</v>
      </c>
      <c r="M113" s="279" t="s">
        <v>288</v>
      </c>
      <c r="N113" s="785"/>
      <c r="O113" s="370"/>
    </row>
    <row r="114" spans="1:15" x14ac:dyDescent="0.3">
      <c r="A114" s="110"/>
      <c r="B114" s="110"/>
      <c r="C114" s="279"/>
      <c r="D114" s="110"/>
      <c r="E114" s="110"/>
      <c r="F114" s="833"/>
      <c r="G114" s="110"/>
      <c r="H114" s="110"/>
      <c r="I114" s="110"/>
      <c r="J114" s="110"/>
      <c r="K114" s="110" t="s">
        <v>22</v>
      </c>
      <c r="L114" s="365">
        <f>'R2_Hydro_MEFA'!L195</f>
        <v>18323.1121555346</v>
      </c>
      <c r="M114" s="279" t="s">
        <v>288</v>
      </c>
      <c r="N114" s="784" t="s">
        <v>317</v>
      </c>
      <c r="O114" s="370"/>
    </row>
    <row r="115" spans="1:15" x14ac:dyDescent="0.3">
      <c r="A115" s="93"/>
      <c r="B115" s="93"/>
      <c r="C115" s="352"/>
      <c r="D115" s="93"/>
      <c r="E115" s="93"/>
      <c r="F115" s="834"/>
      <c r="G115" s="93"/>
      <c r="H115" s="93"/>
      <c r="I115" s="93"/>
      <c r="J115" s="835"/>
      <c r="K115" s="93" t="s">
        <v>320</v>
      </c>
      <c r="L115" s="707">
        <f>L112-F95+F104</f>
        <v>0</v>
      </c>
      <c r="M115" s="450" t="s">
        <v>288</v>
      </c>
      <c r="N115" s="93" t="s">
        <v>319</v>
      </c>
      <c r="O115" s="372"/>
    </row>
    <row r="116" spans="1:15" x14ac:dyDescent="0.3">
      <c r="N116" s="832"/>
    </row>
    <row r="117" spans="1:15" x14ac:dyDescent="0.3">
      <c r="N117" s="832"/>
    </row>
    <row r="118" spans="1:15" x14ac:dyDescent="0.3">
      <c r="F118" s="730"/>
      <c r="H118" s="731"/>
      <c r="L118" s="732"/>
      <c r="N118" s="832"/>
    </row>
    <row r="119" spans="1:15" x14ac:dyDescent="0.3">
      <c r="F119" s="730"/>
      <c r="L119" s="732"/>
    </row>
    <row r="120" spans="1:15" x14ac:dyDescent="0.3">
      <c r="F120" s="730"/>
      <c r="L120" s="732"/>
      <c r="N120" s="832"/>
    </row>
    <row r="121" spans="1:15" x14ac:dyDescent="0.3">
      <c r="F121" s="730"/>
      <c r="L121" s="732"/>
    </row>
    <row r="122" spans="1:15" x14ac:dyDescent="0.3">
      <c r="F122" s="730"/>
      <c r="L122" s="732"/>
    </row>
    <row r="123" spans="1:15" x14ac:dyDescent="0.3">
      <c r="F123" s="730"/>
      <c r="L123" s="732"/>
    </row>
    <row r="124" spans="1:15" x14ac:dyDescent="0.3">
      <c r="F124" s="730"/>
      <c r="L124" s="732"/>
    </row>
    <row r="125" spans="1:15" x14ac:dyDescent="0.3">
      <c r="F125" s="730"/>
      <c r="L125" s="732"/>
    </row>
    <row r="126" spans="1:15" x14ac:dyDescent="0.3">
      <c r="F126" s="730"/>
      <c r="L126" s="732"/>
    </row>
    <row r="127" spans="1:15" x14ac:dyDescent="0.3">
      <c r="F127" s="730"/>
      <c r="L127" s="732"/>
    </row>
    <row r="128" spans="1:15" x14ac:dyDescent="0.3">
      <c r="F128" s="730"/>
      <c r="L128" s="732"/>
    </row>
    <row r="129" spans="6:12" x14ac:dyDescent="0.3">
      <c r="F129" s="730"/>
      <c r="L129" s="732"/>
    </row>
    <row r="130" spans="6:12" x14ac:dyDescent="0.3">
      <c r="L130" s="732"/>
    </row>
    <row r="131" spans="6:12" x14ac:dyDescent="0.3">
      <c r="L131" s="732"/>
    </row>
    <row r="132" spans="6:12" x14ac:dyDescent="0.3">
      <c r="L132" s="732"/>
    </row>
    <row r="133" spans="6:12" x14ac:dyDescent="0.3">
      <c r="L133" s="732"/>
    </row>
    <row r="134" spans="6:12" x14ac:dyDescent="0.3">
      <c r="L134" s="732"/>
    </row>
    <row r="135" spans="6:12" x14ac:dyDescent="0.3">
      <c r="L135" s="732"/>
    </row>
    <row r="136" spans="6:12" x14ac:dyDescent="0.3">
      <c r="L136" s="732"/>
    </row>
    <row r="137" spans="6:12" x14ac:dyDescent="0.3">
      <c r="L137" s="732"/>
    </row>
    <row r="138" spans="6:12" x14ac:dyDescent="0.3">
      <c r="L138" s="732"/>
    </row>
    <row r="139" spans="6:12" x14ac:dyDescent="0.3">
      <c r="L139" s="732"/>
    </row>
    <row r="140" spans="6:12" x14ac:dyDescent="0.3">
      <c r="L140" s="732"/>
    </row>
  </sheetData>
  <pageMargins left="0.7" right="0.7" top="0.78740157499999996" bottom="0.78740157499999996"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tabColor theme="0" tint="-0.499984740745262"/>
  </sheetPr>
  <dimension ref="A1:AB205"/>
  <sheetViews>
    <sheetView zoomScale="70" zoomScaleNormal="70" workbookViewId="0">
      <selection activeCell="F10" sqref="F10"/>
    </sheetView>
  </sheetViews>
  <sheetFormatPr baseColWidth="10" defaultColWidth="11.44140625" defaultRowHeight="14.4" x14ac:dyDescent="0.3"/>
  <cols>
    <col min="1" max="1" width="21" customWidth="1"/>
    <col min="2" max="2" width="21" style="70" customWidth="1"/>
    <col min="3" max="3" width="12.77734375" style="70" customWidth="1"/>
    <col min="4" max="4" width="7.6640625" style="70" customWidth="1"/>
    <col min="5" max="5" width="23" style="70" customWidth="1"/>
    <col min="6" max="6" width="13.44140625" style="70" customWidth="1"/>
    <col min="7" max="7" width="7.6640625" style="70" customWidth="1"/>
    <col min="8" max="8" width="19.6640625" style="70" customWidth="1"/>
    <col min="9" max="9" width="13.33203125" style="70" customWidth="1"/>
    <col min="10" max="10" width="9.109375" style="70" customWidth="1"/>
    <col min="11" max="11" width="29.33203125" style="70" customWidth="1"/>
    <col min="12" max="12" width="17.33203125" style="70" customWidth="1"/>
    <col min="13" max="13" width="11.44140625" style="70"/>
    <col min="14" max="14" width="12.6640625" style="70" customWidth="1"/>
    <col min="15" max="15" width="22.109375" style="70" bestFit="1" customWidth="1"/>
    <col min="16" max="16" width="46.109375" style="70" customWidth="1"/>
    <col min="17" max="17" width="13.6640625" style="122" customWidth="1"/>
    <col min="18" max="18" width="3.33203125" customWidth="1"/>
    <col min="19" max="19" width="26.6640625" customWidth="1"/>
    <col min="20" max="20" width="13.44140625" customWidth="1"/>
    <col min="21" max="21" width="12.33203125" customWidth="1"/>
    <col min="22" max="22" width="13.44140625" customWidth="1"/>
    <col min="23" max="23" width="10.77734375" customWidth="1"/>
    <col min="24" max="24" width="22.109375" customWidth="1"/>
    <col min="25" max="25" width="20.33203125" customWidth="1"/>
    <col min="26" max="26" width="15.109375" customWidth="1"/>
    <col min="27" max="27" width="26.6640625" customWidth="1"/>
    <col min="28" max="28" width="17.6640625" customWidth="1"/>
    <col min="29" max="29" width="15.33203125" customWidth="1"/>
  </cols>
  <sheetData>
    <row r="1" spans="1:28" ht="25.95" customHeight="1" x14ac:dyDescent="0.4">
      <c r="A1" s="188" t="s">
        <v>542</v>
      </c>
      <c r="C1" s="104"/>
    </row>
    <row r="2" spans="1:28" x14ac:dyDescent="0.3">
      <c r="H2" s="70" t="s">
        <v>322</v>
      </c>
      <c r="J2" s="113"/>
    </row>
    <row r="3" spans="1:28" s="125" customFormat="1" ht="42.45" customHeight="1" x14ac:dyDescent="0.3">
      <c r="A3" s="155"/>
      <c r="B3" s="466" t="s">
        <v>13</v>
      </c>
      <c r="C3" s="465" t="s">
        <v>251</v>
      </c>
      <c r="D3" s="465" t="s">
        <v>252</v>
      </c>
      <c r="E3" s="104"/>
      <c r="F3" s="104"/>
      <c r="G3" s="104"/>
      <c r="H3" s="97" t="s">
        <v>543</v>
      </c>
      <c r="I3" s="463" t="s">
        <v>251</v>
      </c>
      <c r="J3" s="97" t="s">
        <v>324</v>
      </c>
      <c r="Q3" s="128"/>
      <c r="S3"/>
      <c r="T3"/>
      <c r="U3"/>
    </row>
    <row r="4" spans="1:28" x14ac:dyDescent="0.3">
      <c r="A4" s="132"/>
      <c r="B4" s="235" t="s">
        <v>325</v>
      </c>
      <c r="C4" s="475">
        <f>IF(Macro!$D$8=1,2500,IF(Macro!$D$8=2,25000,75000))</f>
        <v>25000</v>
      </c>
      <c r="D4" s="73" t="s">
        <v>326</v>
      </c>
      <c r="H4" s="73" t="s">
        <v>234</v>
      </c>
      <c r="I4" s="530">
        <f>'R2_MEFA'!K5</f>
        <v>0.02</v>
      </c>
      <c r="J4" s="462">
        <v>0.02</v>
      </c>
      <c r="S4" s="104"/>
      <c r="T4" s="125"/>
      <c r="U4" s="125"/>
    </row>
    <row r="5" spans="1:28" x14ac:dyDescent="0.3">
      <c r="A5" s="132"/>
      <c r="B5" s="235"/>
      <c r="C5" s="73"/>
      <c r="D5" s="73"/>
      <c r="H5" s="73" t="s">
        <v>379</v>
      </c>
      <c r="I5" s="530">
        <f>'R2_MEFA'!K6</f>
        <v>0.02</v>
      </c>
      <c r="J5" s="462">
        <v>0.02</v>
      </c>
    </row>
    <row r="6" spans="1:28" x14ac:dyDescent="0.3">
      <c r="A6" s="132"/>
      <c r="B6" s="235" t="s">
        <v>379</v>
      </c>
      <c r="C6" s="192">
        <f>$C$4*Battery!$E9*'R2_Hydro_MEFA'!I5</f>
        <v>13.394057688137066</v>
      </c>
      <c r="D6" s="73" t="s">
        <v>326</v>
      </c>
      <c r="H6" s="73" t="s">
        <v>544</v>
      </c>
      <c r="I6" s="530">
        <f>'R2_MEFA'!K7</f>
        <v>0.01</v>
      </c>
      <c r="J6" s="462">
        <v>0.01</v>
      </c>
    </row>
    <row r="7" spans="1:28" x14ac:dyDescent="0.3">
      <c r="A7" s="132"/>
      <c r="B7" s="235" t="s">
        <v>94</v>
      </c>
      <c r="C7" s="192">
        <f>C4*Battery!E10*Efficiencies!E50</f>
        <v>1811.2273832140536</v>
      </c>
      <c r="D7" s="73" t="s">
        <v>326</v>
      </c>
      <c r="I7" s="464"/>
    </row>
    <row r="8" spans="1:28" x14ac:dyDescent="0.3">
      <c r="A8" s="132"/>
      <c r="B8" s="235" t="s">
        <v>93</v>
      </c>
      <c r="C8" s="192">
        <f>C4*Battery!E11*Efficiencies!E50</f>
        <v>606.23520451095214</v>
      </c>
      <c r="D8" s="73" t="s">
        <v>326</v>
      </c>
      <c r="H8" s="104"/>
      <c r="I8" s="494"/>
    </row>
    <row r="9" spans="1:28" x14ac:dyDescent="0.3">
      <c r="A9" s="132"/>
      <c r="B9" s="235" t="s">
        <v>96</v>
      </c>
      <c r="C9" s="192">
        <f>C4*Battery!E12*Efficiencies!E50</f>
        <v>565.35421210149639</v>
      </c>
      <c r="D9" s="73" t="s">
        <v>326</v>
      </c>
      <c r="I9" s="251"/>
    </row>
    <row r="10" spans="1:28" x14ac:dyDescent="0.3">
      <c r="A10" s="132"/>
      <c r="B10" s="235" t="s">
        <v>95</v>
      </c>
      <c r="C10" s="192">
        <f>C4*Battery!E13*Efficiencies!E50</f>
        <v>356.96086055085669</v>
      </c>
      <c r="D10" s="73" t="s">
        <v>326</v>
      </c>
      <c r="I10" s="464"/>
      <c r="AA10" s="356"/>
      <c r="AB10" s="357"/>
    </row>
    <row r="11" spans="1:28" x14ac:dyDescent="0.3">
      <c r="A11" s="132"/>
      <c r="B11" s="235" t="s">
        <v>545</v>
      </c>
      <c r="C11" s="192">
        <f>C4*Battery!E15*'R2_Hydro_MEFA'!I4</f>
        <v>34.566384732162227</v>
      </c>
      <c r="D11" s="73" t="s">
        <v>326</v>
      </c>
    </row>
    <row r="12" spans="1:28" x14ac:dyDescent="0.3">
      <c r="A12" s="132"/>
      <c r="B12" s="235" t="s">
        <v>55</v>
      </c>
      <c r="C12" s="192">
        <f>C4*Battery!E16*Efficiencies!E50</f>
        <v>3010.2277163305139</v>
      </c>
      <c r="D12" s="73" t="s">
        <v>326</v>
      </c>
      <c r="H12" s="104"/>
      <c r="I12" s="491"/>
      <c r="K12" s="104"/>
      <c r="L12" s="104"/>
      <c r="Q12" s="212"/>
    </row>
    <row r="13" spans="1:28" x14ac:dyDescent="0.3">
      <c r="A13" s="132"/>
      <c r="B13" s="235" t="s">
        <v>45</v>
      </c>
      <c r="C13" s="195">
        <f>C4*(Battery!E20)*'R2_Hydro_MEFA'!I6</f>
        <v>0</v>
      </c>
      <c r="D13" s="73" t="s">
        <v>326</v>
      </c>
      <c r="I13" s="464"/>
      <c r="P13" s="104"/>
      <c r="Q13" s="528"/>
      <c r="R13" s="104"/>
    </row>
    <row r="14" spans="1:28" ht="18" x14ac:dyDescent="0.3">
      <c r="A14" s="132"/>
      <c r="B14" s="97" t="s">
        <v>546</v>
      </c>
      <c r="C14" s="195">
        <f>SUM(C6:C13)</f>
        <v>6397.9658191281724</v>
      </c>
      <c r="D14" s="73" t="s">
        <v>326</v>
      </c>
      <c r="S14" s="104"/>
      <c r="T14" s="104"/>
      <c r="U14" s="104"/>
      <c r="V14" s="64"/>
    </row>
    <row r="15" spans="1:28" x14ac:dyDescent="0.3">
      <c r="S15" s="70"/>
      <c r="T15" s="336"/>
      <c r="U15" s="70"/>
      <c r="V15" s="70"/>
    </row>
    <row r="16" spans="1:28" x14ac:dyDescent="0.3">
      <c r="Q16" s="529"/>
      <c r="S16" s="70"/>
      <c r="T16" s="336"/>
      <c r="U16" s="70"/>
      <c r="V16" s="70"/>
    </row>
    <row r="17" spans="1:22" ht="28.8" x14ac:dyDescent="0.3">
      <c r="A17" s="151" t="s">
        <v>281</v>
      </c>
      <c r="B17" s="98" t="s">
        <v>13</v>
      </c>
      <c r="C17" s="98" t="s">
        <v>251</v>
      </c>
      <c r="D17" s="98" t="s">
        <v>252</v>
      </c>
      <c r="E17" s="99" t="s">
        <v>282</v>
      </c>
      <c r="F17" s="99" t="s">
        <v>251</v>
      </c>
      <c r="G17" s="99" t="s">
        <v>252</v>
      </c>
      <c r="H17" s="101" t="s">
        <v>283</v>
      </c>
      <c r="I17" s="101" t="s">
        <v>251</v>
      </c>
      <c r="J17" s="101" t="s">
        <v>252</v>
      </c>
      <c r="K17" s="102" t="s">
        <v>330</v>
      </c>
      <c r="L17" s="102" t="s">
        <v>251</v>
      </c>
      <c r="M17" s="102" t="s">
        <v>252</v>
      </c>
      <c r="N17" s="519" t="s">
        <v>331</v>
      </c>
      <c r="O17" s="519" t="s">
        <v>547</v>
      </c>
      <c r="P17" s="97" t="s">
        <v>285</v>
      </c>
      <c r="Q17" s="466" t="s">
        <v>298</v>
      </c>
      <c r="S17" s="70"/>
      <c r="T17" s="336"/>
      <c r="U17" s="70"/>
      <c r="V17" s="236"/>
    </row>
    <row r="18" spans="1:22" s="125" customFormat="1" x14ac:dyDescent="0.3">
      <c r="A18" s="155" t="s">
        <v>204</v>
      </c>
      <c r="B18" s="237"/>
      <c r="C18" s="237"/>
      <c r="D18" s="238"/>
      <c r="E18" s="238"/>
      <c r="F18" s="238"/>
      <c r="G18" s="238"/>
      <c r="H18" s="238"/>
      <c r="I18" s="238"/>
      <c r="J18" s="238"/>
      <c r="K18" s="237"/>
      <c r="L18" s="237"/>
      <c r="M18" s="237"/>
      <c r="N18" s="237"/>
      <c r="O18" s="237"/>
      <c r="P18" s="238"/>
      <c r="Q18" s="190"/>
      <c r="S18"/>
      <c r="T18"/>
      <c r="U18"/>
      <c r="V18" s="70"/>
    </row>
    <row r="19" spans="1:22" x14ac:dyDescent="0.3">
      <c r="A19" s="210" t="s">
        <v>333</v>
      </c>
      <c r="B19" s="108" t="s">
        <v>548</v>
      </c>
      <c r="C19" s="239">
        <f>C14</f>
        <v>6397.9658191281724</v>
      </c>
      <c r="D19" s="110" t="s">
        <v>288</v>
      </c>
      <c r="E19" s="110"/>
      <c r="F19" s="110"/>
      <c r="G19" s="110"/>
      <c r="H19" s="110"/>
      <c r="I19" s="110"/>
      <c r="J19" s="110"/>
      <c r="K19" s="108"/>
      <c r="L19" s="108"/>
      <c r="M19" s="108"/>
      <c r="N19" s="108"/>
      <c r="O19" s="108"/>
      <c r="P19" s="110"/>
      <c r="Q19" s="191"/>
      <c r="S19" s="70"/>
      <c r="T19" s="70"/>
      <c r="U19" s="70"/>
    </row>
    <row r="20" spans="1:22" x14ac:dyDescent="0.3">
      <c r="A20" s="132" t="s">
        <v>334</v>
      </c>
      <c r="B20" s="108"/>
      <c r="C20" s="108"/>
      <c r="D20" s="110"/>
      <c r="E20" s="108" t="s">
        <v>70</v>
      </c>
      <c r="F20" s="242">
        <f>Stoichiometry!G78</f>
        <v>7694.0408244443042</v>
      </c>
      <c r="G20" s="110" t="s">
        <v>288</v>
      </c>
      <c r="H20" s="110"/>
      <c r="I20" s="110"/>
      <c r="J20" s="110"/>
      <c r="K20" s="108"/>
      <c r="L20" s="108"/>
      <c r="M20" s="108"/>
      <c r="N20" s="108"/>
      <c r="O20" s="108"/>
      <c r="P20" s="110"/>
      <c r="Q20" s="191"/>
      <c r="S20" s="91"/>
      <c r="T20" s="357"/>
      <c r="U20" s="70"/>
    </row>
    <row r="21" spans="1:22" x14ac:dyDescent="0.3">
      <c r="A21" s="132"/>
      <c r="B21" s="108"/>
      <c r="C21" s="108"/>
      <c r="D21" s="110"/>
      <c r="E21" s="108"/>
      <c r="F21" s="242"/>
      <c r="G21" s="110"/>
      <c r="H21" s="110" t="s">
        <v>48</v>
      </c>
      <c r="I21" s="279">
        <f>Energy!P58</f>
        <v>256594.27147848348</v>
      </c>
      <c r="J21" s="110" t="s">
        <v>221</v>
      </c>
      <c r="K21" s="108"/>
      <c r="L21" s="108"/>
      <c r="M21" s="108"/>
      <c r="N21" s="108"/>
      <c r="O21" s="108"/>
      <c r="P21" s="110" t="s">
        <v>380</v>
      </c>
      <c r="Q21" s="191"/>
    </row>
    <row r="22" spans="1:22" x14ac:dyDescent="0.3">
      <c r="A22" s="132"/>
      <c r="B22" s="108"/>
      <c r="C22" s="239"/>
      <c r="D22" s="110"/>
      <c r="E22" s="110"/>
      <c r="F22" s="110"/>
      <c r="G22" s="110"/>
      <c r="H22" s="110"/>
      <c r="I22" s="110"/>
      <c r="J22" s="110"/>
      <c r="K22" s="108" t="s">
        <v>336</v>
      </c>
      <c r="L22" s="239">
        <f>Stoichiometry!G89</f>
        <v>13933.576887436162</v>
      </c>
      <c r="M22" s="108" t="s">
        <v>288</v>
      </c>
      <c r="N22" s="108"/>
      <c r="O22" s="108"/>
      <c r="P22" s="110" t="s">
        <v>549</v>
      </c>
      <c r="Q22" s="191"/>
    </row>
    <row r="23" spans="1:22" x14ac:dyDescent="0.3">
      <c r="A23" s="132"/>
      <c r="B23" s="108"/>
      <c r="C23" s="239"/>
      <c r="D23" s="110"/>
      <c r="E23" s="110"/>
      <c r="F23" s="110"/>
      <c r="G23" s="110"/>
      <c r="H23" s="110"/>
      <c r="I23" s="110"/>
      <c r="J23" s="110"/>
      <c r="K23" s="108" t="s">
        <v>336</v>
      </c>
      <c r="L23" s="239">
        <f>L22/N23</f>
        <v>4692.0727255217926</v>
      </c>
      <c r="M23" s="108" t="s">
        <v>301</v>
      </c>
      <c r="N23" s="509">
        <f>Stoichiometry!C89</f>
        <v>2.9695995144420202</v>
      </c>
      <c r="O23" s="509"/>
      <c r="P23" s="110"/>
      <c r="Q23" s="191"/>
    </row>
    <row r="24" spans="1:22" x14ac:dyDescent="0.3">
      <c r="A24" s="132"/>
      <c r="B24" s="108"/>
      <c r="C24" s="108"/>
      <c r="D24" s="110"/>
      <c r="E24" s="110"/>
      <c r="F24" s="110"/>
      <c r="G24" s="110"/>
      <c r="H24" s="110"/>
      <c r="I24" s="110"/>
      <c r="J24" s="110"/>
      <c r="K24" s="108"/>
      <c r="L24" s="108"/>
      <c r="M24" s="108"/>
      <c r="N24" s="108"/>
      <c r="O24" s="108"/>
      <c r="P24" s="110"/>
      <c r="Q24" s="194"/>
    </row>
    <row r="25" spans="1:22" x14ac:dyDescent="0.3">
      <c r="A25" s="385" t="s">
        <v>205</v>
      </c>
      <c r="B25" s="86"/>
      <c r="C25" s="106"/>
      <c r="D25" s="86"/>
      <c r="E25" s="86"/>
      <c r="F25" s="86"/>
      <c r="G25" s="86"/>
      <c r="H25" s="86"/>
      <c r="I25" s="86"/>
      <c r="J25" s="86"/>
      <c r="K25" s="106"/>
      <c r="L25" s="106"/>
      <c r="M25" s="106"/>
      <c r="N25" s="106"/>
      <c r="O25" s="106"/>
      <c r="P25" s="86"/>
      <c r="Q25" s="191"/>
    </row>
    <row r="26" spans="1:22" x14ac:dyDescent="0.3">
      <c r="A26" s="210" t="s">
        <v>338</v>
      </c>
      <c r="B26" s="108" t="s">
        <v>336</v>
      </c>
      <c r="C26" s="239">
        <f>L22</f>
        <v>13933.576887436162</v>
      </c>
      <c r="D26" s="110" t="s">
        <v>288</v>
      </c>
      <c r="E26" s="110"/>
      <c r="F26" s="110"/>
      <c r="G26" s="110"/>
      <c r="H26" s="110"/>
      <c r="I26" s="110"/>
      <c r="J26" s="110"/>
      <c r="K26" s="108"/>
      <c r="L26" s="108"/>
      <c r="M26" s="108"/>
      <c r="N26" s="108"/>
      <c r="O26" s="108"/>
      <c r="P26" s="110"/>
      <c r="Q26" s="191"/>
    </row>
    <row r="27" spans="1:22" x14ac:dyDescent="0.3">
      <c r="A27" s="132"/>
      <c r="B27" s="108"/>
      <c r="C27" s="108"/>
      <c r="D27" s="110"/>
      <c r="E27" s="108" t="s">
        <v>214</v>
      </c>
      <c r="F27" s="242">
        <f>(Stoichiometry!G80/(Stoichiometry!J11/1000)+Stoichiometry!G81/(Stoichiometry!J6/1000)+Stoichiometry!G82/(Stoichiometry!J5/1000)+Stoichiometry!G83/(Stoichiometry!J7/1000)+Stoichiometry!G84/(Stoichiometry!J8/1000)+Stoichiometry!G85/(Stoichiometry!J9/1000)+Stoichiometry!G86/(Stoichiometry!J10/1000))*Q27</f>
        <v>27388.014875726378</v>
      </c>
      <c r="G27" s="110" t="s">
        <v>288</v>
      </c>
      <c r="H27" s="110"/>
      <c r="I27" s="110"/>
      <c r="J27" s="110"/>
      <c r="K27" s="108"/>
      <c r="L27" s="108"/>
      <c r="M27" s="108"/>
      <c r="N27" s="108"/>
      <c r="O27" s="108"/>
      <c r="P27" s="110" t="s">
        <v>550</v>
      </c>
      <c r="Q27" s="811">
        <v>1.2</v>
      </c>
    </row>
    <row r="28" spans="1:22" x14ac:dyDescent="0.3">
      <c r="A28" s="132"/>
      <c r="B28" s="108"/>
      <c r="C28" s="108"/>
      <c r="D28" s="110"/>
      <c r="E28" s="108"/>
      <c r="F28" s="242"/>
      <c r="G28" s="110"/>
      <c r="H28" s="110" t="s">
        <v>48</v>
      </c>
      <c r="I28" s="342">
        <f>Energy!P59</f>
        <v>105213.82896157615</v>
      </c>
      <c r="J28" s="110" t="s">
        <v>221</v>
      </c>
      <c r="K28" s="108"/>
      <c r="L28" s="108"/>
      <c r="M28" s="108"/>
      <c r="N28" s="108"/>
      <c r="O28" s="108"/>
      <c r="P28" s="110"/>
      <c r="Q28" s="467"/>
    </row>
    <row r="29" spans="1:22" ht="15.45" customHeight="1" x14ac:dyDescent="0.3">
      <c r="A29" s="132"/>
      <c r="B29" s="108"/>
      <c r="C29" s="108"/>
      <c r="D29" s="110"/>
      <c r="E29" s="110"/>
      <c r="F29" s="109"/>
      <c r="G29" s="110"/>
      <c r="H29" s="110"/>
      <c r="I29" s="110"/>
      <c r="J29" s="110"/>
      <c r="K29" s="108" t="s">
        <v>340</v>
      </c>
      <c r="L29" s="239">
        <f>C26+F27</f>
        <v>41321.591763162542</v>
      </c>
      <c r="M29" s="108" t="s">
        <v>288</v>
      </c>
      <c r="N29" s="108"/>
      <c r="O29" s="108"/>
      <c r="P29" s="110"/>
      <c r="Q29" s="191"/>
    </row>
    <row r="30" spans="1:22" ht="15.45" customHeight="1" x14ac:dyDescent="0.3">
      <c r="A30" s="132"/>
      <c r="B30" s="108"/>
      <c r="C30" s="242"/>
      <c r="D30" s="110"/>
      <c r="E30" s="110"/>
      <c r="F30" s="110"/>
      <c r="G30" s="110"/>
      <c r="H30" s="110"/>
      <c r="I30" s="110"/>
      <c r="J30" s="110"/>
      <c r="K30" s="108" t="s">
        <v>340</v>
      </c>
      <c r="L30" s="239">
        <f>L29/N30</f>
        <v>24830.51002325883</v>
      </c>
      <c r="M30" s="108" t="s">
        <v>301</v>
      </c>
      <c r="N30" s="517">
        <f>C26*Stoichiometry!C89/L29+F27*1/L29</f>
        <v>1.664145912607371</v>
      </c>
      <c r="O30" s="517"/>
      <c r="P30" s="110"/>
      <c r="Q30" s="191"/>
    </row>
    <row r="31" spans="1:22" x14ac:dyDescent="0.3">
      <c r="A31" s="132"/>
      <c r="B31" s="108"/>
      <c r="C31" s="108"/>
      <c r="D31" s="110"/>
      <c r="E31" s="110"/>
      <c r="F31" s="110"/>
      <c r="G31" s="110"/>
      <c r="H31" s="110"/>
      <c r="I31" s="110"/>
      <c r="J31" s="110"/>
      <c r="K31" s="108"/>
      <c r="L31" s="108"/>
      <c r="M31" s="108"/>
      <c r="N31" s="108"/>
      <c r="O31" s="108"/>
      <c r="P31" s="110"/>
      <c r="Q31" s="194"/>
    </row>
    <row r="32" spans="1:22" x14ac:dyDescent="0.3">
      <c r="A32" s="385" t="s">
        <v>551</v>
      </c>
      <c r="B32" s="86"/>
      <c r="C32" s="106"/>
      <c r="D32" s="86"/>
      <c r="E32" s="86"/>
      <c r="F32" s="86"/>
      <c r="G32" s="86"/>
      <c r="H32" s="86"/>
      <c r="I32" s="86"/>
      <c r="J32" s="86"/>
      <c r="K32" s="106"/>
      <c r="L32" s="106"/>
      <c r="M32" s="106"/>
      <c r="N32" s="106"/>
      <c r="O32" s="106"/>
      <c r="P32" s="86"/>
      <c r="Q32" s="191"/>
    </row>
    <row r="33" spans="1:25" x14ac:dyDescent="0.3">
      <c r="A33" s="132" t="s">
        <v>552</v>
      </c>
      <c r="B33" s="108" t="s">
        <v>340</v>
      </c>
      <c r="C33" s="239">
        <f>L29</f>
        <v>41321.591763162542</v>
      </c>
      <c r="D33" s="110" t="s">
        <v>288</v>
      </c>
      <c r="E33" s="110"/>
      <c r="F33" s="110"/>
      <c r="G33" s="110"/>
      <c r="H33" s="110"/>
      <c r="I33" s="110"/>
      <c r="J33" s="110"/>
      <c r="K33" s="108"/>
      <c r="L33" s="108"/>
      <c r="M33" s="108"/>
      <c r="N33" s="108"/>
      <c r="O33" s="108"/>
      <c r="P33" s="110"/>
      <c r="Q33" s="191"/>
    </row>
    <row r="34" spans="1:25" x14ac:dyDescent="0.3">
      <c r="A34" s="132"/>
      <c r="B34" s="108"/>
      <c r="C34" s="239"/>
      <c r="D34" s="110"/>
      <c r="E34" s="110"/>
      <c r="F34" s="110"/>
      <c r="G34" s="110"/>
      <c r="H34" s="110" t="s">
        <v>48</v>
      </c>
      <c r="I34" s="342">
        <f>Energy!P60</f>
        <v>81102.326491214961</v>
      </c>
      <c r="J34" s="110" t="s">
        <v>221</v>
      </c>
      <c r="K34" s="108"/>
      <c r="L34" s="108"/>
      <c r="M34" s="108"/>
      <c r="N34" s="108"/>
      <c r="O34" s="108"/>
      <c r="P34" s="110"/>
      <c r="Q34" s="468"/>
    </row>
    <row r="35" spans="1:25" x14ac:dyDescent="0.3">
      <c r="A35" s="132"/>
      <c r="B35" s="108"/>
      <c r="C35" s="108"/>
      <c r="D35" s="110"/>
      <c r="E35" s="110"/>
      <c r="F35" s="110"/>
      <c r="G35" s="110"/>
      <c r="H35" s="110"/>
      <c r="I35" s="110"/>
      <c r="J35" s="110"/>
      <c r="K35" s="108" t="s">
        <v>553</v>
      </c>
      <c r="L35" s="239">
        <f>C12*Efficiencies!E55</f>
        <v>2950.0231620039035</v>
      </c>
      <c r="M35" s="108" t="s">
        <v>288</v>
      </c>
      <c r="N35" s="108"/>
      <c r="O35" s="108"/>
      <c r="P35" s="110"/>
      <c r="Q35" s="191"/>
    </row>
    <row r="36" spans="1:25" x14ac:dyDescent="0.3">
      <c r="A36" s="132"/>
      <c r="B36" s="108"/>
      <c r="C36" s="108"/>
      <c r="D36" s="110"/>
      <c r="E36" s="110"/>
      <c r="F36" s="110"/>
      <c r="G36" s="110"/>
      <c r="H36" s="110"/>
      <c r="I36" s="110"/>
      <c r="J36" s="110"/>
      <c r="K36" s="108" t="s">
        <v>340</v>
      </c>
      <c r="L36" s="239">
        <f>C33-L35</f>
        <v>38371.568601158637</v>
      </c>
      <c r="M36" s="108" t="s">
        <v>288</v>
      </c>
      <c r="N36" s="108"/>
      <c r="O36" s="108"/>
      <c r="P36" s="110"/>
      <c r="Q36" s="191"/>
    </row>
    <row r="37" spans="1:25" x14ac:dyDescent="0.3">
      <c r="A37" s="169"/>
      <c r="B37" s="113"/>
      <c r="C37" s="113"/>
      <c r="D37" s="93"/>
      <c r="E37" s="93"/>
      <c r="F37" s="93"/>
      <c r="G37" s="93"/>
      <c r="H37" s="93"/>
      <c r="I37" s="93"/>
      <c r="J37" s="93"/>
      <c r="K37" s="113"/>
      <c r="L37" s="386"/>
      <c r="M37" s="113"/>
      <c r="N37" s="113"/>
      <c r="O37" s="113"/>
      <c r="P37" s="93"/>
      <c r="Q37" s="194"/>
    </row>
    <row r="38" spans="1:25" x14ac:dyDescent="0.3">
      <c r="A38" s="771" t="s">
        <v>554</v>
      </c>
      <c r="B38" s="108"/>
      <c r="C38" s="108"/>
      <c r="D38" s="110"/>
      <c r="E38" s="110"/>
      <c r="F38" s="110"/>
      <c r="G38" s="110"/>
      <c r="H38" s="110"/>
      <c r="I38" s="110"/>
      <c r="J38" s="110"/>
      <c r="K38" s="108"/>
      <c r="L38" s="239"/>
      <c r="M38" s="108"/>
      <c r="N38" s="108"/>
      <c r="O38" s="108"/>
      <c r="P38" s="110"/>
      <c r="Q38" s="191"/>
    </row>
    <row r="39" spans="1:25" x14ac:dyDescent="0.3">
      <c r="A39" s="132"/>
      <c r="B39" s="110" t="s">
        <v>55</v>
      </c>
      <c r="C39" s="239">
        <f>IF(Macro!D12=TRUE,L35,0)</f>
        <v>2950.0231620039035</v>
      </c>
      <c r="D39" s="110" t="s">
        <v>288</v>
      </c>
      <c r="E39" s="110"/>
      <c r="F39" s="110"/>
      <c r="G39" s="110"/>
      <c r="H39" s="110"/>
      <c r="I39" s="110"/>
      <c r="J39" s="110"/>
      <c r="K39" s="108"/>
      <c r="L39" s="239"/>
      <c r="M39" s="108"/>
      <c r="N39" s="108"/>
      <c r="O39" s="108"/>
      <c r="P39" s="110" t="s">
        <v>555</v>
      </c>
      <c r="Q39" s="191"/>
    </row>
    <row r="40" spans="1:25" x14ac:dyDescent="0.3">
      <c r="A40" s="132"/>
      <c r="B40" s="108"/>
      <c r="C40" s="108"/>
      <c r="D40" s="110"/>
      <c r="E40" s="110" t="s">
        <v>214</v>
      </c>
      <c r="F40" s="279">
        <f>C39*Q40</f>
        <v>8850.069486011711</v>
      </c>
      <c r="G40" s="110" t="s">
        <v>288</v>
      </c>
      <c r="H40" s="110"/>
      <c r="I40" s="110"/>
      <c r="J40" s="110"/>
      <c r="K40" s="108"/>
      <c r="L40" s="239"/>
      <c r="M40" s="108"/>
      <c r="N40" s="108"/>
      <c r="O40" s="108"/>
      <c r="P40" s="110" t="s">
        <v>556</v>
      </c>
      <c r="Q40" s="811">
        <v>3</v>
      </c>
    </row>
    <row r="41" spans="1:25" x14ac:dyDescent="0.3">
      <c r="A41" s="132"/>
      <c r="B41" s="108"/>
      <c r="C41" s="108"/>
      <c r="D41" s="110"/>
      <c r="E41" s="110"/>
      <c r="F41" s="110"/>
      <c r="G41" s="110"/>
      <c r="H41" s="110" t="s">
        <v>48</v>
      </c>
      <c r="I41" s="342">
        <f>Energy!P61</f>
        <v>2290.231693972828</v>
      </c>
      <c r="J41" s="110" t="s">
        <v>221</v>
      </c>
      <c r="K41" s="108"/>
      <c r="L41" s="239"/>
      <c r="M41" s="108"/>
      <c r="N41" s="108"/>
      <c r="O41" s="108"/>
      <c r="P41" s="110"/>
      <c r="Q41" s="191"/>
      <c r="U41" s="180"/>
      <c r="W41" s="167"/>
      <c r="X41" s="358"/>
      <c r="Y41" s="167"/>
    </row>
    <row r="42" spans="1:25" x14ac:dyDescent="0.3">
      <c r="A42" s="132"/>
      <c r="B42" s="108"/>
      <c r="C42" s="108"/>
      <c r="D42" s="110"/>
      <c r="E42" s="110"/>
      <c r="F42" s="110"/>
      <c r="G42" s="110"/>
      <c r="H42" s="110"/>
      <c r="I42" s="110"/>
      <c r="J42" s="110"/>
      <c r="K42" s="108" t="s">
        <v>55</v>
      </c>
      <c r="L42" s="239">
        <f>C39</f>
        <v>2950.0231620039035</v>
      </c>
      <c r="M42" s="108" t="s">
        <v>288</v>
      </c>
      <c r="N42" s="108"/>
      <c r="O42" s="108"/>
      <c r="P42" s="110" t="s">
        <v>557</v>
      </c>
      <c r="Q42" s="191"/>
      <c r="U42" s="180"/>
      <c r="W42" s="167"/>
      <c r="X42" s="358"/>
      <c r="Y42" s="167"/>
    </row>
    <row r="43" spans="1:25" x14ac:dyDescent="0.3">
      <c r="A43" s="132"/>
      <c r="B43" s="108"/>
      <c r="C43" s="108"/>
      <c r="D43" s="110"/>
      <c r="E43" s="110"/>
      <c r="F43" s="110"/>
      <c r="G43" s="110"/>
      <c r="H43" s="110"/>
      <c r="I43" s="110"/>
      <c r="J43" s="110"/>
      <c r="K43" s="108" t="s">
        <v>55</v>
      </c>
      <c r="L43" s="239">
        <f>L42/Stoichiometry!C87</f>
        <v>1475.0115810019518</v>
      </c>
      <c r="M43" s="108" t="s">
        <v>301</v>
      </c>
      <c r="N43" s="108"/>
      <c r="O43" s="108"/>
      <c r="P43" s="110"/>
      <c r="Q43" s="191"/>
      <c r="U43" s="180"/>
      <c r="W43" s="167"/>
      <c r="X43" s="358"/>
      <c r="Y43" s="167"/>
    </row>
    <row r="44" spans="1:25" x14ac:dyDescent="0.3">
      <c r="A44" s="132"/>
      <c r="B44" s="108"/>
      <c r="C44" s="108"/>
      <c r="D44" s="110"/>
      <c r="E44" s="110"/>
      <c r="F44" s="110"/>
      <c r="G44" s="110"/>
      <c r="H44" s="110"/>
      <c r="I44" s="110"/>
      <c r="J44" s="110"/>
      <c r="K44" s="108"/>
      <c r="L44" s="108"/>
      <c r="M44" s="108"/>
      <c r="N44" s="108"/>
      <c r="O44" s="108"/>
      <c r="P44" s="110"/>
      <c r="Q44" s="194"/>
    </row>
    <row r="45" spans="1:25" x14ac:dyDescent="0.3">
      <c r="A45" s="385" t="s">
        <v>211</v>
      </c>
      <c r="B45" s="86"/>
      <c r="C45" s="106"/>
      <c r="D45" s="86"/>
      <c r="E45" s="86"/>
      <c r="F45" s="86"/>
      <c r="G45" s="86"/>
      <c r="H45" s="86"/>
      <c r="I45" s="86"/>
      <c r="J45" s="86"/>
      <c r="K45" s="106"/>
      <c r="L45" s="106"/>
      <c r="M45" s="106"/>
      <c r="N45" s="106"/>
      <c r="O45" s="106"/>
      <c r="P45" s="86"/>
      <c r="Q45" s="191"/>
    </row>
    <row r="46" spans="1:25" x14ac:dyDescent="0.3">
      <c r="A46" s="132" t="s">
        <v>342</v>
      </c>
      <c r="B46" s="108" t="s">
        <v>340</v>
      </c>
      <c r="C46" s="239">
        <f>L36</f>
        <v>38371.568601158637</v>
      </c>
      <c r="D46" s="110" t="s">
        <v>288</v>
      </c>
      <c r="E46" s="110"/>
      <c r="F46" s="110"/>
      <c r="G46" s="110"/>
      <c r="H46" s="110"/>
      <c r="I46" s="110"/>
      <c r="J46" s="110"/>
      <c r="K46" s="108"/>
      <c r="L46" s="108"/>
      <c r="M46" s="108"/>
      <c r="N46" s="108"/>
      <c r="O46" s="108"/>
      <c r="P46" s="110"/>
      <c r="Q46" s="191"/>
    </row>
    <row r="47" spans="1:25" ht="43.95" customHeight="1" x14ac:dyDescent="0.3">
      <c r="A47" s="132"/>
      <c r="B47" s="108"/>
      <c r="C47" s="108"/>
      <c r="D47" s="110"/>
      <c r="E47" s="108" t="s">
        <v>45</v>
      </c>
      <c r="F47" s="243">
        <f>C11*(Stoichiometry!D73/Stoichiometry!D72)*Q47</f>
        <v>33.415984988519064</v>
      </c>
      <c r="G47" s="110" t="s">
        <v>288</v>
      </c>
      <c r="H47" s="110"/>
      <c r="I47" s="110"/>
      <c r="J47" s="110"/>
      <c r="K47" s="108"/>
      <c r="L47" s="108"/>
      <c r="M47" s="108"/>
      <c r="N47" s="108"/>
      <c r="O47" s="108"/>
      <c r="P47" s="110" t="s">
        <v>558</v>
      </c>
      <c r="Q47" s="811">
        <v>1.1000000000000001</v>
      </c>
    </row>
    <row r="48" spans="1:25" x14ac:dyDescent="0.3">
      <c r="A48" s="132"/>
      <c r="B48" s="108"/>
      <c r="C48" s="108"/>
      <c r="D48" s="110"/>
      <c r="E48" s="108"/>
      <c r="F48" s="243"/>
      <c r="G48" s="110"/>
      <c r="H48" s="110" t="s">
        <v>48</v>
      </c>
      <c r="I48" s="342">
        <f>Energy!P62</f>
        <v>99229.606172553074</v>
      </c>
      <c r="J48" s="110" t="s">
        <v>221</v>
      </c>
      <c r="K48" s="108"/>
      <c r="L48" s="108"/>
      <c r="M48" s="108"/>
      <c r="N48" s="108"/>
      <c r="O48" s="108"/>
      <c r="P48" s="110"/>
      <c r="Q48" s="467"/>
      <c r="Y48" s="167"/>
    </row>
    <row r="49" spans="1:17" x14ac:dyDescent="0.3">
      <c r="A49" s="132"/>
      <c r="B49" s="108"/>
      <c r="C49" s="108"/>
      <c r="D49" s="110"/>
      <c r="E49" s="110"/>
      <c r="F49" s="110"/>
      <c r="G49" s="110"/>
      <c r="H49" s="110"/>
      <c r="I49" s="110"/>
      <c r="J49" s="110"/>
      <c r="K49" s="108" t="s">
        <v>340</v>
      </c>
      <c r="L49" s="239">
        <f>C46+F47</f>
        <v>38404.984586147155</v>
      </c>
      <c r="M49" s="108" t="s">
        <v>288</v>
      </c>
      <c r="N49" s="108"/>
      <c r="O49" s="108"/>
      <c r="P49" s="110"/>
      <c r="Q49" s="191"/>
    </row>
    <row r="50" spans="1:17" ht="16.2" customHeight="1" x14ac:dyDescent="0.3">
      <c r="A50" s="132"/>
      <c r="B50" s="108"/>
      <c r="C50" s="108"/>
      <c r="D50" s="110"/>
      <c r="E50" s="110"/>
      <c r="F50" s="110"/>
      <c r="G50" s="110"/>
      <c r="H50" s="110"/>
      <c r="I50" s="110"/>
      <c r="J50" s="110"/>
      <c r="K50" s="108" t="s">
        <v>340</v>
      </c>
      <c r="L50" s="239">
        <f>L49/N50</f>
        <v>23077.894970143887</v>
      </c>
      <c r="M50" s="108" t="s">
        <v>301</v>
      </c>
      <c r="N50" s="517">
        <f>N30</f>
        <v>1.664145912607371</v>
      </c>
      <c r="O50" s="517"/>
      <c r="P50" s="110"/>
      <c r="Q50" s="191"/>
    </row>
    <row r="51" spans="1:17" x14ac:dyDescent="0.3">
      <c r="A51" s="132"/>
      <c r="B51" s="108"/>
      <c r="C51" s="108"/>
      <c r="D51" s="110"/>
      <c r="E51" s="110"/>
      <c r="F51" s="110"/>
      <c r="G51" s="110"/>
      <c r="H51" s="110"/>
      <c r="I51" s="110"/>
      <c r="J51" s="110"/>
      <c r="K51" s="108"/>
      <c r="L51" s="108"/>
      <c r="M51" s="108"/>
      <c r="N51" s="108"/>
      <c r="O51" s="108"/>
      <c r="P51" s="110"/>
      <c r="Q51" s="194"/>
    </row>
    <row r="52" spans="1:17" x14ac:dyDescent="0.3">
      <c r="A52" s="385" t="s">
        <v>212</v>
      </c>
      <c r="B52" s="86"/>
      <c r="C52" s="106"/>
      <c r="D52" s="86"/>
      <c r="E52" s="86"/>
      <c r="F52" s="86"/>
      <c r="G52" s="86"/>
      <c r="H52" s="86"/>
      <c r="I52" s="86"/>
      <c r="J52" s="86"/>
      <c r="K52" s="106"/>
      <c r="L52" s="106"/>
      <c r="M52" s="106"/>
      <c r="N52" s="106"/>
      <c r="O52" s="106"/>
      <c r="P52" s="86"/>
      <c r="Q52" s="191"/>
    </row>
    <row r="53" spans="1:17" x14ac:dyDescent="0.3">
      <c r="A53" s="132" t="s">
        <v>344</v>
      </c>
      <c r="B53" s="108" t="s">
        <v>340</v>
      </c>
      <c r="C53" s="239">
        <f>L49</f>
        <v>38404.984586147155</v>
      </c>
      <c r="D53" s="110" t="s">
        <v>288</v>
      </c>
      <c r="E53" s="110"/>
      <c r="F53" s="110"/>
      <c r="G53" s="110"/>
      <c r="H53" s="110"/>
      <c r="I53" s="110"/>
      <c r="J53" s="110"/>
      <c r="K53" s="108"/>
      <c r="L53" s="108"/>
      <c r="M53" s="108"/>
      <c r="N53" s="108"/>
      <c r="O53" s="108"/>
      <c r="P53" s="110"/>
      <c r="Q53" s="191"/>
    </row>
    <row r="54" spans="1:17" x14ac:dyDescent="0.3">
      <c r="A54" s="132"/>
      <c r="B54" s="108"/>
      <c r="C54" s="239"/>
      <c r="D54" s="110"/>
      <c r="E54" s="110"/>
      <c r="F54" s="110"/>
      <c r="G54" s="110"/>
      <c r="H54" s="110" t="s">
        <v>48</v>
      </c>
      <c r="I54" s="342">
        <f>Energy!P63</f>
        <v>76489.48809134301</v>
      </c>
      <c r="J54" s="110" t="s">
        <v>221</v>
      </c>
      <c r="K54" s="108"/>
      <c r="L54" s="108"/>
      <c r="M54" s="108"/>
      <c r="N54" s="108"/>
      <c r="O54" s="108"/>
      <c r="P54" s="110"/>
      <c r="Q54" s="468"/>
    </row>
    <row r="55" spans="1:17" x14ac:dyDescent="0.3">
      <c r="A55" s="132"/>
      <c r="B55" s="108"/>
      <c r="C55" s="108"/>
      <c r="D55" s="110"/>
      <c r="E55" s="110"/>
      <c r="F55" s="110"/>
      <c r="G55" s="110"/>
      <c r="H55" s="110"/>
      <c r="I55" s="110"/>
      <c r="J55" s="110"/>
      <c r="K55" s="108" t="s">
        <v>559</v>
      </c>
      <c r="L55" s="239">
        <f>C11*Efficiencies!E56</f>
        <v>33.529393190197361</v>
      </c>
      <c r="M55" s="108" t="s">
        <v>288</v>
      </c>
      <c r="N55" s="108"/>
      <c r="O55" s="108"/>
      <c r="P55" s="110"/>
      <c r="Q55" s="191"/>
    </row>
    <row r="56" spans="1:17" x14ac:dyDescent="0.3">
      <c r="A56" s="132"/>
      <c r="B56" s="108"/>
      <c r="C56" s="108"/>
      <c r="D56" s="110"/>
      <c r="E56" s="110"/>
      <c r="F56" s="110"/>
      <c r="G56" s="110"/>
      <c r="H56" s="110"/>
      <c r="I56" s="110"/>
      <c r="J56" s="110"/>
      <c r="K56" s="108" t="s">
        <v>340</v>
      </c>
      <c r="L56" s="239">
        <f>C53-L55</f>
        <v>38371.455192956957</v>
      </c>
      <c r="M56" s="108" t="s">
        <v>288</v>
      </c>
      <c r="N56" s="108"/>
      <c r="O56" s="108"/>
      <c r="P56" s="110"/>
      <c r="Q56" s="191"/>
    </row>
    <row r="57" spans="1:17" x14ac:dyDescent="0.3">
      <c r="A57" s="132"/>
      <c r="B57" s="108"/>
      <c r="C57" s="108"/>
      <c r="D57" s="110"/>
      <c r="E57" s="110"/>
      <c r="F57" s="110"/>
      <c r="G57" s="110"/>
      <c r="H57" s="110"/>
      <c r="I57" s="110"/>
      <c r="J57" s="110"/>
      <c r="K57" s="108"/>
      <c r="L57" s="108"/>
      <c r="M57" s="108"/>
      <c r="N57" s="108"/>
      <c r="O57" s="108"/>
      <c r="P57" s="110"/>
      <c r="Q57" s="194"/>
    </row>
    <row r="58" spans="1:17" x14ac:dyDescent="0.3">
      <c r="A58" s="385" t="s">
        <v>208</v>
      </c>
      <c r="B58" s="86"/>
      <c r="C58" s="106"/>
      <c r="D58" s="86"/>
      <c r="E58" s="86"/>
      <c r="F58" s="86"/>
      <c r="G58" s="86"/>
      <c r="H58" s="86"/>
      <c r="I58" s="86"/>
      <c r="J58" s="86"/>
      <c r="K58" s="106"/>
      <c r="L58" s="106"/>
      <c r="M58" s="106"/>
      <c r="N58" s="106"/>
      <c r="O58" s="106"/>
      <c r="P58" s="86"/>
      <c r="Q58" s="191"/>
    </row>
    <row r="59" spans="1:17" x14ac:dyDescent="0.3">
      <c r="A59" s="210" t="s">
        <v>342</v>
      </c>
      <c r="B59" s="108" t="s">
        <v>340</v>
      </c>
      <c r="C59" s="239">
        <f>L56</f>
        <v>38371.455192956957</v>
      </c>
      <c r="D59" s="110" t="s">
        <v>288</v>
      </c>
      <c r="E59" s="110"/>
      <c r="F59" s="110"/>
      <c r="G59" s="110"/>
      <c r="H59" s="110"/>
      <c r="I59" s="110"/>
      <c r="J59" s="110"/>
      <c r="K59" s="108"/>
      <c r="L59" s="108"/>
      <c r="M59" s="108"/>
      <c r="N59" s="108"/>
      <c r="O59" s="108"/>
      <c r="P59" s="110"/>
      <c r="Q59" s="191"/>
    </row>
    <row r="60" spans="1:17" x14ac:dyDescent="0.3">
      <c r="A60" s="210"/>
      <c r="B60" s="108" t="s">
        <v>340</v>
      </c>
      <c r="C60" s="239">
        <f>C59/N60</f>
        <v>23057.746861173284</v>
      </c>
      <c r="D60" s="110" t="s">
        <v>301</v>
      </c>
      <c r="E60" s="110"/>
      <c r="F60" s="110"/>
      <c r="G60" s="110"/>
      <c r="H60" s="110"/>
      <c r="I60" s="110"/>
      <c r="J60" s="110"/>
      <c r="K60" s="108"/>
      <c r="L60" s="108"/>
      <c r="M60" s="108"/>
      <c r="N60" s="517">
        <f>N50</f>
        <v>1.664145912607371</v>
      </c>
      <c r="O60" s="517"/>
      <c r="P60" s="110"/>
      <c r="Q60" s="191"/>
    </row>
    <row r="61" spans="1:17" x14ac:dyDescent="0.3">
      <c r="A61" s="132"/>
      <c r="B61" s="108"/>
      <c r="C61" s="108"/>
      <c r="D61" s="110"/>
      <c r="E61" s="108" t="s">
        <v>74</v>
      </c>
      <c r="F61" s="239">
        <f>F62*Stoichiometry!C93</f>
        <v>1337.3493179480506</v>
      </c>
      <c r="G61" s="110" t="s">
        <v>288</v>
      </c>
      <c r="H61" s="110"/>
      <c r="I61" s="110"/>
      <c r="J61" s="110"/>
      <c r="K61" s="108"/>
      <c r="L61" s="108"/>
      <c r="M61" s="108"/>
      <c r="N61" s="108"/>
      <c r="O61" s="108"/>
      <c r="P61" s="110" t="s">
        <v>347</v>
      </c>
      <c r="Q61" s="816">
        <v>0.04</v>
      </c>
    </row>
    <row r="62" spans="1:17" x14ac:dyDescent="0.3">
      <c r="A62" s="132"/>
      <c r="B62" s="108"/>
      <c r="C62" s="108"/>
      <c r="D62" s="110"/>
      <c r="E62" s="108" t="s">
        <v>74</v>
      </c>
      <c r="F62" s="239">
        <f>C60*Q61</f>
        <v>922.30987444693142</v>
      </c>
      <c r="G62" s="110" t="s">
        <v>301</v>
      </c>
      <c r="H62" s="110"/>
      <c r="I62" s="110"/>
      <c r="J62" s="110"/>
      <c r="K62" s="108"/>
      <c r="L62" s="108"/>
      <c r="M62" s="108"/>
      <c r="N62" s="108"/>
      <c r="O62" s="108"/>
      <c r="P62" s="110"/>
      <c r="Q62" s="191"/>
    </row>
    <row r="63" spans="1:17" x14ac:dyDescent="0.3">
      <c r="A63" s="132"/>
      <c r="B63" s="108"/>
      <c r="C63" s="108"/>
      <c r="D63" s="110"/>
      <c r="E63" s="108"/>
      <c r="F63" s="239"/>
      <c r="H63" s="110" t="s">
        <v>48</v>
      </c>
      <c r="I63" s="342">
        <f>Energy!P64</f>
        <v>102320.92998154875</v>
      </c>
      <c r="J63" s="110" t="s">
        <v>221</v>
      </c>
      <c r="K63" s="108"/>
      <c r="L63" s="108"/>
      <c r="M63" s="108"/>
      <c r="N63" s="108"/>
      <c r="O63" s="108"/>
      <c r="P63" s="110"/>
      <c r="Q63" s="468"/>
    </row>
    <row r="64" spans="1:17" x14ac:dyDescent="0.3">
      <c r="A64" s="132"/>
      <c r="B64" s="108"/>
      <c r="C64" s="108"/>
      <c r="D64" s="110"/>
      <c r="E64" s="110"/>
      <c r="F64" s="110"/>
      <c r="H64" s="110"/>
      <c r="I64" s="110"/>
      <c r="J64" s="110"/>
      <c r="K64" s="108" t="s">
        <v>340</v>
      </c>
      <c r="L64" s="239">
        <f>C59+F61</f>
        <v>39708.804510905007</v>
      </c>
      <c r="M64" s="108" t="s">
        <v>288</v>
      </c>
      <c r="N64" s="108"/>
      <c r="O64" s="108"/>
      <c r="P64" s="110"/>
      <c r="Q64" s="191"/>
    </row>
    <row r="65" spans="1:17" x14ac:dyDescent="0.3">
      <c r="A65" s="132"/>
      <c r="B65" s="108"/>
      <c r="C65" s="108"/>
      <c r="D65" s="110"/>
      <c r="E65" s="110"/>
      <c r="F65" s="110"/>
      <c r="G65" s="110"/>
      <c r="H65" s="110"/>
      <c r="I65" s="110"/>
      <c r="J65" s="110"/>
      <c r="K65" s="108" t="s">
        <v>340</v>
      </c>
      <c r="L65" s="239">
        <f>C60+F62</f>
        <v>23980.056735620215</v>
      </c>
      <c r="M65" s="108" t="s">
        <v>301</v>
      </c>
      <c r="N65" s="108"/>
      <c r="O65" s="108"/>
      <c r="P65" s="110"/>
      <c r="Q65" s="191"/>
    </row>
    <row r="66" spans="1:17" x14ac:dyDescent="0.3">
      <c r="A66" s="132"/>
      <c r="B66" s="108"/>
      <c r="C66" s="108"/>
      <c r="D66" s="110"/>
      <c r="E66" s="110"/>
      <c r="F66" s="110"/>
      <c r="G66" s="110"/>
      <c r="H66" s="110"/>
      <c r="I66" s="110"/>
      <c r="J66" s="110"/>
      <c r="K66" s="108"/>
      <c r="L66" s="108"/>
      <c r="M66" s="108"/>
      <c r="N66" s="108"/>
      <c r="O66" s="108"/>
      <c r="P66" s="110"/>
      <c r="Q66" s="194"/>
    </row>
    <row r="67" spans="1:17" x14ac:dyDescent="0.3">
      <c r="A67" s="385" t="s">
        <v>560</v>
      </c>
      <c r="B67" s="86"/>
      <c r="C67" s="106"/>
      <c r="D67" s="86"/>
      <c r="E67" s="86"/>
      <c r="F67" s="86"/>
      <c r="G67" s="86"/>
      <c r="H67" s="86"/>
      <c r="I67" s="86"/>
      <c r="J67" s="86"/>
      <c r="K67" s="106"/>
      <c r="L67" s="106"/>
      <c r="M67" s="106"/>
      <c r="N67" s="106"/>
      <c r="O67" s="106"/>
      <c r="P67" s="86"/>
      <c r="Q67" s="191"/>
    </row>
    <row r="68" spans="1:17" x14ac:dyDescent="0.3">
      <c r="A68" s="210" t="s">
        <v>338</v>
      </c>
      <c r="B68" s="108" t="s">
        <v>340</v>
      </c>
      <c r="C68" s="239">
        <f>L64</f>
        <v>39708.804510905007</v>
      </c>
      <c r="D68" s="110" t="s">
        <v>288</v>
      </c>
      <c r="E68" s="110"/>
      <c r="F68" s="110"/>
      <c r="G68" s="110"/>
      <c r="H68" s="110"/>
      <c r="I68" s="110"/>
      <c r="J68" s="110"/>
      <c r="K68" s="108"/>
      <c r="L68" s="108"/>
      <c r="M68" s="108"/>
      <c r="N68" s="108"/>
      <c r="O68" s="108"/>
      <c r="P68" s="110"/>
      <c r="Q68" s="191"/>
    </row>
    <row r="69" spans="1:17" x14ac:dyDescent="0.3">
      <c r="A69" s="132"/>
      <c r="B69" s="108"/>
      <c r="C69" s="108"/>
      <c r="D69" s="110"/>
      <c r="E69" s="108" t="s">
        <v>66</v>
      </c>
      <c r="F69" s="239">
        <f>F20*Q69</f>
        <v>15388.081648888608</v>
      </c>
      <c r="G69" s="110" t="s">
        <v>288</v>
      </c>
      <c r="H69" s="110"/>
      <c r="I69" s="110"/>
      <c r="J69" s="110"/>
      <c r="K69" s="108"/>
      <c r="L69" s="108"/>
      <c r="M69" s="108"/>
      <c r="N69" s="108"/>
      <c r="O69" s="108"/>
      <c r="P69" s="110" t="s">
        <v>348</v>
      </c>
      <c r="Q69" s="811">
        <v>2</v>
      </c>
    </row>
    <row r="70" spans="1:17" x14ac:dyDescent="0.3">
      <c r="A70" s="132"/>
      <c r="B70" s="108"/>
      <c r="C70" s="108"/>
      <c r="D70" s="110"/>
      <c r="E70" s="108"/>
      <c r="F70" s="239"/>
      <c r="G70" s="110"/>
      <c r="H70" s="110" t="s">
        <v>48</v>
      </c>
      <c r="I70" s="342">
        <f>Energy!P65</f>
        <v>124703.49996305016</v>
      </c>
      <c r="J70" s="110" t="s">
        <v>221</v>
      </c>
      <c r="K70" s="108"/>
      <c r="L70" s="108"/>
      <c r="M70" s="108"/>
      <c r="N70" s="108"/>
      <c r="O70" s="108"/>
      <c r="P70" s="110"/>
      <c r="Q70" s="468"/>
    </row>
    <row r="71" spans="1:17" x14ac:dyDescent="0.3">
      <c r="A71" s="132"/>
      <c r="B71" s="108"/>
      <c r="C71" s="108"/>
      <c r="D71" s="110"/>
      <c r="E71" s="110"/>
      <c r="F71" s="110"/>
      <c r="G71" s="110"/>
      <c r="H71" s="110"/>
      <c r="I71" s="110"/>
      <c r="J71" s="110"/>
      <c r="K71" s="108" t="s">
        <v>340</v>
      </c>
      <c r="L71" s="239">
        <f>C68+F69</f>
        <v>55096.886159793619</v>
      </c>
      <c r="M71" s="108" t="s">
        <v>288</v>
      </c>
      <c r="N71" s="110"/>
      <c r="O71" s="110"/>
      <c r="Q71" s="191"/>
    </row>
    <row r="72" spans="1:17" x14ac:dyDescent="0.3">
      <c r="A72" s="132"/>
      <c r="B72" s="108"/>
      <c r="C72" s="108"/>
      <c r="D72" s="110"/>
      <c r="E72" s="110"/>
      <c r="F72" s="110"/>
      <c r="G72" s="110"/>
      <c r="H72" s="110"/>
      <c r="I72" s="110"/>
      <c r="J72" s="110"/>
      <c r="K72" s="108" t="s">
        <v>340</v>
      </c>
      <c r="L72" s="239">
        <f>L71/N72</f>
        <v>30707.390454006465</v>
      </c>
      <c r="M72" s="108" t="s">
        <v>301</v>
      </c>
      <c r="N72" s="517">
        <f>N60*C68/L71+Stoichiometry!C94*F69/L71</f>
        <v>1.7942549120973905</v>
      </c>
      <c r="O72" s="517"/>
      <c r="P72" s="111"/>
      <c r="Q72" s="191"/>
    </row>
    <row r="73" spans="1:17" x14ac:dyDescent="0.3">
      <c r="A73" s="132"/>
      <c r="B73" s="108"/>
      <c r="C73" s="108"/>
      <c r="D73" s="110"/>
      <c r="E73" s="110"/>
      <c r="F73" s="110"/>
      <c r="G73" s="110"/>
      <c r="H73" s="110"/>
      <c r="I73" s="110"/>
      <c r="J73" s="110"/>
      <c r="K73" s="108"/>
      <c r="L73" s="108"/>
      <c r="M73" s="108"/>
      <c r="N73" s="108"/>
      <c r="O73" s="108"/>
      <c r="P73" s="110"/>
      <c r="Q73" s="194"/>
    </row>
    <row r="74" spans="1:17" x14ac:dyDescent="0.3">
      <c r="A74" s="385" t="s">
        <v>561</v>
      </c>
      <c r="B74" s="86"/>
      <c r="C74" s="106"/>
      <c r="D74" s="86"/>
      <c r="E74" s="86"/>
      <c r="F74" s="86"/>
      <c r="G74" s="86"/>
      <c r="H74" s="86"/>
      <c r="I74" s="86"/>
      <c r="J74" s="86"/>
      <c r="K74" s="106"/>
      <c r="L74" s="106"/>
      <c r="M74" s="106"/>
      <c r="N74" s="106"/>
      <c r="O74" s="106"/>
      <c r="P74" s="86"/>
      <c r="Q74" s="191"/>
    </row>
    <row r="75" spans="1:17" x14ac:dyDescent="0.3">
      <c r="A75" s="132" t="s">
        <v>350</v>
      </c>
      <c r="B75" s="108" t="s">
        <v>340</v>
      </c>
      <c r="C75" s="239">
        <f>L71</f>
        <v>55096.886159793619</v>
      </c>
      <c r="D75" s="110" t="s">
        <v>288</v>
      </c>
      <c r="E75" s="110"/>
      <c r="F75" s="110"/>
      <c r="G75" s="110"/>
      <c r="H75" s="110"/>
      <c r="I75" s="110"/>
      <c r="J75" s="110"/>
      <c r="K75" s="108"/>
      <c r="L75" s="108"/>
      <c r="M75" s="108"/>
      <c r="N75" s="108"/>
      <c r="O75" s="108"/>
      <c r="P75" s="110"/>
      <c r="Q75" s="191"/>
    </row>
    <row r="76" spans="1:17" x14ac:dyDescent="0.3">
      <c r="A76" s="132"/>
      <c r="B76" s="108"/>
      <c r="C76" s="239"/>
      <c r="D76" s="110"/>
      <c r="E76" s="110"/>
      <c r="F76" s="110"/>
      <c r="G76" s="110"/>
      <c r="H76" s="110" t="s">
        <v>48</v>
      </c>
      <c r="I76" s="342">
        <f>Energy!P66</f>
        <v>96125.61455485117</v>
      </c>
      <c r="J76" s="110" t="s">
        <v>221</v>
      </c>
      <c r="K76" s="108"/>
      <c r="L76" s="108"/>
      <c r="M76" s="108"/>
      <c r="N76" s="108"/>
      <c r="O76" s="108"/>
      <c r="P76" s="110"/>
      <c r="Q76" s="468"/>
    </row>
    <row r="77" spans="1:17" x14ac:dyDescent="0.3">
      <c r="A77" s="132"/>
      <c r="B77" s="108"/>
      <c r="C77" s="108"/>
      <c r="D77" s="110"/>
      <c r="E77" s="110"/>
      <c r="F77" s="110"/>
      <c r="G77" s="110"/>
      <c r="H77" s="110"/>
      <c r="I77" s="110"/>
      <c r="J77" s="110"/>
      <c r="K77" s="108" t="s">
        <v>340</v>
      </c>
      <c r="L77" s="239">
        <f>C75-L79-L80</f>
        <v>55002.355208130743</v>
      </c>
      <c r="M77" s="108" t="s">
        <v>288</v>
      </c>
      <c r="N77" s="108"/>
      <c r="O77" s="108"/>
      <c r="P77" s="110"/>
      <c r="Q77" s="191"/>
    </row>
    <row r="78" spans="1:17" x14ac:dyDescent="0.3">
      <c r="A78" s="132"/>
      <c r="B78" s="108"/>
      <c r="C78" s="108"/>
      <c r="D78" s="110"/>
      <c r="E78" s="110"/>
      <c r="F78" s="110"/>
      <c r="G78" s="110"/>
      <c r="H78" s="110"/>
      <c r="I78" s="110"/>
      <c r="J78" s="110"/>
      <c r="K78" s="108" t="s">
        <v>340</v>
      </c>
      <c r="L78" s="239">
        <f>L77/N78</f>
        <v>27501.177604065371</v>
      </c>
      <c r="M78" s="108" t="s">
        <v>301</v>
      </c>
      <c r="N78" s="511">
        <v>2</v>
      </c>
      <c r="O78" s="511"/>
      <c r="P78" s="111"/>
      <c r="Q78" s="191"/>
    </row>
    <row r="79" spans="1:17" x14ac:dyDescent="0.3">
      <c r="A79" s="132"/>
      <c r="B79" s="108"/>
      <c r="C79" s="108"/>
      <c r="D79" s="110"/>
      <c r="E79" s="110"/>
      <c r="F79" s="110"/>
      <c r="G79" s="110"/>
      <c r="H79" s="110"/>
      <c r="I79" s="110"/>
      <c r="J79" s="110"/>
      <c r="K79" s="110" t="s">
        <v>46</v>
      </c>
      <c r="L79" s="245">
        <f>(C13+F47)*(Stoichiometry!D91/Stoichiometry!D73)*Efficiencies!E57</f>
        <v>58.826732506091133</v>
      </c>
      <c r="M79" s="108" t="s">
        <v>288</v>
      </c>
      <c r="N79" s="108"/>
      <c r="O79" s="108"/>
      <c r="P79" s="110" t="s">
        <v>351</v>
      </c>
      <c r="Q79" s="191"/>
    </row>
    <row r="80" spans="1:17" x14ac:dyDescent="0.3">
      <c r="A80" s="132"/>
      <c r="B80" s="108"/>
      <c r="C80" s="108"/>
      <c r="D80" s="110"/>
      <c r="E80" s="110"/>
      <c r="F80" s="110"/>
      <c r="G80" s="110"/>
      <c r="H80" s="110"/>
      <c r="I80" s="110"/>
      <c r="J80" s="110"/>
      <c r="K80" s="108" t="s">
        <v>562</v>
      </c>
      <c r="L80" s="245">
        <f>C6*(Stoichiometry!D92/Stoichiometry!D67)*Efficiencies!E58</f>
        <v>35.70421915678736</v>
      </c>
      <c r="M80" s="108" t="s">
        <v>288</v>
      </c>
      <c r="N80" s="108"/>
      <c r="O80" s="108"/>
      <c r="P80" s="110" t="s">
        <v>563</v>
      </c>
      <c r="Q80" s="191"/>
    </row>
    <row r="81" spans="1:21" x14ac:dyDescent="0.3">
      <c r="A81" s="132"/>
      <c r="B81" s="108"/>
      <c r="C81" s="108"/>
      <c r="D81" s="110"/>
      <c r="E81" s="110"/>
      <c r="F81" s="110"/>
      <c r="G81" s="110"/>
      <c r="H81" s="110"/>
      <c r="I81" s="110"/>
      <c r="J81" s="110"/>
      <c r="K81" s="108"/>
      <c r="L81" s="108"/>
      <c r="M81" s="108"/>
      <c r="N81" s="108"/>
      <c r="O81" s="108"/>
      <c r="P81" s="110"/>
      <c r="Q81" s="194"/>
    </row>
    <row r="82" spans="1:21" x14ac:dyDescent="0.3">
      <c r="A82" s="385" t="s">
        <v>564</v>
      </c>
      <c r="B82" s="86"/>
      <c r="C82" s="106"/>
      <c r="D82" s="86"/>
      <c r="E82" s="86"/>
      <c r="F82" s="86"/>
      <c r="G82" s="86"/>
      <c r="H82" s="86"/>
      <c r="I82" s="86"/>
      <c r="J82" s="86"/>
      <c r="K82" s="106"/>
      <c r="L82" s="106"/>
      <c r="M82" s="106"/>
      <c r="N82" s="106"/>
      <c r="O82" s="106"/>
      <c r="P82" s="86"/>
      <c r="Q82" s="191"/>
    </row>
    <row r="83" spans="1:21" x14ac:dyDescent="0.3">
      <c r="A83" s="132" t="s">
        <v>342</v>
      </c>
      <c r="B83" s="108" t="s">
        <v>340</v>
      </c>
      <c r="C83" s="239">
        <f>L77</f>
        <v>55002.355208130743</v>
      </c>
      <c r="D83" s="110" t="s">
        <v>288</v>
      </c>
      <c r="E83" s="110"/>
      <c r="F83" s="110"/>
      <c r="G83" s="110"/>
      <c r="H83" s="110"/>
      <c r="I83" s="110"/>
      <c r="J83" s="110"/>
      <c r="K83" s="108"/>
      <c r="L83" s="108"/>
      <c r="M83" s="108"/>
      <c r="N83" s="108"/>
      <c r="O83" s="242">
        <f>Energy!S67</f>
        <v>7920</v>
      </c>
      <c r="P83" s="110" t="s">
        <v>266</v>
      </c>
      <c r="Q83" s="191"/>
    </row>
    <row r="84" spans="1:21" ht="43.2" x14ac:dyDescent="0.3">
      <c r="A84" s="132"/>
      <c r="B84" s="108"/>
      <c r="C84" s="108"/>
      <c r="D84" s="110"/>
      <c r="E84" s="108" t="s">
        <v>565</v>
      </c>
      <c r="F84" s="387">
        <f>C83/3*1.3*Q84/O83</f>
        <v>1.8808675760356157</v>
      </c>
      <c r="G84" s="110" t="s">
        <v>288</v>
      </c>
      <c r="I84" s="110"/>
      <c r="J84" s="110"/>
      <c r="K84" s="108"/>
      <c r="L84" s="108"/>
      <c r="M84" s="108"/>
      <c r="N84" s="108"/>
      <c r="O84" s="108"/>
      <c r="P84" s="110" t="s">
        <v>566</v>
      </c>
      <c r="Q84" s="838">
        <v>0.625</v>
      </c>
    </row>
    <row r="85" spans="1:21" ht="43.2" x14ac:dyDescent="0.3">
      <c r="A85" s="132"/>
      <c r="B85" s="108"/>
      <c r="C85" s="108"/>
      <c r="D85" s="110"/>
      <c r="E85" s="108" t="s">
        <v>567</v>
      </c>
      <c r="F85" s="243">
        <f>C83/3*1.3*Q85/O83</f>
        <v>1.1285205456213694</v>
      </c>
      <c r="G85" s="110" t="s">
        <v>568</v>
      </c>
      <c r="H85" s="110"/>
      <c r="I85" s="110"/>
      <c r="J85" s="110"/>
      <c r="K85" s="108"/>
      <c r="L85" s="108"/>
      <c r="M85" s="108"/>
      <c r="N85" s="108"/>
      <c r="O85" s="108"/>
      <c r="P85" s="110" t="s">
        <v>569</v>
      </c>
      <c r="Q85" s="838">
        <v>0.375</v>
      </c>
    </row>
    <row r="86" spans="1:21" ht="28.8" x14ac:dyDescent="0.3">
      <c r="A86" s="132"/>
      <c r="B86" s="108"/>
      <c r="C86" s="108"/>
      <c r="D86" s="110"/>
      <c r="E86" s="108" t="s">
        <v>570</v>
      </c>
      <c r="F86" s="927">
        <f>F85*Q86</f>
        <v>5.6426027281068471E-2</v>
      </c>
      <c r="G86" s="110" t="s">
        <v>326</v>
      </c>
      <c r="H86" s="110"/>
      <c r="I86" s="110"/>
      <c r="J86" s="110"/>
      <c r="K86" s="108"/>
      <c r="L86" s="108"/>
      <c r="M86" s="108"/>
      <c r="N86" s="108"/>
      <c r="O86" s="108"/>
      <c r="P86" s="111" t="s">
        <v>571</v>
      </c>
      <c r="Q86" s="816">
        <v>0.05</v>
      </c>
      <c r="S86" s="236"/>
      <c r="T86" s="236"/>
      <c r="U86" s="236"/>
    </row>
    <row r="87" spans="1:21" x14ac:dyDescent="0.3">
      <c r="A87" s="132"/>
      <c r="B87" s="108"/>
      <c r="C87" s="108"/>
      <c r="D87" s="110"/>
      <c r="E87" s="108"/>
      <c r="F87" s="243"/>
      <c r="G87" s="110"/>
      <c r="H87" s="110" t="s">
        <v>48</v>
      </c>
      <c r="I87" s="279">
        <f>Energy!P67</f>
        <v>114173.50834139792</v>
      </c>
      <c r="J87" s="110" t="s">
        <v>221</v>
      </c>
      <c r="K87" s="108"/>
      <c r="L87" s="108"/>
      <c r="M87" s="108"/>
      <c r="N87" s="108"/>
      <c r="O87" s="108"/>
      <c r="P87" s="110"/>
      <c r="Q87" s="244"/>
    </row>
    <row r="88" spans="1:21" ht="28.8" x14ac:dyDescent="0.3">
      <c r="A88" s="132"/>
      <c r="B88" s="108"/>
      <c r="C88" s="108"/>
      <c r="D88" s="110"/>
      <c r="E88" s="110"/>
      <c r="F88" s="110"/>
      <c r="G88" s="110"/>
      <c r="H88" s="110"/>
      <c r="I88" s="110"/>
      <c r="J88" s="110"/>
      <c r="K88" s="108" t="s">
        <v>572</v>
      </c>
      <c r="L88" s="239">
        <f>F84+F85+Stoichiometry!G82+Stoichiometry!G82/(Stoichiometry!J5/1000)+Stoichiometry!G81+Stoichiometry!G81/(Stoichiometry!J6/1000)</f>
        <v>18177.371957735682</v>
      </c>
      <c r="M88" s="108" t="s">
        <v>288</v>
      </c>
      <c r="N88" s="108"/>
      <c r="O88" s="108"/>
      <c r="P88" s="110" t="s">
        <v>573</v>
      </c>
      <c r="Q88" s="191"/>
    </row>
    <row r="89" spans="1:21" x14ac:dyDescent="0.3">
      <c r="A89" s="132"/>
      <c r="B89" s="108"/>
      <c r="C89" s="108"/>
      <c r="D89" s="110"/>
      <c r="E89" s="110"/>
      <c r="F89" s="110"/>
      <c r="G89" s="110"/>
      <c r="H89" s="110"/>
      <c r="I89" s="110"/>
      <c r="J89" s="110"/>
      <c r="K89" s="108" t="s">
        <v>572</v>
      </c>
      <c r="L89" s="239">
        <f>L88/N89</f>
        <v>9088.6859788678412</v>
      </c>
      <c r="M89" s="108" t="s">
        <v>301</v>
      </c>
      <c r="N89" s="511">
        <v>2</v>
      </c>
      <c r="O89" s="511"/>
      <c r="P89" s="111"/>
      <c r="Q89" s="191"/>
      <c r="T89" s="167"/>
    </row>
    <row r="90" spans="1:21" ht="45" customHeight="1" x14ac:dyDescent="0.3">
      <c r="A90" s="132"/>
      <c r="B90" s="108"/>
      <c r="C90" s="108"/>
      <c r="D90" s="110"/>
      <c r="E90" s="110"/>
      <c r="F90" s="110"/>
      <c r="G90" s="110"/>
      <c r="H90" s="110"/>
      <c r="I90" s="110"/>
      <c r="J90" s="110"/>
      <c r="K90" s="108" t="s">
        <v>340</v>
      </c>
      <c r="L90" s="239">
        <f>C83+F84+F85-L88</f>
        <v>36827.99263851672</v>
      </c>
      <c r="M90" s="108" t="s">
        <v>288</v>
      </c>
      <c r="N90" s="108"/>
      <c r="O90" s="108"/>
      <c r="P90" s="110" t="s">
        <v>574</v>
      </c>
      <c r="Q90" s="191"/>
    </row>
    <row r="91" spans="1:21" ht="45" customHeight="1" x14ac:dyDescent="0.3">
      <c r="A91" s="132"/>
      <c r="B91" s="108"/>
      <c r="C91" s="108"/>
      <c r="D91" s="110"/>
      <c r="E91" s="110"/>
      <c r="F91" s="110"/>
      <c r="G91" s="110"/>
      <c r="H91" s="110"/>
      <c r="I91" s="110"/>
      <c r="J91" s="110"/>
      <c r="K91" s="108" t="s">
        <v>340</v>
      </c>
      <c r="L91" s="239">
        <f>L90/N91</f>
        <v>36827.99263851672</v>
      </c>
      <c r="M91" s="108" t="s">
        <v>301</v>
      </c>
      <c r="N91" s="517">
        <v>1</v>
      </c>
      <c r="O91" s="517"/>
      <c r="P91" s="110"/>
      <c r="Q91" s="527"/>
    </row>
    <row r="92" spans="1:21" x14ac:dyDescent="0.3">
      <c r="A92" s="132"/>
      <c r="B92" s="108"/>
      <c r="C92" s="108"/>
      <c r="D92" s="110"/>
      <c r="E92" s="110"/>
      <c r="F92" s="110"/>
      <c r="G92" s="110"/>
      <c r="H92" s="110"/>
      <c r="I92" s="110"/>
      <c r="J92" s="110"/>
      <c r="K92" s="108"/>
      <c r="L92" s="108"/>
      <c r="M92" s="108"/>
      <c r="N92" s="108"/>
      <c r="O92" s="108"/>
      <c r="P92" s="110"/>
      <c r="Q92" s="194"/>
      <c r="T92" s="167"/>
    </row>
    <row r="93" spans="1:21" x14ac:dyDescent="0.3">
      <c r="A93" s="385" t="s">
        <v>575</v>
      </c>
      <c r="B93" s="86"/>
      <c r="C93" s="106"/>
      <c r="D93" s="86"/>
      <c r="E93" s="86"/>
      <c r="F93" s="86"/>
      <c r="G93" s="86"/>
      <c r="H93" s="86"/>
      <c r="I93" s="86"/>
      <c r="J93" s="86"/>
      <c r="K93" s="106"/>
      <c r="L93" s="106"/>
      <c r="M93" s="106"/>
      <c r="N93" s="106"/>
      <c r="O93" s="106"/>
      <c r="P93" s="86"/>
      <c r="Q93" s="191"/>
    </row>
    <row r="94" spans="1:21" x14ac:dyDescent="0.3">
      <c r="A94" s="132" t="s">
        <v>342</v>
      </c>
      <c r="B94" s="108" t="s">
        <v>572</v>
      </c>
      <c r="C94" s="239">
        <f>L88</f>
        <v>18177.371957735682</v>
      </c>
      <c r="D94" s="110" t="s">
        <v>288</v>
      </c>
      <c r="E94" s="110"/>
      <c r="F94" s="110"/>
      <c r="G94" s="110"/>
      <c r="H94" s="110"/>
      <c r="I94" s="110"/>
      <c r="J94" s="110"/>
      <c r="K94" s="108"/>
      <c r="L94" s="108"/>
      <c r="M94" s="108"/>
      <c r="N94" s="108"/>
      <c r="O94" s="108"/>
      <c r="P94" s="110"/>
      <c r="Q94" s="191"/>
      <c r="T94" s="167"/>
    </row>
    <row r="95" spans="1:21" ht="28.2" customHeight="1" x14ac:dyDescent="0.3">
      <c r="A95" s="132"/>
      <c r="B95" s="108"/>
      <c r="C95" s="108"/>
      <c r="D95" s="110"/>
      <c r="E95" s="108" t="s">
        <v>576</v>
      </c>
      <c r="F95" s="108" t="s">
        <v>364</v>
      </c>
      <c r="G95" s="110" t="s">
        <v>288</v>
      </c>
      <c r="H95" s="110"/>
      <c r="I95" s="110"/>
      <c r="J95" s="110"/>
      <c r="K95" s="108"/>
      <c r="L95" s="108"/>
      <c r="M95" s="108"/>
      <c r="N95" s="108"/>
      <c r="O95" s="108"/>
      <c r="P95" s="110"/>
      <c r="Q95" s="191"/>
    </row>
    <row r="96" spans="1:21" x14ac:dyDescent="0.3">
      <c r="A96" s="132"/>
      <c r="B96" s="108"/>
      <c r="C96" s="108"/>
      <c r="D96" s="110"/>
      <c r="E96" s="108"/>
      <c r="F96" s="108"/>
      <c r="G96" s="110"/>
      <c r="H96" s="110" t="s">
        <v>48</v>
      </c>
      <c r="I96" s="279">
        <f>Energy!P68</f>
        <v>47085.283807813023</v>
      </c>
      <c r="J96" s="110" t="s">
        <v>221</v>
      </c>
      <c r="K96" s="108"/>
      <c r="L96" s="108"/>
      <c r="M96" s="108"/>
      <c r="N96" s="108"/>
      <c r="O96" s="108"/>
      <c r="P96" s="110" t="s">
        <v>365</v>
      </c>
      <c r="Q96" s="191"/>
    </row>
    <row r="97" spans="1:21" x14ac:dyDescent="0.3">
      <c r="A97" s="132"/>
      <c r="B97" s="108"/>
      <c r="C97" s="108"/>
      <c r="D97" s="110"/>
      <c r="E97" s="110"/>
      <c r="F97" s="110"/>
      <c r="G97" s="110"/>
      <c r="H97" s="110"/>
      <c r="I97" s="110"/>
      <c r="J97" s="110"/>
      <c r="K97" s="108" t="s">
        <v>572</v>
      </c>
      <c r="L97" s="239">
        <f>C94</f>
        <v>18177.371957735682</v>
      </c>
      <c r="M97" s="108" t="s">
        <v>288</v>
      </c>
      <c r="N97" s="108"/>
      <c r="O97" s="108"/>
      <c r="P97" s="110"/>
      <c r="Q97" s="191"/>
    </row>
    <row r="98" spans="1:21" x14ac:dyDescent="0.3">
      <c r="A98" s="132"/>
      <c r="B98" s="108"/>
      <c r="C98" s="108"/>
      <c r="D98" s="110"/>
      <c r="E98" s="110"/>
      <c r="F98" s="110"/>
      <c r="G98" s="110"/>
      <c r="H98" s="110"/>
      <c r="I98" s="110"/>
      <c r="J98" s="110"/>
      <c r="K98" s="108" t="s">
        <v>572</v>
      </c>
      <c r="L98" s="239">
        <f>L97/N98</f>
        <v>9088.6859788678412</v>
      </c>
      <c r="M98" s="108" t="s">
        <v>301</v>
      </c>
      <c r="N98" s="108">
        <v>2</v>
      </c>
      <c r="O98" s="108"/>
      <c r="P98" s="110"/>
      <c r="Q98" s="194"/>
      <c r="S98" s="246"/>
    </row>
    <row r="99" spans="1:21" x14ac:dyDescent="0.3">
      <c r="A99" s="385" t="s">
        <v>577</v>
      </c>
      <c r="B99" s="86"/>
      <c r="C99" s="106"/>
      <c r="D99" s="86"/>
      <c r="E99" s="86"/>
      <c r="F99" s="86"/>
      <c r="G99" s="86"/>
      <c r="H99" s="86"/>
      <c r="I99" s="86"/>
      <c r="J99" s="86"/>
      <c r="K99" s="106"/>
      <c r="L99" s="106"/>
      <c r="M99" s="106"/>
      <c r="N99" s="106"/>
      <c r="O99" s="106"/>
      <c r="P99" s="86"/>
      <c r="Q99" s="191"/>
    </row>
    <row r="100" spans="1:21" x14ac:dyDescent="0.3">
      <c r="A100" s="132" t="s">
        <v>342</v>
      </c>
      <c r="B100" s="108" t="s">
        <v>572</v>
      </c>
      <c r="C100" s="239">
        <f>L97</f>
        <v>18177.371957735682</v>
      </c>
      <c r="D100" s="110" t="s">
        <v>288</v>
      </c>
      <c r="E100" s="110"/>
      <c r="F100" s="110"/>
      <c r="G100" s="110"/>
      <c r="H100" s="110"/>
      <c r="I100" s="110"/>
      <c r="J100" s="110"/>
      <c r="K100" s="108"/>
      <c r="L100" s="108"/>
      <c r="M100" s="108"/>
      <c r="N100" s="108"/>
      <c r="O100" s="108"/>
      <c r="P100" s="111" t="s">
        <v>367</v>
      </c>
      <c r="Q100" s="811">
        <v>2</v>
      </c>
    </row>
    <row r="101" spans="1:21" x14ac:dyDescent="0.3">
      <c r="A101" s="132"/>
      <c r="B101" s="108"/>
      <c r="C101" s="108"/>
      <c r="D101" s="110"/>
      <c r="E101" s="108" t="s">
        <v>70</v>
      </c>
      <c r="F101" s="239">
        <f>Stoichiometry!E96*Q101/Q100*Stoichiometry!C78/1000</f>
        <v>9.6730332481831667</v>
      </c>
      <c r="G101" s="110" t="s">
        <v>288</v>
      </c>
      <c r="H101" s="110"/>
      <c r="I101" s="110"/>
      <c r="J101" s="110"/>
      <c r="K101" s="108"/>
      <c r="L101" s="108"/>
      <c r="M101" s="108"/>
      <c r="N101" s="108"/>
      <c r="O101" s="108"/>
      <c r="P101" s="111" t="s">
        <v>368</v>
      </c>
      <c r="Q101" s="811">
        <v>3</v>
      </c>
      <c r="S101" s="246"/>
    </row>
    <row r="102" spans="1:21" x14ac:dyDescent="0.3">
      <c r="A102" s="132"/>
      <c r="B102" s="108"/>
      <c r="C102" s="108"/>
      <c r="D102" s="110"/>
      <c r="E102" s="108"/>
      <c r="F102" s="239"/>
      <c r="G102" s="110"/>
      <c r="H102" s="110" t="s">
        <v>48</v>
      </c>
      <c r="I102" s="279">
        <f>Energy!P69</f>
        <v>47099.092101873335</v>
      </c>
      <c r="J102" s="110" t="s">
        <v>221</v>
      </c>
      <c r="K102" s="108"/>
      <c r="L102" s="108"/>
      <c r="M102" s="108"/>
      <c r="N102" s="108"/>
      <c r="O102" s="108"/>
      <c r="P102" s="110" t="s">
        <v>365</v>
      </c>
      <c r="Q102" s="191"/>
      <c r="S102" s="246"/>
    </row>
    <row r="103" spans="1:21" x14ac:dyDescent="0.3">
      <c r="A103" s="132"/>
      <c r="B103" s="108"/>
      <c r="C103" s="108"/>
      <c r="D103" s="110"/>
      <c r="E103" s="110"/>
      <c r="F103" s="110"/>
      <c r="G103" s="110"/>
      <c r="H103" s="110"/>
      <c r="I103" s="110"/>
      <c r="J103" s="110"/>
      <c r="K103" s="108" t="s">
        <v>572</v>
      </c>
      <c r="L103" s="239">
        <f>C100+F101-L105-L106</f>
        <v>18184.035602862205</v>
      </c>
      <c r="M103" s="108" t="s">
        <v>288</v>
      </c>
      <c r="N103" s="108"/>
      <c r="O103" s="108"/>
      <c r="P103" s="110"/>
      <c r="Q103" s="191"/>
      <c r="S103" s="246"/>
    </row>
    <row r="104" spans="1:21" x14ac:dyDescent="0.3">
      <c r="A104" s="132"/>
      <c r="B104" s="108"/>
      <c r="C104" s="108"/>
      <c r="D104" s="110"/>
      <c r="E104" s="110"/>
      <c r="F104" s="110"/>
      <c r="G104" s="110"/>
      <c r="H104" s="110"/>
      <c r="I104" s="110"/>
      <c r="J104" s="110"/>
      <c r="K104" s="108" t="s">
        <v>572</v>
      </c>
      <c r="L104" s="239">
        <f>L103/N104</f>
        <v>9092.0178014311023</v>
      </c>
      <c r="M104" s="108" t="s">
        <v>301</v>
      </c>
      <c r="N104" s="511">
        <v>2</v>
      </c>
      <c r="O104" s="511"/>
      <c r="P104" s="110"/>
      <c r="Q104" s="527"/>
      <c r="S104" s="246"/>
    </row>
    <row r="105" spans="1:21" x14ac:dyDescent="0.3">
      <c r="A105" s="132"/>
      <c r="B105" s="108"/>
      <c r="C105" s="108"/>
      <c r="D105" s="110"/>
      <c r="E105" s="110"/>
      <c r="F105" s="110"/>
      <c r="G105" s="110"/>
      <c r="H105" s="110"/>
      <c r="I105" s="110"/>
      <c r="J105" s="110"/>
      <c r="K105" s="108" t="s">
        <v>40</v>
      </c>
      <c r="L105" s="243">
        <f>F85</f>
        <v>1.1285205456213694</v>
      </c>
      <c r="M105" s="108" t="s">
        <v>288</v>
      </c>
      <c r="N105" s="108"/>
      <c r="O105" s="108"/>
      <c r="P105" s="110" t="s">
        <v>578</v>
      </c>
      <c r="Q105" s="191"/>
      <c r="T105" s="247"/>
      <c r="U105" s="167"/>
    </row>
    <row r="106" spans="1:21" x14ac:dyDescent="0.3">
      <c r="A106" s="132"/>
      <c r="B106" s="108"/>
      <c r="C106" s="108"/>
      <c r="D106" s="110"/>
      <c r="E106" s="110"/>
      <c r="F106" s="110"/>
      <c r="G106" s="110"/>
      <c r="H106" s="110"/>
      <c r="I106" s="110"/>
      <c r="J106" s="110"/>
      <c r="K106" s="108" t="s">
        <v>59</v>
      </c>
      <c r="L106" s="243">
        <f>F84</f>
        <v>1.8808675760356157</v>
      </c>
      <c r="M106" s="108" t="s">
        <v>288</v>
      </c>
      <c r="N106" s="108"/>
      <c r="O106" s="108"/>
      <c r="P106" s="110" t="s">
        <v>578</v>
      </c>
      <c r="Q106" s="191"/>
      <c r="T106" s="247"/>
      <c r="U106" s="167"/>
    </row>
    <row r="107" spans="1:21" x14ac:dyDescent="0.3">
      <c r="A107" s="132"/>
      <c r="B107" s="108"/>
      <c r="C107" s="108"/>
      <c r="D107" s="110"/>
      <c r="E107" s="110"/>
      <c r="F107" s="110"/>
      <c r="G107" s="110"/>
      <c r="H107" s="110"/>
      <c r="I107" s="110"/>
      <c r="J107" s="110"/>
      <c r="K107" s="108"/>
      <c r="L107" s="108"/>
      <c r="M107" s="108"/>
      <c r="N107" s="108"/>
      <c r="O107" s="108"/>
      <c r="P107" s="110"/>
      <c r="Q107" s="194"/>
      <c r="T107" s="167"/>
    </row>
    <row r="108" spans="1:21" x14ac:dyDescent="0.3">
      <c r="A108" s="385" t="s">
        <v>471</v>
      </c>
      <c r="B108" s="86"/>
      <c r="C108" s="106"/>
      <c r="D108" s="86"/>
      <c r="E108" s="86"/>
      <c r="F108" s="86"/>
      <c r="G108" s="86"/>
      <c r="H108" s="86"/>
      <c r="I108" s="86"/>
      <c r="J108" s="86"/>
      <c r="K108" s="106"/>
      <c r="L108" s="106"/>
      <c r="M108" s="106"/>
      <c r="N108" s="106"/>
      <c r="O108" s="106"/>
      <c r="P108" s="86"/>
      <c r="Q108" s="191"/>
    </row>
    <row r="109" spans="1:21" x14ac:dyDescent="0.3">
      <c r="A109" s="132" t="s">
        <v>342</v>
      </c>
      <c r="B109" s="108" t="s">
        <v>572</v>
      </c>
      <c r="C109" s="239">
        <f>L103</f>
        <v>18184.035602862205</v>
      </c>
      <c r="D109" s="110" t="s">
        <v>288</v>
      </c>
      <c r="E109" s="110"/>
      <c r="F109" s="110"/>
      <c r="G109" s="110"/>
      <c r="H109" s="110"/>
      <c r="I109" s="110"/>
      <c r="J109" s="110"/>
      <c r="K109" s="108"/>
      <c r="L109" s="108"/>
      <c r="M109" s="108"/>
      <c r="N109" s="108"/>
      <c r="O109" s="242">
        <f>Energy!S68</f>
        <v>7919.9999999999991</v>
      </c>
      <c r="P109" s="110" t="s">
        <v>266</v>
      </c>
      <c r="Q109" s="191"/>
    </row>
    <row r="110" spans="1:21" x14ac:dyDescent="0.3">
      <c r="A110" s="132"/>
      <c r="B110" s="108"/>
      <c r="C110" s="108"/>
      <c r="D110" s="110"/>
      <c r="E110" s="108" t="s">
        <v>579</v>
      </c>
      <c r="F110" s="243">
        <f>C109/3*1.3*0.7/O109</f>
        <v>0.69644244101871244</v>
      </c>
      <c r="G110" s="110" t="s">
        <v>288</v>
      </c>
      <c r="H110" s="110"/>
      <c r="I110" s="110"/>
      <c r="J110" s="110"/>
      <c r="K110" s="108"/>
      <c r="L110" s="108"/>
      <c r="M110" s="108"/>
      <c r="N110" s="108"/>
      <c r="O110" s="108"/>
      <c r="P110" s="843" t="s">
        <v>353</v>
      </c>
      <c r="Q110" s="191"/>
    </row>
    <row r="111" spans="1:21" ht="28.8" x14ac:dyDescent="0.3">
      <c r="A111" s="132"/>
      <c r="B111" s="108"/>
      <c r="C111" s="108"/>
      <c r="D111" s="110"/>
      <c r="E111" s="108" t="s">
        <v>580</v>
      </c>
      <c r="F111" s="243">
        <f>C109/3*1.3*0.3/O109</f>
        <v>0.29847533186516245</v>
      </c>
      <c r="G111" s="110" t="s">
        <v>568</v>
      </c>
      <c r="H111" s="110"/>
      <c r="I111" s="110"/>
      <c r="J111" s="110"/>
      <c r="K111" s="108"/>
      <c r="L111" s="108"/>
      <c r="M111" s="108"/>
      <c r="N111" s="108"/>
      <c r="O111" s="108"/>
      <c r="P111" s="843" t="s">
        <v>581</v>
      </c>
      <c r="Q111" s="191"/>
    </row>
    <row r="112" spans="1:21" ht="28.8" x14ac:dyDescent="0.3">
      <c r="A112" s="132"/>
      <c r="B112" s="108"/>
      <c r="C112" s="108"/>
      <c r="D112" s="110"/>
      <c r="E112" s="108" t="s">
        <v>582</v>
      </c>
      <c r="F112" s="927">
        <f>F111*Q112</f>
        <v>1.4923766593258123E-2</v>
      </c>
      <c r="G112" s="110" t="s">
        <v>326</v>
      </c>
      <c r="H112" s="110"/>
      <c r="I112" s="110"/>
      <c r="J112" s="110"/>
      <c r="K112" s="108"/>
      <c r="L112" s="108"/>
      <c r="M112" s="108"/>
      <c r="N112" s="108"/>
      <c r="O112" s="108"/>
      <c r="P112" s="110" t="s">
        <v>358</v>
      </c>
      <c r="Q112" s="816">
        <v>0.05</v>
      </c>
    </row>
    <row r="113" spans="1:20" x14ac:dyDescent="0.3">
      <c r="A113" s="132"/>
      <c r="B113" s="108"/>
      <c r="C113" s="108"/>
      <c r="D113" s="110"/>
      <c r="E113" s="108"/>
      <c r="F113" s="243"/>
      <c r="G113" s="110"/>
      <c r="H113" s="110" t="s">
        <v>48</v>
      </c>
      <c r="I113" s="279">
        <f>Energy!P70</f>
        <v>47099.092101873335</v>
      </c>
      <c r="J113" s="110" t="s">
        <v>221</v>
      </c>
      <c r="K113" s="108"/>
      <c r="L113" s="108"/>
      <c r="M113" s="108"/>
      <c r="N113" s="108"/>
      <c r="O113" s="108"/>
      <c r="P113" s="110"/>
      <c r="Q113" s="244"/>
      <c r="T113" s="167"/>
    </row>
    <row r="114" spans="1:20" ht="28.8" x14ac:dyDescent="0.3">
      <c r="A114" s="132"/>
      <c r="B114" s="108"/>
      <c r="C114" s="108"/>
      <c r="D114" s="110"/>
      <c r="E114" s="110"/>
      <c r="F114" s="110"/>
      <c r="G114" s="110"/>
      <c r="H114" s="110"/>
      <c r="I114" s="110"/>
      <c r="J114" s="110"/>
      <c r="K114" s="108" t="s">
        <v>359</v>
      </c>
      <c r="L114" s="248">
        <f>F110+F111+Stoichiometry!G82+Stoichiometry!G82/(Stoichiometry!J5/1000)</f>
        <v>5758.4664048145014</v>
      </c>
      <c r="M114" s="108" t="s">
        <v>288</v>
      </c>
      <c r="N114" s="108"/>
      <c r="O114" s="108"/>
      <c r="P114" s="110" t="s">
        <v>583</v>
      </c>
      <c r="Q114" s="191"/>
    </row>
    <row r="115" spans="1:20" ht="15.6" x14ac:dyDescent="0.3">
      <c r="A115" s="132"/>
      <c r="B115" s="108"/>
      <c r="C115" s="108"/>
      <c r="D115" s="110"/>
      <c r="E115" s="110"/>
      <c r="F115" s="110"/>
      <c r="G115" s="110"/>
      <c r="H115" s="110"/>
      <c r="I115" s="110"/>
      <c r="J115" s="110"/>
      <c r="K115" s="108" t="s">
        <v>372</v>
      </c>
      <c r="L115" s="239">
        <f>C109+F110+F111-L114</f>
        <v>12426.564115820587</v>
      </c>
      <c r="M115" s="108" t="s">
        <v>288</v>
      </c>
      <c r="N115" s="108"/>
      <c r="O115" s="108"/>
      <c r="P115" s="110" t="s">
        <v>584</v>
      </c>
      <c r="Q115" s="191"/>
      <c r="T115" s="167"/>
    </row>
    <row r="116" spans="1:20" ht="15.6" x14ac:dyDescent="0.3">
      <c r="A116" s="132"/>
      <c r="B116" s="108"/>
      <c r="C116" s="108"/>
      <c r="D116" s="110"/>
      <c r="E116" s="110"/>
      <c r="F116" s="110"/>
      <c r="G116" s="110"/>
      <c r="H116" s="110"/>
      <c r="I116" s="110"/>
      <c r="J116" s="110"/>
      <c r="K116" s="108" t="s">
        <v>372</v>
      </c>
      <c r="L116" s="239">
        <f>L115/N116</f>
        <v>6213.2820579102936</v>
      </c>
      <c r="M116" s="108" t="s">
        <v>301</v>
      </c>
      <c r="N116" s="511">
        <v>2</v>
      </c>
      <c r="O116" s="511"/>
      <c r="P116" s="110"/>
      <c r="Q116" s="527"/>
      <c r="T116" s="167"/>
    </row>
    <row r="117" spans="1:20" x14ac:dyDescent="0.3">
      <c r="A117" s="132"/>
      <c r="B117" s="108"/>
      <c r="C117" s="108"/>
      <c r="D117" s="110"/>
      <c r="E117" s="110"/>
      <c r="F117" s="110"/>
      <c r="G117" s="110"/>
      <c r="H117" s="110"/>
      <c r="I117" s="110"/>
      <c r="J117" s="110"/>
      <c r="K117" s="108"/>
      <c r="L117" s="239"/>
      <c r="M117" s="108"/>
      <c r="N117" s="108"/>
      <c r="O117" s="108"/>
      <c r="P117" s="110"/>
      <c r="Q117" s="194"/>
    </row>
    <row r="118" spans="1:20" x14ac:dyDescent="0.3">
      <c r="A118" s="385" t="s">
        <v>362</v>
      </c>
      <c r="B118" s="86"/>
      <c r="C118" s="106"/>
      <c r="D118" s="86"/>
      <c r="E118" s="86"/>
      <c r="F118" s="86"/>
      <c r="G118" s="86"/>
      <c r="H118" s="86"/>
      <c r="I118" s="86"/>
      <c r="J118" s="86"/>
      <c r="K118" s="106"/>
      <c r="L118" s="106"/>
      <c r="M118" s="106"/>
      <c r="N118" s="106"/>
      <c r="O118" s="106"/>
      <c r="P118" s="86"/>
      <c r="Q118" s="191"/>
    </row>
    <row r="119" spans="1:20" x14ac:dyDescent="0.3">
      <c r="A119" s="132" t="s">
        <v>342</v>
      </c>
      <c r="B119" s="108" t="s">
        <v>359</v>
      </c>
      <c r="C119" s="248">
        <f>L114</f>
        <v>5758.4664048145014</v>
      </c>
      <c r="D119" s="110" t="s">
        <v>288</v>
      </c>
      <c r="E119" s="110"/>
      <c r="F119" s="110"/>
      <c r="G119" s="110"/>
      <c r="H119" s="110"/>
      <c r="I119" s="110"/>
      <c r="J119" s="110"/>
      <c r="K119" s="108"/>
      <c r="L119" s="108"/>
      <c r="M119" s="108"/>
      <c r="N119" s="108"/>
      <c r="O119" s="108"/>
      <c r="P119" s="110"/>
      <c r="Q119" s="191"/>
      <c r="S119" s="167"/>
    </row>
    <row r="120" spans="1:20" x14ac:dyDescent="0.3">
      <c r="A120" s="132"/>
      <c r="B120" s="108"/>
      <c r="C120" s="108"/>
      <c r="D120" s="110"/>
      <c r="E120" s="108" t="s">
        <v>363</v>
      </c>
      <c r="F120" s="108" t="s">
        <v>364</v>
      </c>
      <c r="G120" s="110" t="s">
        <v>288</v>
      </c>
      <c r="H120" s="110"/>
      <c r="I120" s="110"/>
      <c r="J120" s="110"/>
      <c r="K120" s="108"/>
      <c r="L120" s="108"/>
      <c r="M120" s="108"/>
      <c r="N120" s="108"/>
      <c r="O120" s="108"/>
      <c r="P120" s="110"/>
      <c r="Q120" s="191"/>
    </row>
    <row r="121" spans="1:20" x14ac:dyDescent="0.3">
      <c r="A121" s="132"/>
      <c r="B121" s="108"/>
      <c r="C121" s="108"/>
      <c r="D121" s="110"/>
      <c r="E121" s="108"/>
      <c r="F121" s="108"/>
      <c r="G121" s="110"/>
      <c r="H121" s="110" t="s">
        <v>48</v>
      </c>
      <c r="I121" s="573">
        <f>Energy!P71</f>
        <v>18771.794324460425</v>
      </c>
      <c r="J121" s="110" t="s">
        <v>221</v>
      </c>
      <c r="K121" s="108"/>
      <c r="L121" s="108"/>
      <c r="M121" s="108"/>
      <c r="N121" s="108"/>
      <c r="O121" s="108"/>
      <c r="P121" s="110" t="s">
        <v>365</v>
      </c>
      <c r="Q121" s="191"/>
    </row>
    <row r="122" spans="1:20" x14ac:dyDescent="0.3">
      <c r="A122" s="132"/>
      <c r="B122" s="108"/>
      <c r="C122" s="108"/>
      <c r="D122" s="110"/>
      <c r="E122" s="110"/>
      <c r="F122" s="110"/>
      <c r="G122" s="110"/>
      <c r="H122" s="110"/>
      <c r="I122" s="110"/>
      <c r="J122" s="110"/>
      <c r="K122" s="108" t="s">
        <v>359</v>
      </c>
      <c r="L122" s="248">
        <f>C119</f>
        <v>5758.4664048145014</v>
      </c>
      <c r="M122" s="108" t="s">
        <v>288</v>
      </c>
      <c r="N122" s="108"/>
      <c r="O122" s="108"/>
      <c r="P122" s="110"/>
      <c r="Q122" s="191"/>
      <c r="S122" s="167"/>
    </row>
    <row r="123" spans="1:20" x14ac:dyDescent="0.3">
      <c r="A123" s="132"/>
      <c r="B123" s="108"/>
      <c r="C123" s="108"/>
      <c r="D123" s="110"/>
      <c r="E123" s="110"/>
      <c r="F123" s="110"/>
      <c r="G123" s="110"/>
      <c r="H123" s="110"/>
      <c r="I123" s="110"/>
      <c r="J123" s="110"/>
      <c r="K123" s="108" t="s">
        <v>359</v>
      </c>
      <c r="L123" s="248">
        <f>L122/N123</f>
        <v>2879.2332024072507</v>
      </c>
      <c r="M123" s="108" t="s">
        <v>301</v>
      </c>
      <c r="N123" s="108">
        <v>2</v>
      </c>
      <c r="O123" s="108"/>
      <c r="P123" s="110"/>
      <c r="Q123" s="194"/>
      <c r="S123" s="249"/>
    </row>
    <row r="124" spans="1:20" x14ac:dyDescent="0.3">
      <c r="A124" s="385" t="s">
        <v>366</v>
      </c>
      <c r="B124" s="86"/>
      <c r="C124" s="106"/>
      <c r="D124" s="86"/>
      <c r="E124" s="86"/>
      <c r="F124" s="86"/>
      <c r="G124" s="86"/>
      <c r="H124" s="86"/>
      <c r="I124" s="86"/>
      <c r="J124" s="86"/>
      <c r="K124" s="106"/>
      <c r="L124" s="106"/>
      <c r="M124" s="106"/>
      <c r="N124" s="106"/>
      <c r="O124" s="106"/>
      <c r="P124" s="86"/>
      <c r="Q124" s="191"/>
    </row>
    <row r="125" spans="1:20" x14ac:dyDescent="0.3">
      <c r="A125" s="132" t="s">
        <v>342</v>
      </c>
      <c r="B125" s="108" t="s">
        <v>359</v>
      </c>
      <c r="C125" s="248">
        <f>L122</f>
        <v>5758.4664048145014</v>
      </c>
      <c r="D125" s="110" t="s">
        <v>288</v>
      </c>
      <c r="E125" s="110"/>
      <c r="F125" s="110"/>
      <c r="G125" s="110"/>
      <c r="H125" s="110"/>
      <c r="I125" s="110"/>
      <c r="J125" s="110"/>
      <c r="K125" s="108"/>
      <c r="L125" s="108"/>
      <c r="M125" s="108"/>
      <c r="N125" s="108"/>
      <c r="O125" s="108"/>
      <c r="P125" s="111" t="s">
        <v>367</v>
      </c>
      <c r="Q125" s="811">
        <v>2</v>
      </c>
    </row>
    <row r="126" spans="1:20" x14ac:dyDescent="0.3">
      <c r="A126" s="132"/>
      <c r="B126" s="108"/>
      <c r="C126" s="108"/>
      <c r="D126" s="110"/>
      <c r="E126" s="108" t="s">
        <v>70</v>
      </c>
      <c r="F126" s="250">
        <f>Stoichiometry!E97*Q126/Q125*Stoichiometry!C78/1000</f>
        <v>2.840661779130512</v>
      </c>
      <c r="G126" s="110" t="s">
        <v>288</v>
      </c>
      <c r="H126" s="110"/>
      <c r="I126" s="110"/>
      <c r="J126" s="110"/>
      <c r="K126" s="108"/>
      <c r="L126" s="239"/>
      <c r="M126" s="108"/>
      <c r="N126" s="108"/>
      <c r="O126" s="108"/>
      <c r="P126" s="111" t="s">
        <v>368</v>
      </c>
      <c r="Q126" s="811">
        <v>3</v>
      </c>
    </row>
    <row r="127" spans="1:20" x14ac:dyDescent="0.3">
      <c r="A127" s="132"/>
      <c r="B127" s="108"/>
      <c r="C127" s="108"/>
      <c r="D127" s="110"/>
      <c r="E127" s="108"/>
      <c r="F127" s="250"/>
      <c r="G127" s="110"/>
      <c r="H127" s="110" t="s">
        <v>48</v>
      </c>
      <c r="I127" s="573">
        <f>Energy!P72</f>
        <v>18776.607663847404</v>
      </c>
      <c r="J127" s="110" t="s">
        <v>221</v>
      </c>
      <c r="K127" s="108"/>
      <c r="L127" s="239"/>
      <c r="M127" s="108"/>
      <c r="N127" s="108"/>
      <c r="O127" s="108"/>
      <c r="P127" s="110" t="s">
        <v>365</v>
      </c>
      <c r="Q127" s="191"/>
    </row>
    <row r="128" spans="1:20" ht="15.6" x14ac:dyDescent="0.3">
      <c r="A128" s="132"/>
      <c r="B128" s="108"/>
      <c r="C128" s="108"/>
      <c r="D128" s="110"/>
      <c r="E128" s="110"/>
      <c r="F128" s="110"/>
      <c r="G128" s="110"/>
      <c r="H128" s="110"/>
      <c r="I128" s="110"/>
      <c r="J128" s="110"/>
      <c r="K128" s="108" t="s">
        <v>369</v>
      </c>
      <c r="L128" s="239">
        <f>C125+F126-L130-L131</f>
        <v>5760.312148820748</v>
      </c>
      <c r="M128" s="108" t="s">
        <v>288</v>
      </c>
      <c r="N128" s="108"/>
      <c r="O128" s="108"/>
      <c r="P128" s="110"/>
      <c r="Q128" s="191"/>
    </row>
    <row r="129" spans="1:20" ht="15.6" x14ac:dyDescent="0.3">
      <c r="A129" s="132"/>
      <c r="B129" s="108"/>
      <c r="C129" s="108"/>
      <c r="D129" s="110"/>
      <c r="E129" s="110"/>
      <c r="F129" s="110"/>
      <c r="G129" s="110"/>
      <c r="H129" s="110"/>
      <c r="I129" s="110"/>
      <c r="J129" s="110"/>
      <c r="K129" s="108" t="s">
        <v>369</v>
      </c>
      <c r="L129" s="239">
        <f>L128/N129</f>
        <v>2880.156074410374</v>
      </c>
      <c r="M129" s="108" t="s">
        <v>301</v>
      </c>
      <c r="N129" s="511">
        <v>2</v>
      </c>
      <c r="O129" s="511"/>
      <c r="P129" s="110"/>
      <c r="Q129" s="527"/>
    </row>
    <row r="130" spans="1:20" x14ac:dyDescent="0.3">
      <c r="A130" s="132"/>
      <c r="B130" s="108"/>
      <c r="C130" s="108"/>
      <c r="D130" s="110"/>
      <c r="E130" s="110"/>
      <c r="F130" s="110"/>
      <c r="G130" s="110"/>
      <c r="H130" s="110"/>
      <c r="I130" s="110"/>
      <c r="J130" s="110"/>
      <c r="K130" s="108" t="s">
        <v>37</v>
      </c>
      <c r="L130" s="243">
        <f>F111</f>
        <v>0.29847533186516245</v>
      </c>
      <c r="M130" s="108" t="s">
        <v>288</v>
      </c>
      <c r="N130" s="108"/>
      <c r="O130" s="108"/>
      <c r="P130" s="110" t="s">
        <v>370</v>
      </c>
      <c r="Q130" s="191"/>
    </row>
    <row r="131" spans="1:20" x14ac:dyDescent="0.3">
      <c r="A131" s="132"/>
      <c r="B131" s="108"/>
      <c r="C131" s="108"/>
      <c r="D131" s="110"/>
      <c r="E131" s="110"/>
      <c r="F131" s="110"/>
      <c r="G131" s="110"/>
      <c r="H131" s="110"/>
      <c r="I131" s="110"/>
      <c r="J131" s="110"/>
      <c r="K131" s="108" t="s">
        <v>59</v>
      </c>
      <c r="L131" s="243">
        <f>F110</f>
        <v>0.69644244101871244</v>
      </c>
      <c r="M131" s="108" t="s">
        <v>288</v>
      </c>
      <c r="N131" s="108"/>
      <c r="O131" s="108"/>
      <c r="P131" s="110" t="s">
        <v>370</v>
      </c>
      <c r="Q131" s="191"/>
    </row>
    <row r="132" spans="1:20" x14ac:dyDescent="0.3">
      <c r="A132" s="132"/>
      <c r="B132" s="108"/>
      <c r="C132" s="108"/>
      <c r="D132" s="110"/>
      <c r="E132" s="110"/>
      <c r="F132" s="110"/>
      <c r="G132" s="110"/>
      <c r="H132" s="110"/>
      <c r="I132" s="110"/>
      <c r="J132" s="110"/>
      <c r="K132" s="108"/>
      <c r="L132" s="108"/>
      <c r="M132" s="108"/>
      <c r="N132" s="108"/>
      <c r="O132" s="108"/>
      <c r="P132" s="110"/>
      <c r="Q132" s="194"/>
    </row>
    <row r="133" spans="1:20" x14ac:dyDescent="0.3">
      <c r="A133" s="385" t="s">
        <v>194</v>
      </c>
      <c r="B133" s="86"/>
      <c r="C133" s="106"/>
      <c r="D133" s="86"/>
      <c r="E133" s="86"/>
      <c r="F133" s="86"/>
      <c r="G133" s="86"/>
      <c r="H133" s="86"/>
      <c r="I133" s="86"/>
      <c r="J133" s="86"/>
      <c r="K133" s="106"/>
      <c r="L133" s="106"/>
      <c r="M133" s="106"/>
      <c r="N133" s="106"/>
      <c r="O133" s="106"/>
      <c r="P133" s="86"/>
      <c r="Q133" s="191"/>
    </row>
    <row r="134" spans="1:20" ht="28.8" x14ac:dyDescent="0.3">
      <c r="A134" s="210" t="s">
        <v>371</v>
      </c>
      <c r="B134" s="108" t="s">
        <v>372</v>
      </c>
      <c r="C134" s="239">
        <f>L115</f>
        <v>12426.564115820587</v>
      </c>
      <c r="D134" s="110" t="s">
        <v>288</v>
      </c>
      <c r="E134" s="110"/>
      <c r="F134" s="110"/>
      <c r="G134" s="110"/>
      <c r="H134" s="110"/>
      <c r="I134" s="110"/>
      <c r="J134" s="110"/>
      <c r="K134" s="108"/>
      <c r="L134" s="108"/>
      <c r="M134" s="108"/>
      <c r="N134" s="108"/>
      <c r="O134" s="108"/>
      <c r="P134" s="110"/>
      <c r="Q134" s="191"/>
      <c r="T134" s="167"/>
    </row>
    <row r="135" spans="1:20" x14ac:dyDescent="0.3">
      <c r="A135" s="132"/>
      <c r="B135" s="108"/>
      <c r="C135" s="239"/>
      <c r="D135" s="110"/>
      <c r="E135" s="110"/>
      <c r="F135" s="110"/>
      <c r="G135" s="110"/>
      <c r="H135" s="110" t="s">
        <v>48</v>
      </c>
      <c r="I135" s="279">
        <f>Energy!P73</f>
        <v>2805946.9670259641</v>
      </c>
      <c r="J135" s="110" t="s">
        <v>221</v>
      </c>
      <c r="K135" s="108"/>
      <c r="L135" s="108"/>
      <c r="M135" s="108"/>
      <c r="N135" s="108"/>
      <c r="O135" s="108"/>
      <c r="P135" s="163" t="s">
        <v>373</v>
      </c>
      <c r="Q135" s="191"/>
    </row>
    <row r="136" spans="1:20" ht="15.6" x14ac:dyDescent="0.3">
      <c r="A136" s="132"/>
      <c r="B136" s="108"/>
      <c r="C136" s="108"/>
      <c r="D136" s="110"/>
      <c r="E136" s="110"/>
      <c r="F136" s="110"/>
      <c r="G136" s="110"/>
      <c r="H136" s="110"/>
      <c r="I136" s="110"/>
      <c r="J136" s="110"/>
      <c r="K136" s="108" t="s">
        <v>151</v>
      </c>
      <c r="L136" s="239">
        <f>(Stoichiometry!G81+Stoichiometry!G100)*Efficiencies!E62</f>
        <v>7950.9730297357528</v>
      </c>
      <c r="M136" s="108" t="s">
        <v>288</v>
      </c>
      <c r="N136" s="108"/>
      <c r="O136" s="108"/>
      <c r="P136" s="110"/>
      <c r="Q136" s="191"/>
    </row>
    <row r="137" spans="1:20" x14ac:dyDescent="0.3">
      <c r="A137" s="132"/>
      <c r="B137" s="108"/>
      <c r="C137" s="108"/>
      <c r="D137" s="110"/>
      <c r="E137" s="110"/>
      <c r="F137" s="110"/>
      <c r="G137" s="110"/>
      <c r="H137" s="110"/>
      <c r="I137" s="110"/>
      <c r="J137" s="110"/>
      <c r="K137" s="108" t="s">
        <v>214</v>
      </c>
      <c r="L137" s="239">
        <f>C134-L136</f>
        <v>4475.5910860848344</v>
      </c>
      <c r="M137" s="108" t="s">
        <v>288</v>
      </c>
      <c r="N137" s="108"/>
      <c r="O137" s="108"/>
      <c r="P137" s="110" t="s">
        <v>374</v>
      </c>
      <c r="Q137" s="191"/>
      <c r="T137" s="167"/>
    </row>
    <row r="138" spans="1:20" x14ac:dyDescent="0.3">
      <c r="A138" s="132"/>
      <c r="B138" s="93"/>
      <c r="C138" s="108"/>
      <c r="D138" s="110"/>
      <c r="E138" s="110"/>
      <c r="F138" s="110"/>
      <c r="G138" s="110"/>
      <c r="H138" s="110"/>
      <c r="I138" s="110"/>
      <c r="J138" s="110"/>
      <c r="K138" s="108"/>
      <c r="L138" s="108"/>
      <c r="M138" s="108"/>
      <c r="N138" s="108"/>
      <c r="O138" s="108"/>
      <c r="P138" s="110"/>
      <c r="Q138" s="194"/>
    </row>
    <row r="139" spans="1:20" x14ac:dyDescent="0.3">
      <c r="A139" s="385" t="s">
        <v>195</v>
      </c>
      <c r="B139" s="108"/>
      <c r="C139" s="106"/>
      <c r="D139" s="86"/>
      <c r="E139" s="86"/>
      <c r="F139" s="86"/>
      <c r="G139" s="86"/>
      <c r="H139" s="86"/>
      <c r="I139" s="86"/>
      <c r="J139" s="86"/>
      <c r="K139" s="106"/>
      <c r="L139" s="106"/>
      <c r="M139" s="106"/>
      <c r="N139" s="106"/>
      <c r="O139" s="106"/>
      <c r="P139" s="86"/>
      <c r="Q139" s="191"/>
    </row>
    <row r="140" spans="1:20" ht="28.8" x14ac:dyDescent="0.3">
      <c r="A140" s="210" t="s">
        <v>371</v>
      </c>
      <c r="B140" s="108" t="s">
        <v>369</v>
      </c>
      <c r="C140" s="239">
        <f>L128</f>
        <v>5760.312148820748</v>
      </c>
      <c r="D140" s="110" t="s">
        <v>288</v>
      </c>
      <c r="E140" s="110"/>
      <c r="F140" s="110"/>
      <c r="G140" s="110"/>
      <c r="H140" s="110"/>
      <c r="I140" s="110"/>
      <c r="J140" s="110"/>
      <c r="K140" s="108"/>
      <c r="L140" s="108"/>
      <c r="M140" s="108"/>
      <c r="N140" s="108"/>
      <c r="O140" s="108"/>
      <c r="P140" s="110"/>
      <c r="Q140" s="191"/>
      <c r="T140" s="167"/>
    </row>
    <row r="141" spans="1:20" x14ac:dyDescent="0.3">
      <c r="A141" s="132"/>
      <c r="B141" s="108"/>
      <c r="C141" s="239"/>
      <c r="D141" s="110"/>
      <c r="E141" s="110"/>
      <c r="F141" s="110"/>
      <c r="G141" s="110"/>
      <c r="H141" s="110" t="s">
        <v>48</v>
      </c>
      <c r="I141" s="279">
        <f>Energy!P74</f>
        <v>1852068.7874953537</v>
      </c>
      <c r="J141" s="110" t="s">
        <v>221</v>
      </c>
      <c r="K141" s="108"/>
      <c r="L141" s="108"/>
      <c r="M141" s="108"/>
      <c r="N141" s="108"/>
      <c r="O141" s="108"/>
      <c r="P141" s="163" t="s">
        <v>373</v>
      </c>
      <c r="Q141" s="191"/>
    </row>
    <row r="142" spans="1:20" ht="15.6" x14ac:dyDescent="0.3">
      <c r="A142" s="132"/>
      <c r="B142" s="108"/>
      <c r="C142" s="108"/>
      <c r="D142" s="110"/>
      <c r="E142" s="110"/>
      <c r="F142" s="110"/>
      <c r="G142" s="110"/>
      <c r="H142" s="110"/>
      <c r="I142" s="110"/>
      <c r="J142" s="110"/>
      <c r="K142" s="108" t="s">
        <v>139</v>
      </c>
      <c r="L142" s="239">
        <f>(Stoichiometry!G82+Stoichiometry!G101)*Efficiencies!E61</f>
        <v>2806.1926827227089</v>
      </c>
      <c r="M142" s="108" t="s">
        <v>288</v>
      </c>
      <c r="N142" s="108"/>
      <c r="O142" s="108"/>
      <c r="P142" s="110"/>
      <c r="Q142" s="191"/>
    </row>
    <row r="143" spans="1:20" x14ac:dyDescent="0.3">
      <c r="A143" s="132"/>
      <c r="B143" s="108"/>
      <c r="C143" s="108"/>
      <c r="D143" s="110"/>
      <c r="E143" s="110"/>
      <c r="F143" s="110"/>
      <c r="G143" s="110"/>
      <c r="H143" s="110"/>
      <c r="I143" s="110"/>
      <c r="J143" s="110"/>
      <c r="K143" s="108" t="s">
        <v>214</v>
      </c>
      <c r="L143" s="239">
        <f>C140-L142</f>
        <v>2954.1194660980391</v>
      </c>
      <c r="M143" s="108" t="s">
        <v>288</v>
      </c>
      <c r="N143" s="108"/>
      <c r="O143" s="108"/>
      <c r="P143" s="110" t="s">
        <v>374</v>
      </c>
      <c r="Q143" s="191"/>
      <c r="T143" s="167"/>
    </row>
    <row r="144" spans="1:20" x14ac:dyDescent="0.3">
      <c r="A144" s="132"/>
      <c r="B144" s="93"/>
      <c r="C144" s="108"/>
      <c r="D144" s="110"/>
      <c r="E144" s="110"/>
      <c r="F144" s="110"/>
      <c r="G144" s="110"/>
      <c r="H144" s="110"/>
      <c r="I144" s="110"/>
      <c r="J144" s="110"/>
      <c r="K144" s="108"/>
      <c r="L144" s="108"/>
      <c r="M144" s="108"/>
      <c r="N144" s="108"/>
      <c r="O144" s="108"/>
      <c r="P144" s="110"/>
      <c r="Q144" s="194"/>
    </row>
    <row r="145" spans="1:20" x14ac:dyDescent="0.3">
      <c r="A145" s="385" t="s">
        <v>394</v>
      </c>
      <c r="B145" s="108"/>
      <c r="C145" s="106"/>
      <c r="D145" s="86"/>
      <c r="E145" s="86"/>
      <c r="F145" s="86"/>
      <c r="G145" s="86"/>
      <c r="H145" s="86"/>
      <c r="I145" s="86"/>
      <c r="J145" s="86"/>
      <c r="K145" s="106"/>
      <c r="L145" s="106"/>
      <c r="M145" s="106"/>
      <c r="N145" s="106"/>
      <c r="O145" s="106"/>
      <c r="P145" s="86"/>
      <c r="Q145" s="191"/>
    </row>
    <row r="146" spans="1:20" x14ac:dyDescent="0.3">
      <c r="A146" s="132" t="s">
        <v>342</v>
      </c>
      <c r="B146" s="108" t="s">
        <v>340</v>
      </c>
      <c r="C146" s="239">
        <f>L90</f>
        <v>36827.99263851672</v>
      </c>
      <c r="D146" s="110" t="s">
        <v>288</v>
      </c>
      <c r="E146" s="110"/>
      <c r="F146" s="110"/>
      <c r="G146" s="110"/>
      <c r="H146" s="110"/>
      <c r="I146" s="110"/>
      <c r="J146" s="110"/>
      <c r="K146" s="108"/>
      <c r="L146" s="108"/>
      <c r="M146" s="108"/>
      <c r="N146" s="108"/>
      <c r="O146" s="242">
        <f>Energy!S75</f>
        <v>7920.0000000000009</v>
      </c>
      <c r="P146" s="110" t="s">
        <v>266</v>
      </c>
      <c r="Q146" s="191"/>
    </row>
    <row r="147" spans="1:20" x14ac:dyDescent="0.3">
      <c r="A147" s="132"/>
      <c r="B147" s="108"/>
      <c r="C147" s="108"/>
      <c r="D147" s="110"/>
      <c r="E147" s="108" t="s">
        <v>579</v>
      </c>
      <c r="F147" s="243">
        <f>C146/3*1.3*0.7/O146</f>
        <v>1.4104997180576688</v>
      </c>
      <c r="G147" s="110" t="s">
        <v>288</v>
      </c>
      <c r="H147" s="110"/>
      <c r="I147" s="110"/>
      <c r="J147" s="110"/>
      <c r="K147" s="108"/>
      <c r="L147" s="108"/>
      <c r="M147" s="108"/>
      <c r="N147" s="108"/>
      <c r="O147" s="108"/>
      <c r="P147" s="110" t="s">
        <v>353</v>
      </c>
      <c r="Q147" s="191"/>
    </row>
    <row r="148" spans="1:20" ht="28.8" x14ac:dyDescent="0.3">
      <c r="A148" s="132"/>
      <c r="B148" s="108"/>
      <c r="C148" s="108"/>
      <c r="D148" s="110"/>
      <c r="E148" s="108" t="s">
        <v>585</v>
      </c>
      <c r="F148" s="243">
        <f>C146/3*1.3*0.3/O146</f>
        <v>0.60449987916757242</v>
      </c>
      <c r="G148" s="110" t="s">
        <v>568</v>
      </c>
      <c r="H148" s="110"/>
      <c r="I148" s="110"/>
      <c r="J148" s="110"/>
      <c r="K148" s="108"/>
      <c r="L148" s="108"/>
      <c r="M148" s="108"/>
      <c r="N148" s="108"/>
      <c r="O148" s="108"/>
      <c r="P148" s="110" t="s">
        <v>586</v>
      </c>
      <c r="Q148" s="191"/>
    </row>
    <row r="149" spans="1:20" ht="28.8" x14ac:dyDescent="0.3">
      <c r="A149" s="132"/>
      <c r="B149" s="108"/>
      <c r="C149" s="108"/>
      <c r="D149" s="110"/>
      <c r="E149" s="108" t="s">
        <v>587</v>
      </c>
      <c r="F149" s="927">
        <f>F148*Q149</f>
        <v>3.0224993958378622E-2</v>
      </c>
      <c r="G149" s="110" t="s">
        <v>326</v>
      </c>
      <c r="H149" s="110"/>
      <c r="I149" s="110"/>
      <c r="J149" s="110"/>
      <c r="K149" s="108"/>
      <c r="L149" s="108"/>
      <c r="M149" s="108"/>
      <c r="N149" s="108"/>
      <c r="O149" s="108"/>
      <c r="P149" s="110" t="s">
        <v>571</v>
      </c>
      <c r="Q149" s="816">
        <v>0.05</v>
      </c>
    </row>
    <row r="150" spans="1:20" x14ac:dyDescent="0.3">
      <c r="A150" s="132"/>
      <c r="B150" s="108"/>
      <c r="C150" s="108"/>
      <c r="D150" s="110"/>
      <c r="E150" s="108"/>
      <c r="F150" s="243"/>
      <c r="G150" s="110"/>
      <c r="H150" s="110" t="s">
        <v>48</v>
      </c>
      <c r="I150" s="279">
        <f>Energy!P75</f>
        <v>144220.41862518419</v>
      </c>
      <c r="J150" s="110" t="s">
        <v>221</v>
      </c>
      <c r="K150" s="108"/>
      <c r="L150" s="108"/>
      <c r="M150" s="108"/>
      <c r="N150" s="108"/>
      <c r="O150" s="108"/>
      <c r="P150" s="110"/>
      <c r="Q150" s="244"/>
      <c r="T150" s="167"/>
    </row>
    <row r="151" spans="1:20" ht="28.8" x14ac:dyDescent="0.3">
      <c r="A151" s="132"/>
      <c r="B151" s="108"/>
      <c r="C151" s="108"/>
      <c r="D151" s="110"/>
      <c r="E151" s="110"/>
      <c r="F151" s="110"/>
      <c r="G151" s="110"/>
      <c r="H151" s="110"/>
      <c r="I151" s="110"/>
      <c r="J151" s="110"/>
      <c r="K151" s="108" t="s">
        <v>398</v>
      </c>
      <c r="L151" s="248">
        <f>F147+F148+Stoichiometry!G83+Stoichiometry!G83/(Stoichiometry!J7/1000)</f>
        <v>3595.0368401770293</v>
      </c>
      <c r="M151" s="108" t="s">
        <v>288</v>
      </c>
      <c r="N151" s="108"/>
      <c r="O151" s="108"/>
      <c r="P151" s="110" t="s">
        <v>588</v>
      </c>
      <c r="Q151" s="191"/>
    </row>
    <row r="152" spans="1:20" x14ac:dyDescent="0.3">
      <c r="A152" s="132"/>
      <c r="B152" s="108"/>
      <c r="C152" s="108"/>
      <c r="D152" s="110"/>
      <c r="E152" s="110"/>
      <c r="F152" s="110"/>
      <c r="G152" s="110"/>
      <c r="H152" s="110"/>
      <c r="I152" s="110"/>
      <c r="J152" s="110"/>
      <c r="K152" s="108" t="s">
        <v>340</v>
      </c>
      <c r="L152" s="239">
        <f>C146+F147+F148-L151</f>
        <v>33234.970797936912</v>
      </c>
      <c r="M152" s="108" t="s">
        <v>288</v>
      </c>
      <c r="N152" s="108"/>
      <c r="O152" s="108"/>
      <c r="P152" s="110"/>
      <c r="Q152" s="191"/>
      <c r="T152" s="167"/>
    </row>
    <row r="153" spans="1:20" x14ac:dyDescent="0.3">
      <c r="A153" s="132"/>
      <c r="B153" s="93"/>
      <c r="C153" s="108"/>
      <c r="D153" s="110"/>
      <c r="E153" s="110"/>
      <c r="F153" s="110"/>
      <c r="G153" s="110"/>
      <c r="H153" s="110"/>
      <c r="I153" s="110"/>
      <c r="J153" s="110"/>
      <c r="K153" s="108"/>
      <c r="L153" s="108"/>
      <c r="M153" s="108"/>
      <c r="N153" s="108"/>
      <c r="O153" s="108"/>
      <c r="P153" s="110"/>
      <c r="Q153" s="194"/>
    </row>
    <row r="154" spans="1:20" x14ac:dyDescent="0.3">
      <c r="A154" s="385" t="s">
        <v>400</v>
      </c>
      <c r="B154" s="108"/>
      <c r="C154" s="106"/>
      <c r="D154" s="86"/>
      <c r="E154" s="86"/>
      <c r="F154" s="86"/>
      <c r="G154" s="86"/>
      <c r="H154" s="86"/>
      <c r="I154" s="86"/>
      <c r="J154" s="86"/>
      <c r="K154" s="106"/>
      <c r="L154" s="106"/>
      <c r="M154" s="106"/>
      <c r="N154" s="106"/>
      <c r="O154" s="106"/>
      <c r="P154" s="86"/>
      <c r="Q154" s="191"/>
    </row>
    <row r="155" spans="1:20" x14ac:dyDescent="0.3">
      <c r="A155" s="132" t="s">
        <v>342</v>
      </c>
      <c r="B155" s="108" t="s">
        <v>398</v>
      </c>
      <c r="C155" s="248">
        <f>L151</f>
        <v>3595.0368401770293</v>
      </c>
      <c r="D155" s="110" t="s">
        <v>288</v>
      </c>
      <c r="E155" s="110"/>
      <c r="F155" s="110"/>
      <c r="G155" s="110"/>
      <c r="H155" s="110"/>
      <c r="I155" s="110"/>
      <c r="J155" s="110"/>
      <c r="K155" s="108"/>
      <c r="L155" s="108"/>
      <c r="M155" s="108"/>
      <c r="N155" s="108"/>
      <c r="O155" s="108"/>
      <c r="P155" s="110"/>
      <c r="Q155" s="191"/>
    </row>
    <row r="156" spans="1:20" x14ac:dyDescent="0.3">
      <c r="A156" s="132"/>
      <c r="B156" s="108"/>
      <c r="C156" s="108"/>
      <c r="D156" s="110"/>
      <c r="E156" s="108" t="s">
        <v>402</v>
      </c>
      <c r="F156" s="108" t="s">
        <v>364</v>
      </c>
      <c r="G156" s="110" t="s">
        <v>288</v>
      </c>
      <c r="H156" s="110"/>
      <c r="I156" s="110"/>
      <c r="J156" s="110"/>
      <c r="K156" s="108"/>
      <c r="L156" s="108"/>
      <c r="M156" s="108"/>
      <c r="N156" s="108"/>
      <c r="O156" s="108"/>
      <c r="P156" s="110"/>
      <c r="Q156" s="191"/>
    </row>
    <row r="157" spans="1:20" x14ac:dyDescent="0.3">
      <c r="A157" s="132"/>
      <c r="B157" s="108"/>
      <c r="C157" s="108"/>
      <c r="D157" s="110"/>
      <c r="E157" s="108"/>
      <c r="F157" s="108"/>
      <c r="G157" s="110"/>
      <c r="H157" s="110" t="s">
        <v>48</v>
      </c>
      <c r="I157" s="279">
        <f>Energy!P76</f>
        <v>12877.246030160806</v>
      </c>
      <c r="J157" s="110" t="s">
        <v>221</v>
      </c>
      <c r="K157" s="108"/>
      <c r="L157" s="108"/>
      <c r="M157" s="108"/>
      <c r="N157" s="108"/>
      <c r="O157" s="108"/>
      <c r="P157" s="110" t="s">
        <v>365</v>
      </c>
      <c r="Q157" s="191"/>
    </row>
    <row r="158" spans="1:20" x14ac:dyDescent="0.3">
      <c r="A158" s="132"/>
      <c r="B158" s="108"/>
      <c r="C158" s="108"/>
      <c r="D158" s="110"/>
      <c r="E158" s="110"/>
      <c r="F158" s="110"/>
      <c r="G158" s="110"/>
      <c r="H158" s="110"/>
      <c r="I158" s="110"/>
      <c r="J158" s="110"/>
      <c r="K158" s="108" t="s">
        <v>398</v>
      </c>
      <c r="L158" s="248">
        <f>C155</f>
        <v>3595.0368401770293</v>
      </c>
      <c r="M158" s="108" t="s">
        <v>288</v>
      </c>
      <c r="N158" s="108"/>
      <c r="O158" s="108"/>
      <c r="P158" s="110"/>
      <c r="Q158" s="191"/>
    </row>
    <row r="159" spans="1:20" x14ac:dyDescent="0.3">
      <c r="A159" s="132"/>
      <c r="B159" s="93"/>
      <c r="C159" s="108"/>
      <c r="D159" s="110"/>
      <c r="E159" s="110"/>
      <c r="F159" s="110"/>
      <c r="G159" s="110"/>
      <c r="H159" s="110"/>
      <c r="I159" s="110"/>
      <c r="J159" s="110"/>
      <c r="K159" s="108" t="s">
        <v>398</v>
      </c>
      <c r="L159" s="248">
        <f>L158/N159</f>
        <v>1797.5184200885146</v>
      </c>
      <c r="M159" s="108"/>
      <c r="N159" s="108">
        <v>2</v>
      </c>
      <c r="O159" s="108"/>
      <c r="P159" s="110"/>
      <c r="Q159" s="194"/>
    </row>
    <row r="160" spans="1:20" x14ac:dyDescent="0.3">
      <c r="A160" s="385" t="s">
        <v>403</v>
      </c>
      <c r="B160" s="108"/>
      <c r="C160" s="106"/>
      <c r="D160" s="86"/>
      <c r="E160" s="86"/>
      <c r="F160" s="86"/>
      <c r="G160" s="86"/>
      <c r="H160" s="86"/>
      <c r="I160" s="86"/>
      <c r="J160" s="86"/>
      <c r="K160" s="106"/>
      <c r="L160" s="106"/>
      <c r="M160" s="106"/>
      <c r="N160" s="106"/>
      <c r="O160" s="106"/>
      <c r="P160" s="86"/>
      <c r="Q160" s="191"/>
    </row>
    <row r="161" spans="1:21" x14ac:dyDescent="0.3">
      <c r="A161" s="132" t="s">
        <v>342</v>
      </c>
      <c r="B161" s="108" t="s">
        <v>398</v>
      </c>
      <c r="C161" s="248">
        <f>L158</f>
        <v>3595.0368401770293</v>
      </c>
      <c r="D161" s="110" t="s">
        <v>288</v>
      </c>
      <c r="E161" s="110"/>
      <c r="F161" s="110"/>
      <c r="G161" s="110"/>
      <c r="H161" s="110"/>
      <c r="I161" s="110"/>
      <c r="J161" s="110"/>
      <c r="K161" s="108"/>
      <c r="L161" s="108"/>
      <c r="M161" s="108"/>
      <c r="N161" s="108"/>
      <c r="O161" s="108"/>
      <c r="P161" s="111" t="s">
        <v>367</v>
      </c>
      <c r="Q161" s="811">
        <v>2</v>
      </c>
    </row>
    <row r="162" spans="1:21" x14ac:dyDescent="0.3">
      <c r="A162" s="132"/>
      <c r="B162" s="108"/>
      <c r="C162" s="108"/>
      <c r="D162" s="110"/>
      <c r="E162" s="108" t="s">
        <v>70</v>
      </c>
      <c r="F162" s="250">
        <f>Stoichiometry!E98*Q162/Q161*Stoichiometry!C78/1000</f>
        <v>5.1749989655784736</v>
      </c>
      <c r="G162" s="110" t="s">
        <v>288</v>
      </c>
      <c r="H162" s="110"/>
      <c r="I162" s="110"/>
      <c r="J162" s="110"/>
      <c r="K162" s="108"/>
      <c r="L162" s="108"/>
      <c r="M162" s="108"/>
      <c r="N162" s="108"/>
      <c r="O162" s="108"/>
      <c r="P162" s="111" t="s">
        <v>368</v>
      </c>
      <c r="Q162" s="811">
        <v>3</v>
      </c>
    </row>
    <row r="163" spans="1:21" x14ac:dyDescent="0.3">
      <c r="A163" s="132"/>
      <c r="B163" s="108"/>
      <c r="C163" s="108"/>
      <c r="D163" s="110"/>
      <c r="E163" s="108"/>
      <c r="F163" s="250"/>
      <c r="G163" s="110"/>
      <c r="H163" s="110" t="s">
        <v>48</v>
      </c>
      <c r="I163" s="279">
        <f>Energy!P77</f>
        <v>12886.300404977124</v>
      </c>
      <c r="J163" s="110" t="s">
        <v>221</v>
      </c>
      <c r="K163" s="108"/>
      <c r="L163" s="108"/>
      <c r="M163" s="108"/>
      <c r="N163" s="108"/>
      <c r="O163" s="108"/>
      <c r="P163" s="110" t="s">
        <v>365</v>
      </c>
      <c r="Q163" s="191"/>
    </row>
    <row r="164" spans="1:21" ht="15.6" x14ac:dyDescent="0.3">
      <c r="A164" s="132"/>
      <c r="B164" s="108"/>
      <c r="C164" s="108"/>
      <c r="D164" s="110"/>
      <c r="E164" s="110"/>
      <c r="F164" s="110"/>
      <c r="G164" s="110"/>
      <c r="H164" s="110"/>
      <c r="I164" s="110"/>
      <c r="J164" s="110"/>
      <c r="K164" s="108" t="s">
        <v>589</v>
      </c>
      <c r="L164" s="239">
        <f>C161+F162-L166-L167</f>
        <v>3598.1968395453828</v>
      </c>
      <c r="M164" s="108" t="s">
        <v>288</v>
      </c>
      <c r="N164" s="108"/>
      <c r="O164" s="108"/>
      <c r="P164" s="110"/>
      <c r="Q164" s="191"/>
    </row>
    <row r="165" spans="1:21" ht="15.6" x14ac:dyDescent="0.3">
      <c r="A165" s="132"/>
      <c r="B165" s="108"/>
      <c r="C165" s="108"/>
      <c r="D165" s="110"/>
      <c r="E165" s="110"/>
      <c r="F165" s="110"/>
      <c r="G165" s="110"/>
      <c r="H165" s="110"/>
      <c r="I165" s="110"/>
      <c r="J165" s="110"/>
      <c r="K165" s="108" t="s">
        <v>589</v>
      </c>
      <c r="L165" s="239">
        <f>L164/N165</f>
        <v>1799.0984197726914</v>
      </c>
      <c r="M165" s="108" t="s">
        <v>301</v>
      </c>
      <c r="N165" s="511">
        <v>2</v>
      </c>
      <c r="O165" s="511"/>
      <c r="P165" s="110"/>
      <c r="Q165" s="527"/>
    </row>
    <row r="166" spans="1:21" x14ac:dyDescent="0.3">
      <c r="A166" s="132"/>
      <c r="B166" s="108"/>
      <c r="C166" s="108"/>
      <c r="D166" s="110"/>
      <c r="E166" s="110"/>
      <c r="F166" s="110"/>
      <c r="G166" s="110"/>
      <c r="H166" s="110"/>
      <c r="I166" s="110"/>
      <c r="J166" s="110"/>
      <c r="K166" s="108" t="s">
        <v>41</v>
      </c>
      <c r="L166" s="243">
        <f>F148</f>
        <v>0.60449987916757242</v>
      </c>
      <c r="M166" s="108" t="s">
        <v>288</v>
      </c>
      <c r="N166" s="108"/>
      <c r="O166" s="108"/>
      <c r="P166" s="110" t="s">
        <v>370</v>
      </c>
      <c r="Q166" s="191"/>
    </row>
    <row r="167" spans="1:21" x14ac:dyDescent="0.3">
      <c r="A167" s="132"/>
      <c r="B167" s="108"/>
      <c r="C167" s="108"/>
      <c r="D167" s="110"/>
      <c r="E167" s="110"/>
      <c r="F167" s="110"/>
      <c r="G167" s="110"/>
      <c r="H167" s="110"/>
      <c r="I167" s="110"/>
      <c r="J167" s="110"/>
      <c r="K167" s="108" t="s">
        <v>59</v>
      </c>
      <c r="L167" s="243">
        <f>F147</f>
        <v>1.4104997180576688</v>
      </c>
      <c r="M167" s="108" t="s">
        <v>288</v>
      </c>
      <c r="N167" s="108"/>
      <c r="O167" s="108"/>
      <c r="P167" s="110" t="s">
        <v>370</v>
      </c>
      <c r="Q167" s="191"/>
    </row>
    <row r="168" spans="1:21" x14ac:dyDescent="0.3">
      <c r="A168" s="132"/>
      <c r="B168" s="93"/>
      <c r="C168" s="108"/>
      <c r="D168" s="110"/>
      <c r="E168" s="110"/>
      <c r="F168" s="110"/>
      <c r="G168" s="110"/>
      <c r="H168" s="110"/>
      <c r="I168" s="110"/>
      <c r="J168" s="110"/>
      <c r="K168" s="108"/>
      <c r="L168" s="108"/>
      <c r="M168" s="108"/>
      <c r="N168" s="108"/>
      <c r="O168" s="108"/>
      <c r="P168" s="110"/>
      <c r="Q168" s="194"/>
    </row>
    <row r="169" spans="1:21" x14ac:dyDescent="0.3">
      <c r="A169" s="385" t="s">
        <v>200</v>
      </c>
      <c r="B169" s="108"/>
      <c r="C169" s="106"/>
      <c r="D169" s="86"/>
      <c r="E169" s="86"/>
      <c r="F169" s="86"/>
      <c r="G169" s="86"/>
      <c r="H169" s="86"/>
      <c r="I169" s="86"/>
      <c r="J169" s="86"/>
      <c r="K169" s="106"/>
      <c r="L169" s="106"/>
      <c r="M169" s="106"/>
      <c r="N169" s="106"/>
      <c r="O169" s="106"/>
      <c r="P169" s="86"/>
      <c r="Q169" s="191"/>
    </row>
    <row r="170" spans="1:21" ht="28.8" x14ac:dyDescent="0.3">
      <c r="A170" s="210" t="s">
        <v>371</v>
      </c>
      <c r="B170" s="108" t="s">
        <v>589</v>
      </c>
      <c r="C170" s="239">
        <f>L164</f>
        <v>3598.1968395453828</v>
      </c>
      <c r="D170" s="110" t="s">
        <v>288</v>
      </c>
      <c r="E170" s="110"/>
      <c r="F170" s="110"/>
      <c r="G170" s="110"/>
      <c r="H170" s="110"/>
      <c r="I170" s="110"/>
      <c r="J170" s="110"/>
      <c r="K170" s="108"/>
      <c r="L170" s="108"/>
      <c r="M170" s="108"/>
      <c r="N170" s="108"/>
      <c r="O170" s="108"/>
      <c r="P170" s="110"/>
      <c r="Q170" s="191"/>
      <c r="T170" s="167"/>
    </row>
    <row r="171" spans="1:21" x14ac:dyDescent="0.3">
      <c r="A171" s="132"/>
      <c r="B171" s="108"/>
      <c r="C171" s="239"/>
      <c r="D171" s="110"/>
      <c r="E171" s="110"/>
      <c r="F171" s="110"/>
      <c r="G171" s="110"/>
      <c r="H171" s="110" t="s">
        <v>48</v>
      </c>
      <c r="I171" s="279">
        <f>Energy!P78</f>
        <v>1187135.7745088383</v>
      </c>
      <c r="J171" s="110" t="s">
        <v>221</v>
      </c>
      <c r="K171" s="108"/>
      <c r="L171" s="108"/>
      <c r="M171" s="108"/>
      <c r="N171" s="108"/>
      <c r="O171" s="108"/>
      <c r="P171" s="163" t="s">
        <v>373</v>
      </c>
      <c r="Q171" s="191"/>
    </row>
    <row r="172" spans="1:21" ht="15.6" x14ac:dyDescent="0.3">
      <c r="A172" s="132"/>
      <c r="B172" s="108"/>
      <c r="C172" s="108"/>
      <c r="D172" s="110"/>
      <c r="E172" s="110"/>
      <c r="F172" s="110"/>
      <c r="G172" s="110"/>
      <c r="H172" s="110"/>
      <c r="I172" s="110"/>
      <c r="J172" s="110"/>
      <c r="K172" s="108" t="s">
        <v>148</v>
      </c>
      <c r="L172" s="239">
        <f>(Stoichiometry!G83+Stoichiometry!G102)*Efficiencies!E64</f>
        <v>1704.6705709446658</v>
      </c>
      <c r="M172" s="108" t="s">
        <v>288</v>
      </c>
      <c r="N172" s="108"/>
      <c r="O172" s="108"/>
      <c r="P172" s="110"/>
      <c r="Q172" s="191"/>
    </row>
    <row r="173" spans="1:21" x14ac:dyDescent="0.3">
      <c r="A173" s="132"/>
      <c r="B173" s="108"/>
      <c r="C173" s="108"/>
      <c r="D173" s="110"/>
      <c r="E173" s="110"/>
      <c r="F173" s="110"/>
      <c r="G173" s="110"/>
      <c r="H173" s="110"/>
      <c r="I173" s="110"/>
      <c r="J173" s="110"/>
      <c r="K173" s="108" t="s">
        <v>214</v>
      </c>
      <c r="L173" s="239">
        <f>C170-L172</f>
        <v>1893.526268600717</v>
      </c>
      <c r="M173" s="108" t="s">
        <v>288</v>
      </c>
      <c r="N173" s="108"/>
      <c r="O173" s="108"/>
      <c r="P173" s="110" t="s">
        <v>374</v>
      </c>
      <c r="Q173" s="191"/>
      <c r="T173" s="167"/>
    </row>
    <row r="174" spans="1:21" x14ac:dyDescent="0.3">
      <c r="A174" s="132"/>
      <c r="B174" s="93"/>
      <c r="C174" s="108"/>
      <c r="D174" s="110"/>
      <c r="E174" s="110"/>
      <c r="F174" s="110"/>
      <c r="G174" s="110"/>
      <c r="H174" s="110"/>
      <c r="I174" s="110"/>
      <c r="J174" s="110"/>
      <c r="K174" s="108"/>
      <c r="L174" s="108"/>
      <c r="M174" s="108"/>
      <c r="N174" s="108"/>
      <c r="O174" s="108"/>
      <c r="P174" s="110"/>
      <c r="Q174" s="194"/>
    </row>
    <row r="175" spans="1:21" ht="30.45" customHeight="1" x14ac:dyDescent="0.3">
      <c r="A175" s="385" t="s">
        <v>590</v>
      </c>
      <c r="B175" s="108"/>
      <c r="C175" s="106"/>
      <c r="D175" s="86"/>
      <c r="E175" s="86"/>
      <c r="F175" s="86"/>
      <c r="G175" s="86"/>
      <c r="H175" s="86"/>
      <c r="I175" s="86"/>
      <c r="J175" s="86"/>
      <c r="K175" s="106"/>
      <c r="L175" s="106"/>
      <c r="M175" s="106"/>
      <c r="N175" s="106"/>
      <c r="O175" s="106"/>
      <c r="P175" s="86"/>
      <c r="Q175" s="191"/>
    </row>
    <row r="176" spans="1:21" x14ac:dyDescent="0.3">
      <c r="A176" s="388" t="s">
        <v>406</v>
      </c>
      <c r="B176" s="108" t="s">
        <v>340</v>
      </c>
      <c r="C176" s="239">
        <f>L152</f>
        <v>33234.970797936912</v>
      </c>
      <c r="D176" s="110" t="s">
        <v>288</v>
      </c>
      <c r="E176" s="110"/>
      <c r="F176" s="110"/>
      <c r="G176" s="110"/>
      <c r="H176" s="110"/>
      <c r="I176" s="110"/>
      <c r="J176" s="110"/>
      <c r="K176" s="108"/>
      <c r="L176" s="108"/>
      <c r="M176" s="108"/>
      <c r="N176" s="108"/>
      <c r="O176" s="108"/>
      <c r="P176" s="110"/>
      <c r="Q176" s="191"/>
      <c r="S176" s="123"/>
      <c r="T176" s="123" t="s">
        <v>251</v>
      </c>
      <c r="U176" s="123" t="s">
        <v>252</v>
      </c>
    </row>
    <row r="177" spans="1:28" x14ac:dyDescent="0.3">
      <c r="A177" s="388"/>
      <c r="B177" s="108" t="s">
        <v>340</v>
      </c>
      <c r="C177" s="239">
        <f>C176/N177</f>
        <v>33234.970797936912</v>
      </c>
      <c r="D177" s="110" t="s">
        <v>301</v>
      </c>
      <c r="E177" s="110"/>
      <c r="F177" s="110"/>
      <c r="G177" s="110"/>
      <c r="H177" s="110"/>
      <c r="I177" s="110"/>
      <c r="J177" s="110"/>
      <c r="K177" s="108"/>
      <c r="L177" s="108"/>
      <c r="M177" s="108"/>
      <c r="N177" s="511">
        <v>1</v>
      </c>
      <c r="O177" s="511"/>
      <c r="P177" s="111"/>
      <c r="Q177" s="191"/>
      <c r="S177" s="73" t="s">
        <v>591</v>
      </c>
      <c r="T177" s="523">
        <f>Stoichiometry!G71</f>
        <v>356.96086055085669</v>
      </c>
      <c r="U177" s="76" t="s">
        <v>288</v>
      </c>
    </row>
    <row r="178" spans="1:28" x14ac:dyDescent="0.3">
      <c r="A178" s="388"/>
      <c r="B178" s="108"/>
      <c r="C178" s="239"/>
      <c r="D178" s="110"/>
      <c r="E178" s="110"/>
      <c r="F178" s="110"/>
      <c r="G178" s="110"/>
      <c r="H178" s="110" t="s">
        <v>48</v>
      </c>
      <c r="I178" s="279">
        <f>Energy!P79</f>
        <v>9646748.8827165086</v>
      </c>
      <c r="J178" s="110" t="s">
        <v>221</v>
      </c>
      <c r="K178" s="108"/>
      <c r="L178" s="108"/>
      <c r="M178" s="108"/>
      <c r="N178" s="108"/>
      <c r="O178" s="108"/>
      <c r="P178" s="111" t="s">
        <v>380</v>
      </c>
      <c r="Q178" s="191"/>
      <c r="S178" s="73" t="s">
        <v>409</v>
      </c>
      <c r="T178" s="524">
        <f>T177/C177*1000</f>
        <v>10.740519759175337</v>
      </c>
      <c r="U178" s="76" t="s">
        <v>410</v>
      </c>
      <c r="V178" t="s">
        <v>411</v>
      </c>
    </row>
    <row r="179" spans="1:28" ht="28.8" x14ac:dyDescent="0.3">
      <c r="A179" s="132"/>
      <c r="B179" s="108"/>
      <c r="C179" s="108"/>
      <c r="D179" s="110"/>
      <c r="E179" s="110"/>
      <c r="F179" s="110"/>
      <c r="G179" s="110"/>
      <c r="H179" s="110"/>
      <c r="I179" s="110"/>
      <c r="J179" s="110"/>
      <c r="K179" s="108" t="s">
        <v>340</v>
      </c>
      <c r="L179" s="239">
        <f>L180*N177</f>
        <v>17848.043027542833</v>
      </c>
      <c r="M179" s="108" t="s">
        <v>288</v>
      </c>
      <c r="N179" s="108"/>
      <c r="O179" s="108"/>
      <c r="P179" s="110" t="s">
        <v>592</v>
      </c>
      <c r="Q179" s="811">
        <v>20</v>
      </c>
      <c r="S179" s="73" t="s">
        <v>412</v>
      </c>
      <c r="T179" s="803">
        <v>3</v>
      </c>
      <c r="U179" s="76" t="s">
        <v>410</v>
      </c>
    </row>
    <row r="180" spans="1:28" x14ac:dyDescent="0.3">
      <c r="A180" s="132"/>
      <c r="B180" s="108"/>
      <c r="C180" s="108"/>
      <c r="D180" s="110"/>
      <c r="E180" s="110"/>
      <c r="F180" s="110"/>
      <c r="G180" s="110"/>
      <c r="H180" s="110"/>
      <c r="I180" s="110"/>
      <c r="J180" s="110"/>
      <c r="K180" s="108" t="s">
        <v>340</v>
      </c>
      <c r="L180" s="239">
        <f>T181</f>
        <v>17848.043027542833</v>
      </c>
      <c r="M180" s="108" t="s">
        <v>301</v>
      </c>
      <c r="N180" s="108"/>
      <c r="O180" s="108"/>
      <c r="P180" s="110"/>
      <c r="Q180" s="191"/>
      <c r="S180" s="73" t="s">
        <v>413</v>
      </c>
      <c r="T180" s="496">
        <f>Q179</f>
        <v>20</v>
      </c>
      <c r="U180" s="496" t="s">
        <v>410</v>
      </c>
    </row>
    <row r="181" spans="1:28" x14ac:dyDescent="0.3">
      <c r="A181" s="132"/>
      <c r="B181" s="108"/>
      <c r="C181" s="108"/>
      <c r="D181" s="110"/>
      <c r="E181" s="110"/>
      <c r="F181" s="110"/>
      <c r="G181" s="110"/>
      <c r="H181" s="110"/>
      <c r="I181" s="110"/>
      <c r="J181" s="110"/>
      <c r="K181" s="108" t="s">
        <v>214</v>
      </c>
      <c r="L181" s="239">
        <f>C176-L179</f>
        <v>15386.927770394079</v>
      </c>
      <c r="M181" s="108" t="s">
        <v>288</v>
      </c>
      <c r="N181" s="108"/>
      <c r="O181" s="108"/>
      <c r="P181" s="110" t="s">
        <v>374</v>
      </c>
      <c r="Q181" s="191"/>
      <c r="S181" s="73" t="s">
        <v>414</v>
      </c>
      <c r="T181" s="525">
        <f>T177/(T180/1000)</f>
        <v>17848.043027542833</v>
      </c>
      <c r="U181" s="76" t="s">
        <v>301</v>
      </c>
    </row>
    <row r="182" spans="1:28" x14ac:dyDescent="0.3">
      <c r="A182" s="132"/>
      <c r="B182" s="93"/>
      <c r="C182" s="108"/>
      <c r="D182" s="110"/>
      <c r="E182" s="110"/>
      <c r="F182" s="110"/>
      <c r="G182" s="110"/>
      <c r="H182" s="110"/>
      <c r="I182" s="110"/>
      <c r="J182" s="110"/>
      <c r="K182" s="108"/>
      <c r="L182" s="108"/>
      <c r="M182" s="108"/>
      <c r="N182" s="108"/>
      <c r="O182" s="108"/>
      <c r="P182" s="110"/>
      <c r="Q182" s="194"/>
    </row>
    <row r="183" spans="1:28" x14ac:dyDescent="0.3">
      <c r="A183" s="385" t="s">
        <v>415</v>
      </c>
      <c r="B183" s="108"/>
      <c r="C183" s="106"/>
      <c r="D183" s="86"/>
      <c r="E183" s="86"/>
      <c r="F183" s="86"/>
      <c r="G183" s="86"/>
      <c r="H183" s="86"/>
      <c r="I183" s="86"/>
      <c r="J183" s="86"/>
      <c r="K183" s="106"/>
      <c r="L183" s="106"/>
      <c r="M183" s="106"/>
      <c r="N183" s="106"/>
      <c r="O183" s="106"/>
      <c r="P183" s="86"/>
      <c r="Q183" s="191"/>
    </row>
    <row r="184" spans="1:28" x14ac:dyDescent="0.3">
      <c r="A184" s="210" t="s">
        <v>338</v>
      </c>
      <c r="B184" s="108" t="s">
        <v>340</v>
      </c>
      <c r="C184" s="239">
        <f>L179</f>
        <v>17848.043027542833</v>
      </c>
      <c r="D184" s="110" t="s">
        <v>288</v>
      </c>
      <c r="E184" s="110"/>
      <c r="F184" s="110"/>
      <c r="G184" s="110"/>
      <c r="H184" s="110"/>
      <c r="I184" s="110"/>
      <c r="J184" s="110"/>
      <c r="K184" s="108"/>
      <c r="L184" s="108"/>
      <c r="M184" s="108"/>
      <c r="N184" s="108"/>
      <c r="O184" s="108"/>
      <c r="P184" s="111"/>
      <c r="Q184" s="191"/>
      <c r="T184" t="s">
        <v>416</v>
      </c>
    </row>
    <row r="185" spans="1:28" x14ac:dyDescent="0.3">
      <c r="A185" s="132"/>
      <c r="B185" s="108"/>
      <c r="C185" s="108"/>
      <c r="D185" s="110"/>
      <c r="E185" s="108" t="s">
        <v>65</v>
      </c>
      <c r="F185" s="239">
        <f>AA187*Q185</f>
        <v>2090.3041631637666</v>
      </c>
      <c r="G185" s="110" t="s">
        <v>288</v>
      </c>
      <c r="H185" s="110"/>
      <c r="I185" s="110"/>
      <c r="J185" s="110"/>
      <c r="K185" s="108"/>
      <c r="L185" s="108"/>
      <c r="M185" s="108"/>
      <c r="N185" s="108"/>
      <c r="O185" s="108"/>
      <c r="P185" s="111" t="s">
        <v>374</v>
      </c>
      <c r="Q185" s="811">
        <v>1.1000000000000001</v>
      </c>
      <c r="T185" s="1132" t="s">
        <v>95</v>
      </c>
      <c r="U185" s="1133"/>
      <c r="V185" s="1133"/>
      <c r="W185" s="1134"/>
      <c r="X185" s="1132" t="s">
        <v>417</v>
      </c>
      <c r="Y185" s="1133"/>
      <c r="Z185" s="1134"/>
      <c r="AA185" s="1135" t="s">
        <v>418</v>
      </c>
      <c r="AB185" s="1135"/>
    </row>
    <row r="186" spans="1:28" ht="43.2" x14ac:dyDescent="0.3">
      <c r="A186" s="132"/>
      <c r="B186" s="108"/>
      <c r="C186" s="108"/>
      <c r="D186" s="110"/>
      <c r="E186" s="108"/>
      <c r="F186" s="239"/>
      <c r="G186" s="110"/>
      <c r="H186" s="110" t="s">
        <v>48</v>
      </c>
      <c r="I186" s="342">
        <f>Energy!P80</f>
        <v>88274.575353925931</v>
      </c>
      <c r="J186" s="110" t="s">
        <v>221</v>
      </c>
      <c r="K186" s="108"/>
      <c r="L186" s="108"/>
      <c r="M186" s="108"/>
      <c r="N186" s="108"/>
      <c r="O186" s="108"/>
      <c r="P186" s="111"/>
      <c r="Q186" s="468"/>
      <c r="S186" s="123"/>
      <c r="T186" s="123" t="s">
        <v>420</v>
      </c>
      <c r="U186" s="698" t="s">
        <v>593</v>
      </c>
      <c r="V186" s="123" t="s">
        <v>422</v>
      </c>
      <c r="W186" s="698" t="s">
        <v>594</v>
      </c>
      <c r="X186" s="123" t="s">
        <v>595</v>
      </c>
      <c r="Y186" s="123" t="s">
        <v>593</v>
      </c>
      <c r="Z186" s="123" t="s">
        <v>420</v>
      </c>
      <c r="AA186" s="123" t="s">
        <v>420</v>
      </c>
      <c r="AB186" s="698" t="s">
        <v>596</v>
      </c>
    </row>
    <row r="187" spans="1:28" x14ac:dyDescent="0.3">
      <c r="A187" s="132"/>
      <c r="B187" s="108"/>
      <c r="C187" s="108"/>
      <c r="D187" s="110"/>
      <c r="E187" s="110"/>
      <c r="F187" s="110"/>
      <c r="G187" s="110"/>
      <c r="H187" s="110"/>
      <c r="I187" s="110"/>
      <c r="J187" s="110"/>
      <c r="K187" s="108" t="s">
        <v>340</v>
      </c>
      <c r="L187" s="239">
        <f>C184+F185</f>
        <v>19938.347190706601</v>
      </c>
      <c r="M187" s="108" t="s">
        <v>288</v>
      </c>
      <c r="N187" s="108"/>
      <c r="O187" s="108"/>
      <c r="P187" s="110"/>
      <c r="Q187" s="191"/>
      <c r="S187" s="123" t="s">
        <v>424</v>
      </c>
      <c r="T187" s="522">
        <f>C10</f>
        <v>356.96086055085669</v>
      </c>
      <c r="U187" s="496">
        <v>6.94</v>
      </c>
      <c r="V187" s="522">
        <f>T187*1000000/U187</f>
        <v>51435282.500123441</v>
      </c>
      <c r="W187" s="700">
        <v>0.5</v>
      </c>
      <c r="X187" s="394">
        <f>V187*W187</f>
        <v>25717641.250061721</v>
      </c>
      <c r="Y187" s="699">
        <v>60.01</v>
      </c>
      <c r="Z187" s="394">
        <f>X187*Y187/1000000</f>
        <v>1543.3156514162038</v>
      </c>
      <c r="AA187" s="135">
        <f>Z187+T187</f>
        <v>1900.2765119670605</v>
      </c>
      <c r="AB187" s="123">
        <v>73.89</v>
      </c>
    </row>
    <row r="188" spans="1:28" ht="28.8" x14ac:dyDescent="0.3">
      <c r="A188" s="132"/>
      <c r="B188" s="108"/>
      <c r="C188" s="108"/>
      <c r="D188" s="110"/>
      <c r="E188" s="110"/>
      <c r="F188" s="110"/>
      <c r="G188" s="110"/>
      <c r="H188" s="110"/>
      <c r="I188" s="110"/>
      <c r="J188" s="110"/>
      <c r="K188" s="108" t="s">
        <v>340</v>
      </c>
      <c r="L188" s="239">
        <f>L187/N188</f>
        <v>19938.347190706601</v>
      </c>
      <c r="M188" s="108" t="s">
        <v>301</v>
      </c>
      <c r="N188" s="511">
        <v>1</v>
      </c>
      <c r="O188" s="511"/>
      <c r="P188" s="111"/>
      <c r="Q188" s="527"/>
      <c r="AA188" s="698" t="s">
        <v>597</v>
      </c>
      <c r="AB188" s="522">
        <f>AA187*Efficiencies!E65</f>
        <v>1615.2350351720013</v>
      </c>
    </row>
    <row r="189" spans="1:28" x14ac:dyDescent="0.3">
      <c r="A189" s="132"/>
      <c r="B189" s="93"/>
      <c r="C189" s="108"/>
      <c r="D189" s="110"/>
      <c r="E189" s="110"/>
      <c r="F189" s="110"/>
      <c r="G189" s="110"/>
      <c r="H189" s="110"/>
      <c r="I189" s="110"/>
      <c r="J189" s="110"/>
      <c r="K189" s="108"/>
      <c r="L189" s="108"/>
      <c r="M189" s="108"/>
      <c r="N189" s="108"/>
      <c r="O189" s="108"/>
      <c r="P189" s="110"/>
      <c r="Q189" s="194"/>
      <c r="T189" s="1135" t="s">
        <v>95</v>
      </c>
      <c r="U189" s="1135"/>
      <c r="V189" s="1135"/>
      <c r="W189" s="1132" t="s">
        <v>65</v>
      </c>
      <c r="X189" s="1134"/>
    </row>
    <row r="190" spans="1:28" ht="43.2" x14ac:dyDescent="0.3">
      <c r="A190" s="683" t="s">
        <v>598</v>
      </c>
      <c r="B190" s="108"/>
      <c r="C190" s="106"/>
      <c r="D190" s="86"/>
      <c r="E190" s="86"/>
      <c r="F190" s="86"/>
      <c r="G190" s="86"/>
      <c r="H190" s="86"/>
      <c r="I190" s="86"/>
      <c r="J190" s="86"/>
      <c r="K190" s="106"/>
      <c r="L190" s="106"/>
      <c r="M190" s="106"/>
      <c r="N190" s="106"/>
      <c r="O190" s="106"/>
      <c r="P190" s="86"/>
      <c r="Q190" s="191"/>
      <c r="S190" s="123"/>
      <c r="T190" s="123" t="s">
        <v>420</v>
      </c>
      <c r="U190" s="698" t="s">
        <v>593</v>
      </c>
      <c r="V190" s="698" t="s">
        <v>422</v>
      </c>
      <c r="W190" s="698" t="s">
        <v>422</v>
      </c>
      <c r="X190" s="123" t="s">
        <v>420</v>
      </c>
    </row>
    <row r="191" spans="1:28" x14ac:dyDescent="0.3">
      <c r="A191" s="132" t="s">
        <v>427</v>
      </c>
      <c r="B191" s="108" t="s">
        <v>340</v>
      </c>
      <c r="C191" s="239">
        <f>L187</f>
        <v>19938.347190706601</v>
      </c>
      <c r="D191" s="110" t="s">
        <v>288</v>
      </c>
      <c r="E191" s="110"/>
      <c r="F191" s="110"/>
      <c r="G191" s="110"/>
      <c r="H191" s="110"/>
      <c r="I191" s="110"/>
      <c r="J191" s="110"/>
      <c r="K191" s="108"/>
      <c r="L191" s="108"/>
      <c r="M191" s="108"/>
      <c r="N191" s="108"/>
      <c r="O191" s="108"/>
      <c r="P191" s="110"/>
      <c r="Q191" s="191"/>
      <c r="S191" s="123" t="s">
        <v>424</v>
      </c>
      <c r="T191" s="522">
        <f>C10</f>
        <v>356.96086055085669</v>
      </c>
      <c r="U191" s="496">
        <v>6.94</v>
      </c>
      <c r="V191" s="522">
        <f>T191*1000000/U191</f>
        <v>51435282.500123441</v>
      </c>
      <c r="W191" s="699">
        <v>105.99</v>
      </c>
      <c r="X191" s="394">
        <f>AA187/AB187*W191</f>
        <v>2725.8127960940415</v>
      </c>
    </row>
    <row r="192" spans="1:28" x14ac:dyDescent="0.3">
      <c r="A192" s="132"/>
      <c r="B192" s="108"/>
      <c r="C192" s="239"/>
      <c r="D192" s="110"/>
      <c r="E192" s="110"/>
      <c r="F192" s="110"/>
      <c r="G192" s="110"/>
      <c r="H192" s="110" t="s">
        <v>48</v>
      </c>
      <c r="I192" s="342">
        <f>Energy!P81</f>
        <v>68044.985168651241</v>
      </c>
      <c r="J192" s="110" t="s">
        <v>221</v>
      </c>
      <c r="K192" s="108"/>
      <c r="L192" s="108"/>
      <c r="M192" s="108"/>
      <c r="N192" s="108"/>
      <c r="O192" s="108"/>
      <c r="P192" s="111"/>
      <c r="Q192" s="468"/>
      <c r="T192" s="701"/>
      <c r="U192" s="356"/>
      <c r="V192" s="356"/>
    </row>
    <row r="193" spans="1:20" ht="15.6" x14ac:dyDescent="0.3">
      <c r="A193" s="132"/>
      <c r="B193" s="108"/>
      <c r="C193" s="108"/>
      <c r="D193" s="110"/>
      <c r="E193" s="110"/>
      <c r="F193" s="110"/>
      <c r="G193" s="110"/>
      <c r="H193" s="110"/>
      <c r="I193" s="110"/>
      <c r="J193" s="110"/>
      <c r="K193" s="108" t="s">
        <v>541</v>
      </c>
      <c r="L193" s="239">
        <f>AB188</f>
        <v>1615.2350351720013</v>
      </c>
      <c r="M193" s="108" t="s">
        <v>288</v>
      </c>
      <c r="N193" s="108"/>
      <c r="O193" s="108"/>
      <c r="P193" s="110"/>
      <c r="Q193" s="191"/>
    </row>
    <row r="194" spans="1:20" x14ac:dyDescent="0.3">
      <c r="A194" s="132"/>
      <c r="B194" s="108"/>
      <c r="C194" s="108"/>
      <c r="D194" s="110"/>
      <c r="E194" s="110"/>
      <c r="F194" s="110"/>
      <c r="G194" s="110"/>
      <c r="H194" s="110"/>
      <c r="I194" s="110"/>
      <c r="J194" s="110"/>
      <c r="K194" s="108"/>
      <c r="L194" s="239"/>
      <c r="M194" s="108"/>
      <c r="N194" s="108"/>
      <c r="O194" s="108"/>
      <c r="P194" s="110"/>
      <c r="Q194" s="191"/>
    </row>
    <row r="195" spans="1:20" x14ac:dyDescent="0.3">
      <c r="A195" s="132"/>
      <c r="B195" s="108"/>
      <c r="C195" s="108"/>
      <c r="D195" s="110"/>
      <c r="E195" s="110"/>
      <c r="F195" s="110"/>
      <c r="G195" s="110"/>
      <c r="H195" s="110"/>
      <c r="I195" s="110"/>
      <c r="J195" s="110"/>
      <c r="K195" s="108" t="s">
        <v>22</v>
      </c>
      <c r="L195" s="239">
        <f>C191-L193</f>
        <v>18323.1121555346</v>
      </c>
      <c r="M195" s="108" t="s">
        <v>288</v>
      </c>
      <c r="N195" s="108"/>
      <c r="O195" s="108"/>
      <c r="P195" s="110"/>
      <c r="Q195" s="191"/>
    </row>
    <row r="196" spans="1:20" x14ac:dyDescent="0.3">
      <c r="A196" s="169"/>
      <c r="B196" s="113"/>
      <c r="C196" s="113"/>
      <c r="D196" s="93"/>
      <c r="E196" s="93"/>
      <c r="F196" s="93"/>
      <c r="G196" s="93"/>
      <c r="H196" s="93"/>
      <c r="I196" s="93"/>
      <c r="J196" s="93"/>
      <c r="K196" s="93"/>
      <c r="L196" s="93"/>
      <c r="M196" s="93"/>
      <c r="N196" s="93"/>
      <c r="O196" s="93"/>
      <c r="P196" s="93"/>
      <c r="Q196" s="194"/>
    </row>
    <row r="197" spans="1:20" x14ac:dyDescent="0.3">
      <c r="A197" s="158" t="s">
        <v>429</v>
      </c>
      <c r="B197" s="86"/>
      <c r="C197" s="86"/>
      <c r="D197" s="86"/>
      <c r="E197" s="86"/>
      <c r="F197" s="86"/>
      <c r="G197" s="86"/>
      <c r="H197" s="86"/>
      <c r="I197" s="86"/>
      <c r="J197" s="86"/>
      <c r="K197" s="86"/>
      <c r="L197" s="86"/>
      <c r="M197" s="86"/>
      <c r="N197" s="86"/>
      <c r="O197" s="86"/>
      <c r="P197" s="86"/>
      <c r="Q197" s="397"/>
    </row>
    <row r="198" spans="1:20" x14ac:dyDescent="0.3">
      <c r="A198" s="132" t="s">
        <v>406</v>
      </c>
      <c r="B198" s="110" t="s">
        <v>22</v>
      </c>
      <c r="C198" s="279">
        <f>IF(Macro!D22=TRUE,L195,0)</f>
        <v>0</v>
      </c>
      <c r="D198" s="110" t="s">
        <v>288</v>
      </c>
      <c r="E198" s="110"/>
      <c r="F198" s="110"/>
      <c r="G198" s="110"/>
      <c r="H198" s="110"/>
      <c r="I198" s="110"/>
      <c r="J198" s="110"/>
      <c r="K198" s="110"/>
      <c r="L198" s="110"/>
      <c r="M198" s="110"/>
      <c r="N198" s="110"/>
      <c r="O198" s="110"/>
      <c r="P198" s="110"/>
      <c r="Q198" s="191"/>
    </row>
    <row r="199" spans="1:20" x14ac:dyDescent="0.3">
      <c r="A199" s="132"/>
      <c r="B199" s="110" t="s">
        <v>22</v>
      </c>
      <c r="C199" s="279">
        <f>C198*N199</f>
        <v>0</v>
      </c>
      <c r="D199" s="110" t="s">
        <v>301</v>
      </c>
      <c r="E199" s="110"/>
      <c r="F199" s="110"/>
      <c r="G199" s="110"/>
      <c r="H199" s="110"/>
      <c r="I199" s="110"/>
      <c r="J199" s="110"/>
      <c r="K199" s="110"/>
      <c r="L199" s="110"/>
      <c r="M199" s="110"/>
      <c r="N199" s="511">
        <f>N177</f>
        <v>1</v>
      </c>
      <c r="O199" s="511"/>
      <c r="P199" s="110"/>
      <c r="Q199" s="191"/>
    </row>
    <row r="200" spans="1:20" x14ac:dyDescent="0.3">
      <c r="A200" s="132"/>
      <c r="B200" s="110"/>
      <c r="C200" s="279">
        <f>C199/Macro!$D$16/Q200</f>
        <v>0</v>
      </c>
      <c r="D200" s="110" t="s">
        <v>430</v>
      </c>
      <c r="E200" s="110"/>
      <c r="F200" s="110"/>
      <c r="G200" s="110"/>
      <c r="H200" s="110"/>
      <c r="I200" s="110"/>
      <c r="J200" s="110"/>
      <c r="K200" s="110"/>
      <c r="L200" s="110"/>
      <c r="M200" s="110"/>
      <c r="N200" s="110"/>
      <c r="O200" s="110"/>
      <c r="P200" s="110" t="s">
        <v>431</v>
      </c>
      <c r="Q200" s="811">
        <v>24</v>
      </c>
      <c r="T200" s="167"/>
    </row>
    <row r="201" spans="1:20" x14ac:dyDescent="0.3">
      <c r="A201" s="132"/>
      <c r="B201" s="110"/>
      <c r="C201" s="279">
        <f>C200*1000/60</f>
        <v>0</v>
      </c>
      <c r="D201" s="110" t="s">
        <v>432</v>
      </c>
      <c r="E201" s="110"/>
      <c r="F201" s="110"/>
      <c r="G201" s="110"/>
      <c r="H201" s="110"/>
      <c r="I201" s="110"/>
      <c r="J201" s="110"/>
      <c r="K201" s="110"/>
      <c r="L201" s="110"/>
      <c r="M201" s="110"/>
      <c r="N201" s="110"/>
      <c r="O201" s="110"/>
      <c r="P201" s="110"/>
      <c r="Q201" s="191"/>
    </row>
    <row r="202" spans="1:20" x14ac:dyDescent="0.3">
      <c r="A202" s="132"/>
      <c r="B202" s="110"/>
      <c r="C202" s="110"/>
      <c r="D202" s="110"/>
      <c r="E202" s="110"/>
      <c r="F202" s="110"/>
      <c r="G202" s="110"/>
      <c r="H202" s="110" t="s">
        <v>48</v>
      </c>
      <c r="I202" s="279">
        <f>Energy!P82</f>
        <v>0</v>
      </c>
      <c r="J202" s="110" t="s">
        <v>221</v>
      </c>
      <c r="K202" s="110"/>
      <c r="L202" s="110"/>
      <c r="M202" s="110"/>
      <c r="N202" s="110"/>
      <c r="O202" s="110"/>
      <c r="P202" s="110"/>
      <c r="Q202" s="191"/>
    </row>
    <row r="203" spans="1:20" x14ac:dyDescent="0.3">
      <c r="A203" s="132"/>
      <c r="B203" s="110"/>
      <c r="C203" s="110"/>
      <c r="D203" s="110"/>
      <c r="E203" s="110"/>
      <c r="F203" s="110"/>
      <c r="G203" s="110"/>
      <c r="H203" s="110"/>
      <c r="I203" s="110"/>
      <c r="J203" s="110"/>
      <c r="K203" s="110" t="s">
        <v>214</v>
      </c>
      <c r="L203" s="279">
        <f>C198-L204</f>
        <v>0</v>
      </c>
      <c r="M203" s="110" t="s">
        <v>288</v>
      </c>
      <c r="N203" s="110"/>
      <c r="O203" s="110"/>
      <c r="P203" s="110" t="s">
        <v>433</v>
      </c>
      <c r="Q203" s="191"/>
      <c r="T203" s="167"/>
    </row>
    <row r="204" spans="1:20" ht="32.549999999999997" customHeight="1" x14ac:dyDescent="0.3">
      <c r="A204" s="132"/>
      <c r="B204" s="110"/>
      <c r="C204" s="110"/>
      <c r="D204" s="110"/>
      <c r="E204" s="110"/>
      <c r="F204" s="110"/>
      <c r="G204" s="110"/>
      <c r="H204" s="110"/>
      <c r="I204" s="110"/>
      <c r="J204" s="110"/>
      <c r="K204" s="110" t="s">
        <v>60</v>
      </c>
      <c r="L204" s="342">
        <f>C198/Q204</f>
        <v>0</v>
      </c>
      <c r="M204" s="110" t="s">
        <v>288</v>
      </c>
      <c r="N204" s="110"/>
      <c r="O204" s="110"/>
      <c r="P204" s="110" t="s">
        <v>434</v>
      </c>
      <c r="Q204" s="811">
        <v>10</v>
      </c>
    </row>
    <row r="205" spans="1:20" x14ac:dyDescent="0.3">
      <c r="A205" s="169"/>
      <c r="B205" s="93"/>
      <c r="C205" s="93"/>
      <c r="D205" s="93"/>
      <c r="E205" s="93"/>
      <c r="F205" s="93"/>
      <c r="G205" s="93"/>
      <c r="H205" s="93"/>
      <c r="I205" s="93"/>
      <c r="J205" s="93"/>
      <c r="K205" s="93"/>
      <c r="L205" s="93"/>
      <c r="M205" s="93"/>
      <c r="N205" s="93"/>
      <c r="O205" s="93"/>
      <c r="P205" s="93"/>
      <c r="Q205" s="194"/>
    </row>
  </sheetData>
  <mergeCells count="5">
    <mergeCell ref="T185:W185"/>
    <mergeCell ref="X185:Z185"/>
    <mergeCell ref="AA185:AB185"/>
    <mergeCell ref="T189:V189"/>
    <mergeCell ref="W189:X189"/>
  </mergeCells>
  <pageMargins left="0.7" right="0.7" top="0.78740157499999996" bottom="0.78740157499999996"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6">
    <tabColor theme="0" tint="-0.499984740745262"/>
  </sheetPr>
  <dimension ref="A1:T59"/>
  <sheetViews>
    <sheetView zoomScale="70" zoomScaleNormal="70" workbookViewId="0">
      <selection activeCell="C8" sqref="C8"/>
    </sheetView>
  </sheetViews>
  <sheetFormatPr baseColWidth="10" defaultColWidth="11.44140625" defaultRowHeight="14.4" x14ac:dyDescent="0.3"/>
  <cols>
    <col min="1" max="1" width="14.109375" customWidth="1"/>
    <col min="2" max="2" width="28.77734375" bestFit="1" customWidth="1"/>
    <col min="3" max="3" width="51.33203125" bestFit="1" customWidth="1"/>
    <col min="4" max="4" width="15.44140625" bestFit="1" customWidth="1"/>
    <col min="5" max="5" width="9.109375" bestFit="1" customWidth="1"/>
    <col min="6" max="6" width="14" customWidth="1"/>
    <col min="7" max="7" width="14.6640625" customWidth="1"/>
    <col min="8" max="8" width="14.44140625" customWidth="1"/>
    <col min="9" max="9" width="22.44140625" bestFit="1" customWidth="1"/>
    <col min="10" max="10" width="17.44140625" customWidth="1"/>
    <col min="11" max="11" width="13.77734375" bestFit="1" customWidth="1"/>
    <col min="12" max="13" width="13.44140625" customWidth="1"/>
    <col min="14" max="14" width="15.33203125" customWidth="1"/>
    <col min="15" max="15" width="15" bestFit="1" customWidth="1"/>
    <col min="16" max="16" width="13.33203125" customWidth="1"/>
    <col min="17" max="17" width="11.33203125" bestFit="1" customWidth="1"/>
    <col min="18" max="18" width="13.6640625" customWidth="1"/>
    <col min="19" max="19" width="12.33203125" bestFit="1" customWidth="1"/>
    <col min="20" max="20" width="46.33203125" customWidth="1"/>
    <col min="21" max="25" width="20.6640625" customWidth="1"/>
  </cols>
  <sheetData>
    <row r="1" spans="1:20" ht="21.6" thickBot="1" x14ac:dyDescent="0.35">
      <c r="A1" s="63" t="s">
        <v>599</v>
      </c>
    </row>
    <row r="2" spans="1:20" ht="15" customHeight="1" x14ac:dyDescent="0.3">
      <c r="A2" s="63"/>
      <c r="C2" s="841" t="s">
        <v>247</v>
      </c>
      <c r="D2" s="67" t="s">
        <v>248</v>
      </c>
      <c r="E2" s="68"/>
      <c r="F2" s="69"/>
    </row>
    <row r="3" spans="1:20" ht="15" customHeight="1" x14ac:dyDescent="0.3">
      <c r="A3" s="63"/>
      <c r="C3" s="70"/>
      <c r="D3" s="72" t="s">
        <v>250</v>
      </c>
      <c r="E3" s="73" t="s">
        <v>251</v>
      </c>
      <c r="F3" s="74" t="s">
        <v>252</v>
      </c>
    </row>
    <row r="4" spans="1:20" ht="15" customHeight="1" x14ac:dyDescent="0.3">
      <c r="A4" s="63"/>
      <c r="C4" s="70"/>
      <c r="D4" s="85"/>
      <c r="E4" s="86"/>
      <c r="F4" s="87"/>
    </row>
    <row r="5" spans="1:20" ht="15" customHeight="1" x14ac:dyDescent="0.3">
      <c r="A5" s="63"/>
      <c r="C5" s="70"/>
      <c r="D5" s="85" t="s">
        <v>436</v>
      </c>
      <c r="E5" s="475">
        <f>IF(Macro!$D$8=1,2500,IF(Macro!$D$8=2,25000,75000))</f>
        <v>25000</v>
      </c>
      <c r="F5" s="87" t="s">
        <v>263</v>
      </c>
    </row>
    <row r="6" spans="1:20" ht="15" customHeight="1" x14ac:dyDescent="0.3">
      <c r="A6" s="63"/>
      <c r="C6" s="70"/>
      <c r="D6" s="85" t="s">
        <v>257</v>
      </c>
      <c r="E6" s="475">
        <f>E5/Battery!C3*1000</f>
        <v>43374.539145521579</v>
      </c>
      <c r="F6" s="87" t="s">
        <v>600</v>
      </c>
    </row>
    <row r="7" spans="1:20" ht="15" customHeight="1" x14ac:dyDescent="0.3">
      <c r="A7" s="63"/>
      <c r="C7" s="70"/>
      <c r="D7" s="85" t="s">
        <v>248</v>
      </c>
      <c r="E7" s="817">
        <f>E6/Macro!D16/Macro!D18/8</f>
        <v>8.2148748381669652</v>
      </c>
      <c r="F7" s="87" t="s">
        <v>438</v>
      </c>
    </row>
    <row r="8" spans="1:20" ht="15" customHeight="1" x14ac:dyDescent="0.3">
      <c r="A8" s="63"/>
      <c r="C8" s="70"/>
      <c r="D8" s="85" t="s">
        <v>439</v>
      </c>
      <c r="E8" s="817">
        <f>E6/Macro!D16/Macro!D20/8</f>
        <v>5.4765832254446432</v>
      </c>
      <c r="F8" s="87" t="s">
        <v>438</v>
      </c>
    </row>
    <row r="9" spans="1:20" ht="15" customHeight="1" thickBot="1" x14ac:dyDescent="0.35">
      <c r="A9" s="63"/>
      <c r="C9" s="70"/>
      <c r="D9" s="78" t="s">
        <v>504</v>
      </c>
      <c r="E9" s="840">
        <f>Macro!D16-1+1</f>
        <v>330</v>
      </c>
      <c r="F9" s="79" t="s">
        <v>601</v>
      </c>
    </row>
    <row r="10" spans="1:20" ht="15" customHeight="1" thickBot="1" x14ac:dyDescent="0.35"/>
    <row r="11" spans="1:20" ht="87" thickBot="1" x14ac:dyDescent="0.35">
      <c r="A11" s="773" t="s">
        <v>80</v>
      </c>
      <c r="B11" s="379" t="s">
        <v>281</v>
      </c>
      <c r="C11" s="285" t="s">
        <v>442</v>
      </c>
      <c r="D11" s="285" t="s">
        <v>602</v>
      </c>
      <c r="E11" s="285" t="s">
        <v>436</v>
      </c>
      <c r="F11" s="285" t="s">
        <v>603</v>
      </c>
      <c r="G11" s="379" t="s">
        <v>445</v>
      </c>
      <c r="H11" s="379" t="s">
        <v>1142</v>
      </c>
      <c r="I11" s="285" t="s">
        <v>1140</v>
      </c>
      <c r="J11" s="379" t="s">
        <v>1141</v>
      </c>
      <c r="K11" s="285" t="s">
        <v>446</v>
      </c>
      <c r="L11" s="379" t="s">
        <v>1143</v>
      </c>
      <c r="M11" s="379" t="s">
        <v>1141</v>
      </c>
      <c r="N11" s="379" t="s">
        <v>604</v>
      </c>
      <c r="O11" s="379" t="s">
        <v>447</v>
      </c>
      <c r="P11" s="285" t="s">
        <v>605</v>
      </c>
      <c r="Q11" s="379" t="s">
        <v>448</v>
      </c>
      <c r="R11" s="285" t="s">
        <v>449</v>
      </c>
      <c r="S11" s="285" t="s">
        <v>606</v>
      </c>
      <c r="T11" s="380" t="s">
        <v>607</v>
      </c>
    </row>
    <row r="12" spans="1:20" ht="16.05" customHeight="1" x14ac:dyDescent="0.3">
      <c r="A12" s="1137" t="s">
        <v>248</v>
      </c>
      <c r="B12" s="744" t="s">
        <v>164</v>
      </c>
      <c r="C12" s="286" t="s">
        <v>451</v>
      </c>
      <c r="D12" s="286" t="s">
        <v>1040</v>
      </c>
      <c r="E12" s="825">
        <v>0.33333333333333331</v>
      </c>
      <c r="F12" s="819">
        <v>14500</v>
      </c>
      <c r="G12" s="822">
        <v>0</v>
      </c>
      <c r="H12" s="282">
        <f t="shared" ref="H12:H23" si="0">(1+G12)*F12</f>
        <v>14500</v>
      </c>
      <c r="I12" s="1050">
        <v>42370</v>
      </c>
      <c r="J12" s="1056">
        <v>86.1</v>
      </c>
      <c r="K12" s="809">
        <v>1</v>
      </c>
      <c r="L12" s="1050">
        <v>45261</v>
      </c>
      <c r="M12" s="1056">
        <v>127.3</v>
      </c>
      <c r="N12" s="282">
        <f>(M12/J12)*H12*(E7/E12)^K12</f>
        <v>528342.39442614967</v>
      </c>
      <c r="O12" s="822">
        <v>0</v>
      </c>
      <c r="P12" s="282">
        <f t="shared" ref="P12:P49" si="1">O12*N12</f>
        <v>0</v>
      </c>
      <c r="Q12" s="654">
        <f>IF(IF(Macro!$H$14=1,5,Macro!T42)=0,5,IF(Macro!$H$14=1,5,Macro!T42))</f>
        <v>5</v>
      </c>
      <c r="R12" s="272">
        <f t="shared" ref="R12:R49" si="2">N12/Q12</f>
        <v>105668.47888522994</v>
      </c>
      <c r="S12" t="s">
        <v>452</v>
      </c>
      <c r="T12" s="778" t="s">
        <v>1043</v>
      </c>
    </row>
    <row r="13" spans="1:20" ht="16.05" customHeight="1" x14ac:dyDescent="0.3">
      <c r="A13" s="1137"/>
      <c r="B13" s="744" t="s">
        <v>165</v>
      </c>
      <c r="C13" s="744" t="s">
        <v>453</v>
      </c>
      <c r="D13" s="286" t="s">
        <v>1041</v>
      </c>
      <c r="E13" s="825">
        <v>6</v>
      </c>
      <c r="F13" s="819">
        <v>29000</v>
      </c>
      <c r="G13" s="822">
        <v>0</v>
      </c>
      <c r="H13" s="282">
        <f t="shared" si="0"/>
        <v>29000</v>
      </c>
      <c r="I13" s="1050">
        <v>42370</v>
      </c>
      <c r="J13" s="1056">
        <v>86.1</v>
      </c>
      <c r="K13" s="809">
        <v>1</v>
      </c>
      <c r="L13" s="1050">
        <v>45261</v>
      </c>
      <c r="M13" s="1056">
        <v>127.3</v>
      </c>
      <c r="N13" s="282">
        <f>(M13/J13)*H13</f>
        <v>42876.887340301975</v>
      </c>
      <c r="O13" s="822">
        <v>0</v>
      </c>
      <c r="P13" s="282">
        <f t="shared" si="1"/>
        <v>0</v>
      </c>
      <c r="Q13" s="654">
        <f>IF(IF(Macro!$H$14=1,5,Macro!T43)=0,5,IF(Macro!$H$14=1,5,Macro!T43))</f>
        <v>5</v>
      </c>
      <c r="R13" s="272">
        <f t="shared" si="2"/>
        <v>8575.3774680603947</v>
      </c>
      <c r="S13" t="s">
        <v>454</v>
      </c>
      <c r="T13" s="778" t="s">
        <v>455</v>
      </c>
    </row>
    <row r="14" spans="1:20" x14ac:dyDescent="0.3">
      <c r="A14" s="1137"/>
      <c r="B14" s="744" t="s">
        <v>286</v>
      </c>
      <c r="C14" s="286" t="s">
        <v>456</v>
      </c>
      <c r="D14" s="286" t="s">
        <v>1040</v>
      </c>
      <c r="E14" s="825">
        <f>8/'R2_MEFA'!C7</f>
        <v>1.6</v>
      </c>
      <c r="F14" s="819">
        <v>12000</v>
      </c>
      <c r="G14" s="822">
        <v>0</v>
      </c>
      <c r="H14" s="282">
        <f t="shared" si="0"/>
        <v>12000</v>
      </c>
      <c r="I14" s="1050">
        <v>42370</v>
      </c>
      <c r="J14" s="1056">
        <v>86.1</v>
      </c>
      <c r="K14" s="809">
        <v>1</v>
      </c>
      <c r="L14" s="1050">
        <v>45261</v>
      </c>
      <c r="M14" s="1056">
        <v>127.3</v>
      </c>
      <c r="N14" s="282">
        <f>(M14/J14)*H14*(E7/E14)^K14</f>
        <v>91093.516280370619</v>
      </c>
      <c r="O14" s="822">
        <v>0.02</v>
      </c>
      <c r="P14" s="282">
        <f t="shared" si="1"/>
        <v>1821.8703256074125</v>
      </c>
      <c r="Q14" s="654">
        <f>IF(IF(Macro!$H$14=1,5,Macro!T44)=0,5,IF(Macro!$H$14=1,5,Macro!T44))</f>
        <v>5</v>
      </c>
      <c r="R14" s="272">
        <f t="shared" si="2"/>
        <v>18218.703256074125</v>
      </c>
      <c r="S14" t="s">
        <v>454</v>
      </c>
      <c r="T14" s="778" t="s">
        <v>457</v>
      </c>
    </row>
    <row r="15" spans="1:20" ht="15" thickBot="1" x14ac:dyDescent="0.35">
      <c r="A15" s="1137"/>
      <c r="B15" s="286" t="s">
        <v>248</v>
      </c>
      <c r="C15" s="286" t="s">
        <v>458</v>
      </c>
      <c r="D15" s="286" t="s">
        <v>1040</v>
      </c>
      <c r="E15" s="825">
        <f>1/'R2_MEFA'!C8</f>
        <v>0.5</v>
      </c>
      <c r="F15" s="819">
        <v>3000</v>
      </c>
      <c r="G15" s="822">
        <v>0</v>
      </c>
      <c r="H15" s="282">
        <f t="shared" si="0"/>
        <v>3000</v>
      </c>
      <c r="I15" s="1050">
        <v>42370</v>
      </c>
      <c r="J15" s="1056">
        <v>86.1</v>
      </c>
      <c r="K15" s="809">
        <v>1</v>
      </c>
      <c r="L15" s="1050">
        <v>45261</v>
      </c>
      <c r="M15" s="1056">
        <v>127.3</v>
      </c>
      <c r="N15" s="282">
        <f>(M15/J15)*H15*(E7/E15)^K15</f>
        <v>72874.813024296498</v>
      </c>
      <c r="O15" s="822">
        <v>0.02</v>
      </c>
      <c r="P15" s="282">
        <f t="shared" si="1"/>
        <v>1457.49626048593</v>
      </c>
      <c r="Q15" s="655">
        <f>IF(IF(Macro!$H$14=1,5,Macro!T45)=0,5,IF(Macro!$H$14=1,5,Macro!T45))</f>
        <v>5</v>
      </c>
      <c r="R15" s="274">
        <f t="shared" si="2"/>
        <v>14574.9626048593</v>
      </c>
      <c r="S15" t="s">
        <v>454</v>
      </c>
      <c r="T15" s="262"/>
    </row>
    <row r="16" spans="1:20" x14ac:dyDescent="0.3">
      <c r="A16" s="1139" t="s">
        <v>498</v>
      </c>
      <c r="B16" s="268" t="s">
        <v>176</v>
      </c>
      <c r="C16" s="268" t="s">
        <v>187</v>
      </c>
      <c r="D16" s="267" t="s">
        <v>1042</v>
      </c>
      <c r="E16" s="827">
        <v>1.5</v>
      </c>
      <c r="F16" s="821">
        <v>420000</v>
      </c>
      <c r="G16" s="824">
        <v>0.6</v>
      </c>
      <c r="H16" s="585">
        <f t="shared" si="0"/>
        <v>672000</v>
      </c>
      <c r="I16" s="1058">
        <v>42370</v>
      </c>
      <c r="J16" s="1059">
        <v>86.1</v>
      </c>
      <c r="K16" s="827">
        <v>0.8</v>
      </c>
      <c r="L16" s="1058">
        <v>45261</v>
      </c>
      <c r="M16" s="1059">
        <v>127.3</v>
      </c>
      <c r="N16" s="585">
        <f>(M16/J16)*H16*($E$5/(Macro!$D$16*Macro!$D$20*8)/(E16))^K16</f>
        <v>1801745.2246395454</v>
      </c>
      <c r="O16" s="824">
        <v>0.05</v>
      </c>
      <c r="P16" s="585">
        <f t="shared" si="1"/>
        <v>90087.261231977274</v>
      </c>
      <c r="Q16" s="654">
        <f>IF(IF(Macro!$H$14=1,5,Macro!T46)=0,5,IF(Macro!$H$14=1,5,Macro!T46))</f>
        <v>5</v>
      </c>
      <c r="R16" s="272">
        <f t="shared" si="2"/>
        <v>360349.0449279091</v>
      </c>
      <c r="S16" s="268" t="s">
        <v>454</v>
      </c>
      <c r="T16" s="271"/>
    </row>
    <row r="17" spans="1:20" x14ac:dyDescent="0.3">
      <c r="A17" s="1140"/>
      <c r="B17" t="s">
        <v>177</v>
      </c>
      <c r="C17" s="286" t="s">
        <v>608</v>
      </c>
      <c r="D17" s="286" t="s">
        <v>1042</v>
      </c>
      <c r="E17" s="839">
        <v>1.5</v>
      </c>
      <c r="F17" s="819">
        <v>800000</v>
      </c>
      <c r="G17" s="822">
        <v>0.6</v>
      </c>
      <c r="H17" s="282">
        <f t="shared" si="0"/>
        <v>1280000</v>
      </c>
      <c r="I17" s="1050">
        <v>42370</v>
      </c>
      <c r="J17" s="1056">
        <v>86.1</v>
      </c>
      <c r="K17" s="809">
        <v>0.63</v>
      </c>
      <c r="L17" s="1050">
        <v>45261</v>
      </c>
      <c r="M17" s="1056">
        <v>127.3</v>
      </c>
      <c r="N17" s="282">
        <f>(M17/J17)*H17*($E$5/(Macro!$D$16*Macro!$D$20*8)/(E17))^K17</f>
        <v>3024148.1966628185</v>
      </c>
      <c r="O17" s="822">
        <v>0.05</v>
      </c>
      <c r="P17" s="282">
        <f t="shared" si="1"/>
        <v>151207.40983314093</v>
      </c>
      <c r="Q17" s="654">
        <f>IF(IF(Macro!$H$14=1,5,Macro!T47)=0,5,IF(Macro!$H$14=1,5,Macro!T47))</f>
        <v>5</v>
      </c>
      <c r="R17" s="272">
        <f t="shared" si="2"/>
        <v>604829.63933256373</v>
      </c>
      <c r="S17" t="s">
        <v>454</v>
      </c>
      <c r="T17" s="262"/>
    </row>
    <row r="18" spans="1:20" x14ac:dyDescent="0.3">
      <c r="A18" s="1140"/>
      <c r="B18" s="286" t="s">
        <v>185</v>
      </c>
      <c r="C18" s="744" t="s">
        <v>460</v>
      </c>
      <c r="D18" s="286" t="s">
        <v>1042</v>
      </c>
      <c r="E18" s="809">
        <v>1.5</v>
      </c>
      <c r="F18" s="819">
        <v>420000</v>
      </c>
      <c r="G18" s="822">
        <v>0.6</v>
      </c>
      <c r="H18" s="282">
        <f t="shared" si="0"/>
        <v>672000</v>
      </c>
      <c r="I18" s="1050">
        <v>42370</v>
      </c>
      <c r="J18" s="1056">
        <v>86.1</v>
      </c>
      <c r="K18" s="809">
        <v>0.8</v>
      </c>
      <c r="L18" s="1050">
        <v>45261</v>
      </c>
      <c r="M18" s="1056">
        <v>127.3</v>
      </c>
      <c r="N18" s="282">
        <f>(M18/J18)*H18*($E$5/(Macro!$D$16*Macro!$D$20*8)/(E18))^K18</f>
        <v>1801745.2246395454</v>
      </c>
      <c r="O18" s="822">
        <v>0.05</v>
      </c>
      <c r="P18" s="282">
        <f t="shared" si="1"/>
        <v>90087.261231977274</v>
      </c>
      <c r="Q18" s="654">
        <f>IF(IF(Macro!$H$14=1,5,Macro!T48)=0,5,IF(Macro!$H$14=1,5,Macro!T48))</f>
        <v>5</v>
      </c>
      <c r="R18" s="272">
        <f t="shared" si="2"/>
        <v>360349.0449279091</v>
      </c>
      <c r="S18" t="s">
        <v>454</v>
      </c>
      <c r="T18" s="262"/>
    </row>
    <row r="19" spans="1:20" x14ac:dyDescent="0.3">
      <c r="A19" s="1140"/>
      <c r="B19" t="s">
        <v>178</v>
      </c>
      <c r="C19" s="744" t="s">
        <v>609</v>
      </c>
      <c r="D19" s="286" t="s">
        <v>1042</v>
      </c>
      <c r="E19" s="839">
        <v>1.5</v>
      </c>
      <c r="F19" s="819">
        <v>50000</v>
      </c>
      <c r="G19" s="822">
        <v>0.6</v>
      </c>
      <c r="H19" s="282">
        <f t="shared" si="0"/>
        <v>80000</v>
      </c>
      <c r="I19" s="1050">
        <v>42370</v>
      </c>
      <c r="J19" s="1056">
        <v>86.1</v>
      </c>
      <c r="K19" s="809">
        <v>0.6</v>
      </c>
      <c r="L19" s="1050">
        <v>45261</v>
      </c>
      <c r="M19" s="1056">
        <v>127.3</v>
      </c>
      <c r="N19" s="282">
        <f>(M19/J19)*H19*($E$5/(Macro!$D$16*Macro!$D$20*8)/(E19))^K19</f>
        <v>184837.19957723311</v>
      </c>
      <c r="O19" s="822">
        <v>0.05</v>
      </c>
      <c r="P19" s="282">
        <f t="shared" si="1"/>
        <v>9241.8599788616557</v>
      </c>
      <c r="Q19" s="654">
        <f>IF(IF(Macro!$H$14=1,5,Macro!T49)=0,5,IF(Macro!$H$14=1,5,Macro!T49))</f>
        <v>5</v>
      </c>
      <c r="R19" s="272">
        <f t="shared" si="2"/>
        <v>36967.439915446623</v>
      </c>
      <c r="S19" t="s">
        <v>454</v>
      </c>
      <c r="T19" s="262"/>
    </row>
    <row r="20" spans="1:20" x14ac:dyDescent="0.3">
      <c r="A20" s="1140"/>
      <c r="B20" t="s">
        <v>179</v>
      </c>
      <c r="C20" s="744" t="s">
        <v>610</v>
      </c>
      <c r="D20" s="286" t="s">
        <v>1042</v>
      </c>
      <c r="E20" s="839">
        <v>1.5</v>
      </c>
      <c r="F20" s="819">
        <v>40000</v>
      </c>
      <c r="G20" s="822">
        <v>0.6</v>
      </c>
      <c r="H20" s="282">
        <f t="shared" si="0"/>
        <v>64000</v>
      </c>
      <c r="I20" s="1050">
        <v>42370</v>
      </c>
      <c r="J20" s="1056">
        <v>86.1</v>
      </c>
      <c r="K20" s="809">
        <v>0.6</v>
      </c>
      <c r="L20" s="1050">
        <v>45261</v>
      </c>
      <c r="M20" s="1056">
        <v>127.3</v>
      </c>
      <c r="N20" s="282">
        <f>(M20/J20)*H20*($E$5/(Macro!$D$16*Macro!$D$20*8)/(E20))^K20</f>
        <v>147869.75966178649</v>
      </c>
      <c r="O20" s="822">
        <v>0.05</v>
      </c>
      <c r="P20" s="282">
        <f t="shared" si="1"/>
        <v>7393.4879830893251</v>
      </c>
      <c r="Q20" s="654">
        <f>IF(IF(Macro!$H$14=1,5,Macro!T50)=0,5,IF(Macro!$H$14=1,5,Macro!T50))</f>
        <v>5</v>
      </c>
      <c r="R20" s="272">
        <f t="shared" si="2"/>
        <v>29573.951932357297</v>
      </c>
      <c r="S20" t="s">
        <v>454</v>
      </c>
      <c r="T20" s="262"/>
    </row>
    <row r="21" spans="1:20" x14ac:dyDescent="0.3">
      <c r="A21" s="1140"/>
      <c r="B21" t="s">
        <v>180</v>
      </c>
      <c r="C21" s="744" t="s">
        <v>611</v>
      </c>
      <c r="D21" s="286" t="s">
        <v>1042</v>
      </c>
      <c r="E21" s="839">
        <v>1.5</v>
      </c>
      <c r="F21" s="819">
        <v>100000</v>
      </c>
      <c r="G21" s="822">
        <v>0.6</v>
      </c>
      <c r="H21" s="282">
        <f t="shared" si="0"/>
        <v>160000</v>
      </c>
      <c r="I21" s="1050">
        <v>42370</v>
      </c>
      <c r="J21" s="1056">
        <v>86.1</v>
      </c>
      <c r="K21" s="809">
        <v>0.8</v>
      </c>
      <c r="L21" s="1050">
        <v>45261</v>
      </c>
      <c r="M21" s="1056">
        <v>127.3</v>
      </c>
      <c r="N21" s="282">
        <f>(M21/J21)*H21*($E$5/(Macro!$D$16*Macro!$D$20*8)/(E21))^K21</f>
        <v>428986.95824751077</v>
      </c>
      <c r="O21" s="822">
        <v>0.05</v>
      </c>
      <c r="P21" s="282">
        <f t="shared" si="1"/>
        <v>21449.347912375539</v>
      </c>
      <c r="Q21" s="654">
        <f>IF(IF(Macro!$H$14=1,5,Macro!T51)=0,5,IF(Macro!$H$14=1,5,Macro!T51))</f>
        <v>5</v>
      </c>
      <c r="R21" s="272">
        <f t="shared" si="2"/>
        <v>85797.391649502155</v>
      </c>
      <c r="S21" t="s">
        <v>454</v>
      </c>
      <c r="T21" s="262"/>
    </row>
    <row r="22" spans="1:20" x14ac:dyDescent="0.3">
      <c r="A22" s="1140"/>
      <c r="B22" t="s">
        <v>1015</v>
      </c>
      <c r="C22" s="286" t="s">
        <v>1035</v>
      </c>
      <c r="D22" s="286" t="s">
        <v>1042</v>
      </c>
      <c r="E22" s="839">
        <v>1.5</v>
      </c>
      <c r="F22" s="819">
        <v>40000</v>
      </c>
      <c r="G22" s="822">
        <v>0.6</v>
      </c>
      <c r="H22" s="282">
        <f>(1+G22)*F22</f>
        <v>64000</v>
      </c>
      <c r="I22" s="1050">
        <v>42370</v>
      </c>
      <c r="J22" s="1056">
        <v>86.1</v>
      </c>
      <c r="K22" s="809">
        <v>0.6</v>
      </c>
      <c r="L22" s="1050">
        <v>45261</v>
      </c>
      <c r="M22" s="1056">
        <v>127.3</v>
      </c>
      <c r="N22" s="282">
        <f>(M22/J22)*H22*($E$5/(Macro!$D$16*Macro!$D$20*8)/(E22))^K22</f>
        <v>147869.75966178649</v>
      </c>
      <c r="O22" s="822">
        <v>0.05</v>
      </c>
      <c r="P22" s="282">
        <f t="shared" si="1"/>
        <v>7393.4879830893251</v>
      </c>
      <c r="Q22" s="654">
        <f>IF(IF(Macro!$H$14=1,5,Macro!T52)=0,5,IF(Macro!$H$14=1,5,Macro!T52))</f>
        <v>5</v>
      </c>
      <c r="R22" s="272">
        <f t="shared" si="2"/>
        <v>29573.951932357297</v>
      </c>
      <c r="S22" t="s">
        <v>454</v>
      </c>
      <c r="T22" s="262"/>
    </row>
    <row r="23" spans="1:20" x14ac:dyDescent="0.3">
      <c r="A23" s="1140"/>
      <c r="B23" s="121" t="s">
        <v>536</v>
      </c>
      <c r="C23" s="744" t="s">
        <v>610</v>
      </c>
      <c r="D23" s="286" t="s">
        <v>1042</v>
      </c>
      <c r="E23" s="839">
        <v>1.5</v>
      </c>
      <c r="F23" s="819">
        <v>40000</v>
      </c>
      <c r="G23" s="822">
        <v>0.6</v>
      </c>
      <c r="H23" s="282">
        <f t="shared" si="0"/>
        <v>64000</v>
      </c>
      <c r="I23" s="1050">
        <v>42370</v>
      </c>
      <c r="J23" s="1056">
        <v>86.1</v>
      </c>
      <c r="K23" s="809">
        <v>0.6</v>
      </c>
      <c r="L23" s="1050">
        <v>45261</v>
      </c>
      <c r="M23" s="1056">
        <v>127.3</v>
      </c>
      <c r="N23" s="282">
        <f>(M23/J23)*H23*($E$5/(Macro!$D$16*Macro!$D$20*8)/(E23))^K23</f>
        <v>147869.75966178649</v>
      </c>
      <c r="O23" s="822">
        <v>0.05</v>
      </c>
      <c r="P23" s="282">
        <f t="shared" si="1"/>
        <v>7393.4879830893251</v>
      </c>
      <c r="Q23" s="654">
        <f>IF(IF(Macro!$H$14=1,5,Macro!T53)=0,5,IF(Macro!$H$14=1,5,Macro!T53))</f>
        <v>5</v>
      </c>
      <c r="R23" s="272">
        <f t="shared" si="2"/>
        <v>29573.951932357297</v>
      </c>
      <c r="S23" t="s">
        <v>454</v>
      </c>
      <c r="T23" s="262"/>
    </row>
    <row r="24" spans="1:20" ht="15" thickBot="1" x14ac:dyDescent="0.35">
      <c r="A24" s="1140"/>
      <c r="B24" t="s">
        <v>181</v>
      </c>
      <c r="C24" s="121" t="s">
        <v>612</v>
      </c>
      <c r="D24" s="286" t="s">
        <v>1042</v>
      </c>
      <c r="E24" s="809">
        <v>2.5</v>
      </c>
      <c r="F24" s="819">
        <v>1500000</v>
      </c>
      <c r="G24" s="822">
        <v>1</v>
      </c>
      <c r="H24" s="282">
        <f t="shared" ref="H24:H49" si="3">(1+G24)*F24</f>
        <v>3000000</v>
      </c>
      <c r="I24" s="1053">
        <v>42370</v>
      </c>
      <c r="J24" s="1057">
        <v>86.1</v>
      </c>
      <c r="K24" s="828">
        <v>0.7</v>
      </c>
      <c r="L24" s="1050">
        <v>45261</v>
      </c>
      <c r="M24" s="1056">
        <v>127.3</v>
      </c>
      <c r="N24" s="282">
        <f>IF(Macro!D14=TRUE,(M24/J24)*H24*($E$5/(Macro!$D$16*Macro!$D$20*8)/(E24))^K24,0)</f>
        <v>0</v>
      </c>
      <c r="O24" s="822">
        <v>0.05</v>
      </c>
      <c r="P24" s="282">
        <f t="shared" si="1"/>
        <v>0</v>
      </c>
      <c r="Q24" s="655">
        <f>IF(IF(Macro!$H$14=1,5,Macro!T54)=0,5,IF(Macro!$H$14=1,5,Macro!T54))</f>
        <v>5</v>
      </c>
      <c r="R24" s="274">
        <f t="shared" si="2"/>
        <v>0</v>
      </c>
      <c r="S24" t="s">
        <v>454</v>
      </c>
      <c r="T24" s="262"/>
    </row>
    <row r="25" spans="1:20" ht="16.2" x14ac:dyDescent="0.3">
      <c r="A25" s="1139" t="s">
        <v>613</v>
      </c>
      <c r="B25" s="268" t="s">
        <v>204</v>
      </c>
      <c r="C25" s="777" t="s">
        <v>333</v>
      </c>
      <c r="D25" s="267" t="s">
        <v>465</v>
      </c>
      <c r="E25" s="827">
        <v>2</v>
      </c>
      <c r="F25" s="821">
        <v>420000</v>
      </c>
      <c r="G25" s="824">
        <v>1</v>
      </c>
      <c r="H25" s="585">
        <f t="shared" si="3"/>
        <v>840000</v>
      </c>
      <c r="I25" s="1050">
        <v>43678</v>
      </c>
      <c r="J25" s="1056">
        <v>97.3</v>
      </c>
      <c r="K25" s="953">
        <v>0.6</v>
      </c>
      <c r="L25" s="1058">
        <v>45261</v>
      </c>
      <c r="M25" s="1059">
        <v>127.3</v>
      </c>
      <c r="N25" s="585">
        <f>(M25/J25)*H25*(('R2_Hydro_MEFA'!L23/Macro!$D$16/Macro!$D$20/8/E25)^K25)</f>
        <v>529615.37456184777</v>
      </c>
      <c r="O25" s="824">
        <v>0.05</v>
      </c>
      <c r="P25" s="585">
        <f t="shared" si="1"/>
        <v>26480.768728092389</v>
      </c>
      <c r="Q25" s="654">
        <f>IF(IF(Macro!$H$14=1,5,Macro!T55)=0,5,IF(Macro!$H$14=1,5,Macro!T55))</f>
        <v>5</v>
      </c>
      <c r="R25" s="272">
        <f t="shared" si="2"/>
        <v>105923.07491236956</v>
      </c>
      <c r="S25" s="268" t="s">
        <v>140</v>
      </c>
      <c r="T25" s="271"/>
    </row>
    <row r="26" spans="1:20" ht="16.2" x14ac:dyDescent="0.3">
      <c r="A26" s="1140"/>
      <c r="B26" t="s">
        <v>205</v>
      </c>
      <c r="C26" t="s">
        <v>472</v>
      </c>
      <c r="D26" s="286" t="s">
        <v>465</v>
      </c>
      <c r="E26" s="809">
        <v>10</v>
      </c>
      <c r="F26" s="819">
        <v>175000</v>
      </c>
      <c r="G26" s="822">
        <v>1</v>
      </c>
      <c r="H26" s="282">
        <f t="shared" si="3"/>
        <v>350000</v>
      </c>
      <c r="I26" s="1050">
        <v>43678</v>
      </c>
      <c r="J26" s="1056">
        <v>97.3</v>
      </c>
      <c r="K26" s="809">
        <v>0.52</v>
      </c>
      <c r="L26" s="1050">
        <v>45261</v>
      </c>
      <c r="M26" s="1056">
        <v>127.3</v>
      </c>
      <c r="N26" s="282">
        <f>(M26/J26)*H26*(('R2_Hydro_MEFA'!L30/Macro!$D$16/Macro!$D$20/8/E26)^K26)</f>
        <v>250518.06362996882</v>
      </c>
      <c r="O26" s="822">
        <v>0.05</v>
      </c>
      <c r="P26" s="282">
        <f t="shared" si="1"/>
        <v>12525.903181498441</v>
      </c>
      <c r="Q26" s="654">
        <f>IF(IF(Macro!$H$14=1,5,Macro!T56)=0,5,IF(Macro!$H$14=1,5,Macro!T56))</f>
        <v>5</v>
      </c>
      <c r="R26" s="272">
        <f t="shared" si="2"/>
        <v>50103.612725993764</v>
      </c>
      <c r="S26" t="s">
        <v>140</v>
      </c>
      <c r="T26" s="262"/>
    </row>
    <row r="27" spans="1:20" ht="16.2" x14ac:dyDescent="0.3">
      <c r="A27" s="1140"/>
      <c r="B27" t="s">
        <v>551</v>
      </c>
      <c r="C27" s="121" t="s">
        <v>477</v>
      </c>
      <c r="D27" s="286" t="s">
        <v>465</v>
      </c>
      <c r="E27" s="809">
        <v>10</v>
      </c>
      <c r="F27" s="819">
        <v>100000</v>
      </c>
      <c r="G27" s="822">
        <v>1</v>
      </c>
      <c r="H27" s="282">
        <f t="shared" si="3"/>
        <v>200000</v>
      </c>
      <c r="I27" s="1050">
        <v>43678</v>
      </c>
      <c r="J27" s="1056">
        <v>97.3</v>
      </c>
      <c r="K27" s="809">
        <v>0.75</v>
      </c>
      <c r="L27" s="1050">
        <v>45261</v>
      </c>
      <c r="M27" s="1056">
        <v>127.3</v>
      </c>
      <c r="N27" s="282">
        <f>(M27/J27)*H27*(('R2_Hydro_MEFA'!L30/Macro!$D$16/Macro!$D$20/8/E27)^K27)</f>
        <v>109632.90019634491</v>
      </c>
      <c r="O27" s="822">
        <v>0.05</v>
      </c>
      <c r="P27" s="282">
        <f t="shared" si="1"/>
        <v>5481.6450098172463</v>
      </c>
      <c r="Q27" s="654">
        <f>IF(IF(Macro!$H$14=1,5,Macro!T57)=0,5,IF(Macro!$H$14=1,5,Macro!T57))</f>
        <v>5</v>
      </c>
      <c r="R27" s="272">
        <f t="shared" si="2"/>
        <v>21926.580039268982</v>
      </c>
      <c r="S27" t="s">
        <v>140</v>
      </c>
      <c r="T27" s="262"/>
    </row>
    <row r="28" spans="1:20" x14ac:dyDescent="0.3">
      <c r="A28" s="1140"/>
      <c r="B28" t="s">
        <v>554</v>
      </c>
      <c r="C28" t="s">
        <v>614</v>
      </c>
      <c r="D28" s="286" t="s">
        <v>475</v>
      </c>
      <c r="E28" s="809">
        <v>2</v>
      </c>
      <c r="F28" s="819">
        <v>200000</v>
      </c>
      <c r="G28" s="822">
        <v>1</v>
      </c>
      <c r="H28" s="282">
        <f t="shared" si="3"/>
        <v>400000</v>
      </c>
      <c r="I28" s="1050">
        <v>43678</v>
      </c>
      <c r="J28" s="1056">
        <v>97.3</v>
      </c>
      <c r="K28" s="809">
        <v>0.7</v>
      </c>
      <c r="L28" s="1050">
        <v>45261</v>
      </c>
      <c r="M28" s="1056">
        <v>127.3</v>
      </c>
      <c r="N28" s="282">
        <f>IF(Macro!D12=TRUE,(M28/J28)*H28*(('R2_Hydro_MEFA'!L42/Macro!$D$16/Macro!$D$20/8/E28)^K28),0)</f>
        <v>161370.71702483459</v>
      </c>
      <c r="O28" s="822">
        <v>0.05</v>
      </c>
      <c r="P28" s="282">
        <f t="shared" si="1"/>
        <v>8068.5358512417297</v>
      </c>
      <c r="Q28" s="654">
        <f>IF(IF(Macro!$H$14=1,5,Macro!T58)=0,5,IF(Macro!$H$14=1,5,Macro!T58))</f>
        <v>5</v>
      </c>
      <c r="R28" s="272">
        <f t="shared" si="2"/>
        <v>32274.143404966919</v>
      </c>
      <c r="S28" t="s">
        <v>140</v>
      </c>
      <c r="T28" s="262"/>
    </row>
    <row r="29" spans="1:20" ht="16.2" x14ac:dyDescent="0.3">
      <c r="A29" s="1140"/>
      <c r="B29" t="s">
        <v>211</v>
      </c>
      <c r="C29" t="s">
        <v>472</v>
      </c>
      <c r="D29" s="286" t="s">
        <v>465</v>
      </c>
      <c r="E29" s="809">
        <v>10</v>
      </c>
      <c r="F29" s="819">
        <v>175000</v>
      </c>
      <c r="G29" s="822">
        <v>1</v>
      </c>
      <c r="H29" s="282">
        <f t="shared" si="3"/>
        <v>350000</v>
      </c>
      <c r="I29" s="1050">
        <v>43678</v>
      </c>
      <c r="J29" s="1056">
        <v>97.3</v>
      </c>
      <c r="K29" s="809">
        <v>0.52</v>
      </c>
      <c r="L29" s="1050">
        <v>45261</v>
      </c>
      <c r="M29" s="1056">
        <v>127.3</v>
      </c>
      <c r="N29" s="282">
        <f>(M29/J29)*H29*(('R2_Hydro_MEFA'!L50/Macro!$D$16/Macro!$D$20/8/E29)^K29)</f>
        <v>241161.80926652945</v>
      </c>
      <c r="O29" s="822">
        <v>0.05</v>
      </c>
      <c r="P29" s="282">
        <f t="shared" si="1"/>
        <v>12058.090463326473</v>
      </c>
      <c r="Q29" s="654">
        <f>IF(IF(Macro!$H$14=1,5,Macro!T59)=0,5,IF(Macro!$H$14=1,5,Macro!T59))</f>
        <v>5</v>
      </c>
      <c r="R29" s="272">
        <f t="shared" si="2"/>
        <v>48232.361853305891</v>
      </c>
      <c r="S29" t="s">
        <v>140</v>
      </c>
      <c r="T29" s="262"/>
    </row>
    <row r="30" spans="1:20" ht="16.2" x14ac:dyDescent="0.3">
      <c r="A30" s="1140"/>
      <c r="B30" t="s">
        <v>212</v>
      </c>
      <c r="C30" t="s">
        <v>467</v>
      </c>
      <c r="D30" s="286" t="s">
        <v>465</v>
      </c>
      <c r="E30" s="809">
        <v>10</v>
      </c>
      <c r="F30" s="819">
        <v>35000</v>
      </c>
      <c r="G30" s="822">
        <v>1</v>
      </c>
      <c r="H30" s="282">
        <f t="shared" si="3"/>
        <v>70000</v>
      </c>
      <c r="I30" s="1050">
        <v>43678</v>
      </c>
      <c r="J30" s="1056">
        <v>97.3</v>
      </c>
      <c r="K30" s="809">
        <v>0.75</v>
      </c>
      <c r="L30" s="1050">
        <v>45261</v>
      </c>
      <c r="M30" s="1056">
        <v>127.3</v>
      </c>
      <c r="N30" s="282">
        <f>(M30/J30)*H30*(('R2_Hydro_MEFA'!L50/Macro!$D$16/Macro!$D$20/8/E30)^K30)</f>
        <v>36321.758087921458</v>
      </c>
      <c r="O30" s="822">
        <v>0.05</v>
      </c>
      <c r="P30" s="282">
        <f t="shared" si="1"/>
        <v>1816.0879043960731</v>
      </c>
      <c r="Q30" s="654">
        <f>IF(IF(Macro!$H$14=1,5,Macro!T60)=0,5,IF(Macro!$H$14=1,5,Macro!T60))</f>
        <v>5</v>
      </c>
      <c r="R30" s="272">
        <f t="shared" si="2"/>
        <v>7264.3516175842915</v>
      </c>
      <c r="S30" t="s">
        <v>140</v>
      </c>
      <c r="T30" s="262"/>
    </row>
    <row r="31" spans="1:20" ht="16.2" x14ac:dyDescent="0.3">
      <c r="A31" s="1140"/>
      <c r="B31" t="s">
        <v>208</v>
      </c>
      <c r="C31" t="s">
        <v>466</v>
      </c>
      <c r="D31" s="286" t="s">
        <v>465</v>
      </c>
      <c r="E31" s="809">
        <v>10</v>
      </c>
      <c r="F31" s="819">
        <v>175000</v>
      </c>
      <c r="G31" s="822">
        <v>1</v>
      </c>
      <c r="H31" s="282">
        <f t="shared" si="3"/>
        <v>350000</v>
      </c>
      <c r="I31" s="1050">
        <v>43678</v>
      </c>
      <c r="J31" s="1056">
        <v>97.3</v>
      </c>
      <c r="K31" s="809">
        <v>0.52</v>
      </c>
      <c r="L31" s="1050">
        <v>45261</v>
      </c>
      <c r="M31" s="1056">
        <v>127.3</v>
      </c>
      <c r="N31" s="282">
        <f>(M31/J31)*H31*(('R2_Hydro_MEFA'!L65/Macro!$D$16/Macro!$D$20/8/E31)^K31)</f>
        <v>246018.98396775572</v>
      </c>
      <c r="O31" s="822">
        <v>0.05</v>
      </c>
      <c r="P31" s="282">
        <f t="shared" si="1"/>
        <v>12300.949198387787</v>
      </c>
      <c r="Q31" s="654">
        <f>IF(IF(Macro!$H$14=1,5,Macro!T61)=0,5,IF(Macro!$H$14=1,5,Macro!T61))</f>
        <v>5</v>
      </c>
      <c r="R31" s="272">
        <f t="shared" si="2"/>
        <v>49203.796793551141</v>
      </c>
      <c r="S31" t="s">
        <v>140</v>
      </c>
      <c r="T31" s="262"/>
    </row>
    <row r="32" spans="1:20" ht="16.2" x14ac:dyDescent="0.3">
      <c r="A32" s="1140"/>
      <c r="B32" s="121" t="s">
        <v>560</v>
      </c>
      <c r="C32" t="s">
        <v>466</v>
      </c>
      <c r="D32" s="286" t="s">
        <v>465</v>
      </c>
      <c r="E32" s="809">
        <v>10</v>
      </c>
      <c r="F32" s="819">
        <v>175000</v>
      </c>
      <c r="G32" s="822">
        <v>1</v>
      </c>
      <c r="H32" s="282">
        <f t="shared" si="3"/>
        <v>350000</v>
      </c>
      <c r="I32" s="1050">
        <v>43678</v>
      </c>
      <c r="J32" s="1056">
        <v>97.3</v>
      </c>
      <c r="K32" s="809">
        <v>0.52</v>
      </c>
      <c r="L32" s="1050">
        <v>45261</v>
      </c>
      <c r="M32" s="1056">
        <v>127.3</v>
      </c>
      <c r="N32" s="282">
        <f>(M32/J32)*H32*(('R2_Hydro_MEFA'!L72/Macro!$D$16/Macro!$D$20/8/E32)^K32)</f>
        <v>279777.52705561562</v>
      </c>
      <c r="O32" s="822">
        <v>0.05</v>
      </c>
      <c r="P32" s="282">
        <f t="shared" si="1"/>
        <v>13988.876352780782</v>
      </c>
      <c r="Q32" s="654">
        <f>IF(IF(Macro!$H$14=1,5,Macro!T62)=0,5,IF(Macro!$H$14=1,5,Macro!T62))</f>
        <v>5</v>
      </c>
      <c r="R32" s="272">
        <f t="shared" si="2"/>
        <v>55955.505411123122</v>
      </c>
      <c r="S32" t="s">
        <v>140</v>
      </c>
      <c r="T32" s="262"/>
    </row>
    <row r="33" spans="1:20" ht="16.2" x14ac:dyDescent="0.3">
      <c r="A33" s="1140"/>
      <c r="B33" t="s">
        <v>561</v>
      </c>
      <c r="C33" t="s">
        <v>470</v>
      </c>
      <c r="D33" s="286" t="s">
        <v>465</v>
      </c>
      <c r="E33" s="809">
        <v>10</v>
      </c>
      <c r="F33" s="819">
        <v>35000</v>
      </c>
      <c r="G33" s="822">
        <v>1</v>
      </c>
      <c r="H33" s="282">
        <f t="shared" si="3"/>
        <v>70000</v>
      </c>
      <c r="I33" s="1050">
        <v>43678</v>
      </c>
      <c r="J33" s="1056">
        <v>97.3</v>
      </c>
      <c r="K33" s="809">
        <v>0.75</v>
      </c>
      <c r="L33" s="1050">
        <v>45261</v>
      </c>
      <c r="M33" s="1056">
        <v>127.3</v>
      </c>
      <c r="N33" s="282">
        <f>(M33/J33)*H33*(('R2_Hydro_MEFA'!L72/Macro!$D$16/Macro!$D$20/8/E33)^K33)</f>
        <v>44998.900317040418</v>
      </c>
      <c r="O33" s="822">
        <v>0.05</v>
      </c>
      <c r="P33" s="282">
        <f t="shared" si="1"/>
        <v>2249.9450158520208</v>
      </c>
      <c r="Q33" s="654">
        <f>IF(IF(Macro!$H$14=1,5,Macro!T63)=0,5,IF(Macro!$H$14=1,5,Macro!T63))</f>
        <v>5</v>
      </c>
      <c r="R33" s="272">
        <f t="shared" si="2"/>
        <v>8999.7800634080832</v>
      </c>
      <c r="S33" t="s">
        <v>140</v>
      </c>
      <c r="T33" s="262"/>
    </row>
    <row r="34" spans="1:20" ht="16.2" x14ac:dyDescent="0.3">
      <c r="A34" s="1140"/>
      <c r="B34" t="s">
        <v>564</v>
      </c>
      <c r="C34" t="s">
        <v>466</v>
      </c>
      <c r="D34" s="286" t="s">
        <v>465</v>
      </c>
      <c r="E34" s="809">
        <v>10</v>
      </c>
      <c r="F34" s="819">
        <v>175000</v>
      </c>
      <c r="G34" s="822">
        <v>1</v>
      </c>
      <c r="H34" s="282">
        <f t="shared" si="3"/>
        <v>350000</v>
      </c>
      <c r="I34" s="1050">
        <v>43678</v>
      </c>
      <c r="J34" s="1056">
        <v>97.3</v>
      </c>
      <c r="K34" s="809">
        <v>0.52</v>
      </c>
      <c r="L34" s="1050">
        <v>45261</v>
      </c>
      <c r="M34" s="1056">
        <v>127.3</v>
      </c>
      <c r="N34" s="282">
        <f>(M34/J34)*H34*((('R2_Hydro_MEFA'!L88+'R2_Hydro_MEFA'!L90)/'R2_Hydro_MEFA'!N89/Macro!$D$16/Macro!$D$20/8/E34)^K34)</f>
        <v>264193.14229067729</v>
      </c>
      <c r="O34" s="822">
        <v>0.05</v>
      </c>
      <c r="P34" s="282">
        <f t="shared" si="1"/>
        <v>13209.657114533866</v>
      </c>
      <c r="Q34" s="654">
        <f>IF(IF(Macro!$H$14=1,5,Macro!T64)=0,5,IF(Macro!$H$14=1,5,Macro!T64))</f>
        <v>5</v>
      </c>
      <c r="R34" s="272">
        <f t="shared" si="2"/>
        <v>52838.628458135456</v>
      </c>
      <c r="S34" t="s">
        <v>140</v>
      </c>
      <c r="T34" s="262"/>
    </row>
    <row r="35" spans="1:20" ht="15" customHeight="1" x14ac:dyDescent="0.3">
      <c r="A35" s="1140"/>
      <c r="B35" t="s">
        <v>575</v>
      </c>
      <c r="C35" t="s">
        <v>466</v>
      </c>
      <c r="D35" s="286" t="s">
        <v>465</v>
      </c>
      <c r="E35" s="809">
        <v>10</v>
      </c>
      <c r="F35" s="819">
        <v>175000</v>
      </c>
      <c r="G35" s="822">
        <v>1</v>
      </c>
      <c r="H35" s="282">
        <f t="shared" si="3"/>
        <v>350000</v>
      </c>
      <c r="I35" s="1050">
        <v>43678</v>
      </c>
      <c r="J35" s="1056">
        <v>97.3</v>
      </c>
      <c r="K35" s="809">
        <v>0.52</v>
      </c>
      <c r="L35" s="1050">
        <v>45261</v>
      </c>
      <c r="M35" s="1056">
        <v>127.3</v>
      </c>
      <c r="N35" s="282">
        <f>(M35/J35)*H35*((('R2_Hydro_MEFA'!L97/'R2_Hydro_MEFA'!N89)/Macro!$D$16/Macro!$D$20/8/E35)^K35)</f>
        <v>148548.09424329345</v>
      </c>
      <c r="O35" s="822">
        <v>0.05</v>
      </c>
      <c r="P35" s="282">
        <f t="shared" si="1"/>
        <v>7427.4047121646727</v>
      </c>
      <c r="Q35" s="654">
        <f>IF(IF(Macro!$H$14=1,5,Macro!T65)=0,5,IF(Macro!$H$14=1,5,Macro!T65))</f>
        <v>5</v>
      </c>
      <c r="R35" s="272">
        <f t="shared" si="2"/>
        <v>29709.618848658691</v>
      </c>
      <c r="S35" t="s">
        <v>140</v>
      </c>
      <c r="T35" s="262"/>
    </row>
    <row r="36" spans="1:20" ht="16.2" x14ac:dyDescent="0.3">
      <c r="A36" s="1140"/>
      <c r="B36" t="s">
        <v>577</v>
      </c>
      <c r="C36" t="s">
        <v>466</v>
      </c>
      <c r="D36" s="286" t="s">
        <v>465</v>
      </c>
      <c r="E36" s="809">
        <v>10</v>
      </c>
      <c r="F36" s="819">
        <v>175000</v>
      </c>
      <c r="G36" s="822">
        <v>1</v>
      </c>
      <c r="H36" s="282">
        <f t="shared" si="3"/>
        <v>350000</v>
      </c>
      <c r="I36" s="1050">
        <v>43678</v>
      </c>
      <c r="J36" s="1056">
        <v>97.3</v>
      </c>
      <c r="K36" s="809">
        <v>0.52</v>
      </c>
      <c r="L36" s="1050">
        <v>45261</v>
      </c>
      <c r="M36" s="1056">
        <v>127.3</v>
      </c>
      <c r="N36" s="282">
        <f>(M36/J36)*H36*(((SUM('R2_Hydro_MEFA'!L103:L106)/'R2_Hydro_MEFA'!N89/Macro!$D$16/Macro!$D$20/8/E36)^K36))</f>
        <v>183460.35401854056</v>
      </c>
      <c r="O36" s="822">
        <v>0.05</v>
      </c>
      <c r="P36" s="282">
        <f t="shared" si="1"/>
        <v>9173.0177009270283</v>
      </c>
      <c r="Q36" s="654">
        <f>IF(IF(Macro!$H$14=1,5,Macro!T66)=0,5,IF(Macro!$H$14=1,5,Macro!T66))</f>
        <v>5</v>
      </c>
      <c r="R36" s="272">
        <f t="shared" si="2"/>
        <v>36692.070803708113</v>
      </c>
      <c r="S36" t="s">
        <v>140</v>
      </c>
      <c r="T36" s="262"/>
    </row>
    <row r="37" spans="1:20" ht="16.2" x14ac:dyDescent="0.3">
      <c r="A37" s="1140"/>
      <c r="B37" t="s">
        <v>471</v>
      </c>
      <c r="C37" t="s">
        <v>466</v>
      </c>
      <c r="D37" s="286" t="s">
        <v>465</v>
      </c>
      <c r="E37" s="809">
        <v>10</v>
      </c>
      <c r="F37" s="819">
        <v>175000</v>
      </c>
      <c r="G37" s="822">
        <v>1</v>
      </c>
      <c r="H37" s="282">
        <f t="shared" si="3"/>
        <v>350000</v>
      </c>
      <c r="I37" s="1050">
        <v>43678</v>
      </c>
      <c r="J37" s="1056">
        <v>97.3</v>
      </c>
      <c r="K37" s="809">
        <v>0.52</v>
      </c>
      <c r="L37" s="1050">
        <v>45261</v>
      </c>
      <c r="M37" s="1056">
        <v>127.3</v>
      </c>
      <c r="N37" s="282">
        <f>(M37/J37)*H37*(((SUM('R2_Hydro_MEFA'!L114:L115)/'R2_Hydro_MEFA'!N89)/Macro!$D$16/Macro!$D$20/8/E37)^K37)</f>
        <v>148580.63612856274</v>
      </c>
      <c r="O37" s="822">
        <v>0.05</v>
      </c>
      <c r="P37" s="282">
        <f t="shared" si="1"/>
        <v>7429.0318064281373</v>
      </c>
      <c r="Q37" s="654">
        <f>IF(IF(Macro!$H$14=1,5,Macro!T67)=0,5,IF(Macro!$H$14=1,5,Macro!T67))</f>
        <v>5</v>
      </c>
      <c r="R37" s="272">
        <f t="shared" si="2"/>
        <v>29716.127225712546</v>
      </c>
      <c r="S37" t="s">
        <v>140</v>
      </c>
      <c r="T37" s="262"/>
    </row>
    <row r="38" spans="1:20" ht="16.2" x14ac:dyDescent="0.3">
      <c r="A38" s="1140"/>
      <c r="B38" t="s">
        <v>362</v>
      </c>
      <c r="C38" t="s">
        <v>466</v>
      </c>
      <c r="D38" s="286" t="s">
        <v>465</v>
      </c>
      <c r="E38" s="809">
        <v>10</v>
      </c>
      <c r="F38" s="819">
        <v>175000</v>
      </c>
      <c r="G38" s="822">
        <v>1</v>
      </c>
      <c r="H38" s="282">
        <f t="shared" si="3"/>
        <v>350000</v>
      </c>
      <c r="I38" s="1050">
        <v>43678</v>
      </c>
      <c r="J38" s="1056">
        <v>97.3</v>
      </c>
      <c r="K38" s="809">
        <v>0.52</v>
      </c>
      <c r="L38" s="1050">
        <v>45261</v>
      </c>
      <c r="M38" s="1056">
        <v>127.3</v>
      </c>
      <c r="N38" s="282">
        <f>(M38/J38)*H38*((('R2_Hydro_MEFA'!L122/'R2_Hydro_MEFA'!N89)/Macro!$D$16/Macro!$D$20/8/E38)^K38)</f>
        <v>81709.108305993752</v>
      </c>
      <c r="O38" s="822">
        <v>0.05</v>
      </c>
      <c r="P38" s="282">
        <f t="shared" si="1"/>
        <v>4085.455415299688</v>
      </c>
      <c r="Q38" s="654">
        <f>IF(IF(Macro!$H$14=1,5,Macro!T68)=0,5,IF(Macro!$H$14=1,5,Macro!T68))</f>
        <v>5</v>
      </c>
      <c r="R38" s="272">
        <f t="shared" si="2"/>
        <v>16341.82166119875</v>
      </c>
      <c r="S38" t="s">
        <v>140</v>
      </c>
      <c r="T38" s="262"/>
    </row>
    <row r="39" spans="1:20" ht="16.2" x14ac:dyDescent="0.3">
      <c r="A39" s="1140"/>
      <c r="B39" t="s">
        <v>366</v>
      </c>
      <c r="C39" t="s">
        <v>466</v>
      </c>
      <c r="D39" s="286" t="s">
        <v>465</v>
      </c>
      <c r="E39" s="809">
        <v>10</v>
      </c>
      <c r="F39" s="819">
        <v>175000</v>
      </c>
      <c r="G39" s="822">
        <v>1</v>
      </c>
      <c r="H39" s="282">
        <f t="shared" si="3"/>
        <v>350000</v>
      </c>
      <c r="I39" s="1050">
        <v>43678</v>
      </c>
      <c r="J39" s="1056">
        <v>97.3</v>
      </c>
      <c r="K39" s="809">
        <v>0.52</v>
      </c>
      <c r="L39" s="1050">
        <v>45261</v>
      </c>
      <c r="M39" s="1056">
        <v>127.3</v>
      </c>
      <c r="N39" s="282">
        <f>(M39/J39)*H39*(((SUM('R2_Hydro_MEFA'!L128:L131)/'R2_Hydro_MEFA'!N89)/Macro!$D$16/Macro!$D$20/8/E39)^K39)</f>
        <v>100910.48700513244</v>
      </c>
      <c r="O39" s="822">
        <v>0.05</v>
      </c>
      <c r="P39" s="282">
        <f t="shared" si="1"/>
        <v>5045.5243502566227</v>
      </c>
      <c r="Q39" s="654">
        <f>IF(IF(Macro!$H$14=1,5,Macro!T69)=0,5,IF(Macro!$H$14=1,5,Macro!T69))</f>
        <v>5</v>
      </c>
      <c r="R39" s="272">
        <f t="shared" si="2"/>
        <v>20182.097401026487</v>
      </c>
      <c r="S39" t="s">
        <v>140</v>
      </c>
      <c r="T39" s="262"/>
    </row>
    <row r="40" spans="1:20" x14ac:dyDescent="0.3">
      <c r="A40" s="1140"/>
      <c r="B40" t="s">
        <v>615</v>
      </c>
      <c r="C40" s="121" t="s">
        <v>474</v>
      </c>
      <c r="D40" s="286" t="s">
        <v>475</v>
      </c>
      <c r="E40" s="809">
        <v>1</v>
      </c>
      <c r="F40" s="819">
        <v>1500000</v>
      </c>
      <c r="G40" s="822">
        <v>1</v>
      </c>
      <c r="H40" s="282">
        <f t="shared" si="3"/>
        <v>3000000</v>
      </c>
      <c r="I40" s="1050">
        <v>43678</v>
      </c>
      <c r="J40" s="1056">
        <v>97.3</v>
      </c>
      <c r="K40" s="809">
        <v>0.65</v>
      </c>
      <c r="L40" s="1050">
        <v>45261</v>
      </c>
      <c r="M40" s="1056">
        <v>127.3</v>
      </c>
      <c r="N40" s="282">
        <f>(M40/J40)*H40*(('R2_Hydro_MEFA'!L136/(Macro!$D$16*Macro!$D$20*8*E40))^K40)</f>
        <v>3934944.6901792563</v>
      </c>
      <c r="O40" s="822">
        <v>0.05</v>
      </c>
      <c r="P40" s="282">
        <f t="shared" si="1"/>
        <v>196747.23450896284</v>
      </c>
      <c r="Q40" s="654">
        <f>IF(IF(Macro!$H$14=1,5,Macro!T70)=0,5,IF(Macro!$H$14=1,5,Macro!T70))</f>
        <v>5</v>
      </c>
      <c r="R40" s="272">
        <f t="shared" si="2"/>
        <v>786988.93803585123</v>
      </c>
      <c r="S40" t="s">
        <v>140</v>
      </c>
      <c r="T40" s="262"/>
    </row>
    <row r="41" spans="1:20" x14ac:dyDescent="0.3">
      <c r="A41" s="1140"/>
      <c r="B41" t="s">
        <v>616</v>
      </c>
      <c r="C41" t="s">
        <v>474</v>
      </c>
      <c r="D41" s="286" t="s">
        <v>475</v>
      </c>
      <c r="E41" s="809">
        <v>1</v>
      </c>
      <c r="F41" s="819">
        <v>1500000</v>
      </c>
      <c r="G41" s="822">
        <v>1</v>
      </c>
      <c r="H41" s="282">
        <f t="shared" si="3"/>
        <v>3000000</v>
      </c>
      <c r="I41" s="1050">
        <v>43678</v>
      </c>
      <c r="J41" s="1056">
        <v>97.3</v>
      </c>
      <c r="K41" s="809">
        <v>0.65</v>
      </c>
      <c r="L41" s="1050">
        <v>45261</v>
      </c>
      <c r="M41" s="1056">
        <v>127.3</v>
      </c>
      <c r="N41" s="282">
        <f>(M41/J41)*H41*(('R2_Hydro_MEFA'!L142/(Macro!$D$16*Macro!$D$20*8*E41))^K41)</f>
        <v>1999593.9642720707</v>
      </c>
      <c r="O41" s="822">
        <v>0.05</v>
      </c>
      <c r="P41" s="282">
        <f t="shared" si="1"/>
        <v>99979.698213603537</v>
      </c>
      <c r="Q41" s="654">
        <f>IF(IF(Macro!$H$14=1,5,Macro!T71)=0,5,IF(Macro!$H$14=1,5,Macro!T71))</f>
        <v>5</v>
      </c>
      <c r="R41" s="272">
        <f t="shared" si="2"/>
        <v>399918.79285441415</v>
      </c>
      <c r="S41" t="s">
        <v>140</v>
      </c>
      <c r="T41" s="262"/>
    </row>
    <row r="42" spans="1:20" ht="16.2" x14ac:dyDescent="0.3">
      <c r="A42" s="1140"/>
      <c r="B42" t="s">
        <v>394</v>
      </c>
      <c r="C42" t="s">
        <v>466</v>
      </c>
      <c r="D42" s="286" t="s">
        <v>465</v>
      </c>
      <c r="E42" s="809">
        <v>10</v>
      </c>
      <c r="F42" s="819">
        <v>175000</v>
      </c>
      <c r="G42" s="822">
        <v>1</v>
      </c>
      <c r="H42" s="282">
        <f t="shared" si="3"/>
        <v>350000</v>
      </c>
      <c r="I42" s="1050">
        <v>43678</v>
      </c>
      <c r="J42" s="1056">
        <v>97.3</v>
      </c>
      <c r="K42" s="809">
        <v>0.52</v>
      </c>
      <c r="L42" s="1050">
        <v>45261</v>
      </c>
      <c r="M42" s="1056">
        <v>127.3</v>
      </c>
      <c r="N42" s="282">
        <f>(M42/J42)*H42*(((SUM('R2_Hydro_MEFA'!L151:L152)/'R2_Hydro_MEFA'!N89)/Macro!$D$16/Macro!$D$20/8/E42)^K42)</f>
        <v>214454.84196976127</v>
      </c>
      <c r="O42" s="822">
        <v>0.05</v>
      </c>
      <c r="P42" s="282">
        <f t="shared" si="1"/>
        <v>10722.742098488065</v>
      </c>
      <c r="Q42" s="654">
        <f>IF(IF(Macro!$H$14=1,5,Macro!T72)=0,5,IF(Macro!$H$14=1,5,Macro!T72))</f>
        <v>5</v>
      </c>
      <c r="R42" s="272">
        <f t="shared" si="2"/>
        <v>42890.968393952251</v>
      </c>
      <c r="S42" t="s">
        <v>140</v>
      </c>
      <c r="T42" s="262"/>
    </row>
    <row r="43" spans="1:20" ht="16.2" x14ac:dyDescent="0.3">
      <c r="A43" s="1140"/>
      <c r="B43" t="s">
        <v>400</v>
      </c>
      <c r="C43" t="s">
        <v>466</v>
      </c>
      <c r="D43" s="286" t="s">
        <v>465</v>
      </c>
      <c r="E43" s="809">
        <v>10</v>
      </c>
      <c r="F43" s="819">
        <v>175000</v>
      </c>
      <c r="G43" s="822">
        <v>1</v>
      </c>
      <c r="H43" s="282">
        <f t="shared" si="3"/>
        <v>350000</v>
      </c>
      <c r="I43" s="1050">
        <v>43678</v>
      </c>
      <c r="J43" s="1056">
        <v>97.3</v>
      </c>
      <c r="K43" s="809">
        <v>0.52</v>
      </c>
      <c r="L43" s="1050">
        <v>45261</v>
      </c>
      <c r="M43" s="1056">
        <v>127.3</v>
      </c>
      <c r="N43" s="282">
        <f>(M43/J43)*H43*(((SUM('R2_Hydro_MEFA'!L158)/'R2_Hydro_MEFA'!N89)/Macro!$D$16/Macro!$D$20/8/E43)^K43)</f>
        <v>63955.316876599762</v>
      </c>
      <c r="O43" s="822">
        <v>0.05</v>
      </c>
      <c r="P43" s="282">
        <f t="shared" si="1"/>
        <v>3197.7658438299882</v>
      </c>
      <c r="Q43" s="654">
        <f>IF(IF(Macro!$H$14=1,5,Macro!T73)=0,5,IF(Macro!$H$14=1,5,Macro!T73))</f>
        <v>5</v>
      </c>
      <c r="R43" s="272">
        <f t="shared" si="2"/>
        <v>12791.063375319953</v>
      </c>
      <c r="S43" t="s">
        <v>140</v>
      </c>
      <c r="T43" s="262"/>
    </row>
    <row r="44" spans="1:20" ht="16.2" x14ac:dyDescent="0.3">
      <c r="A44" s="1140"/>
      <c r="B44" t="s">
        <v>403</v>
      </c>
      <c r="C44" t="s">
        <v>466</v>
      </c>
      <c r="D44" s="286" t="s">
        <v>465</v>
      </c>
      <c r="E44" s="809">
        <v>10</v>
      </c>
      <c r="F44" s="819">
        <v>175000</v>
      </c>
      <c r="G44" s="822">
        <v>1</v>
      </c>
      <c r="H44" s="282">
        <f t="shared" si="3"/>
        <v>350000</v>
      </c>
      <c r="I44" s="1050">
        <v>43678</v>
      </c>
      <c r="J44" s="1056">
        <v>97.3</v>
      </c>
      <c r="K44" s="809">
        <v>0.52</v>
      </c>
      <c r="L44" s="1050">
        <v>45261</v>
      </c>
      <c r="M44" s="1056">
        <v>127.3</v>
      </c>
      <c r="N44" s="282">
        <f>(M44/J44)*H44*(((SUM('R2_Hydro_MEFA'!L164:L167)/'R2_Hydro_MEFA'!N89)/Macro!$D$16/Macro!$D$20/8/E44)^K44)</f>
        <v>79018.143738982195</v>
      </c>
      <c r="O44" s="822">
        <v>0.05</v>
      </c>
      <c r="P44" s="282">
        <f t="shared" si="1"/>
        <v>3950.9071869491099</v>
      </c>
      <c r="Q44" s="654">
        <f>IF(IF(Macro!$H$14=1,5,Macro!T74)=0,5,IF(Macro!$H$14=1,5,Macro!T74))</f>
        <v>5</v>
      </c>
      <c r="R44" s="272">
        <f t="shared" si="2"/>
        <v>15803.62874779644</v>
      </c>
      <c r="S44" t="s">
        <v>140</v>
      </c>
      <c r="T44" s="262"/>
    </row>
    <row r="45" spans="1:20" x14ac:dyDescent="0.3">
      <c r="A45" s="1140"/>
      <c r="B45" t="s">
        <v>617</v>
      </c>
      <c r="C45" t="s">
        <v>474</v>
      </c>
      <c r="D45" s="286" t="s">
        <v>475</v>
      </c>
      <c r="E45" s="809">
        <v>1</v>
      </c>
      <c r="F45" s="819">
        <v>1500000</v>
      </c>
      <c r="G45" s="822">
        <v>1</v>
      </c>
      <c r="H45" s="282">
        <f t="shared" si="3"/>
        <v>3000000</v>
      </c>
      <c r="I45" s="1050">
        <v>43678</v>
      </c>
      <c r="J45" s="1056">
        <v>97.3</v>
      </c>
      <c r="K45" s="809">
        <v>0.65</v>
      </c>
      <c r="L45" s="1050">
        <v>45261</v>
      </c>
      <c r="M45" s="1056">
        <v>127.3</v>
      </c>
      <c r="N45" s="282">
        <f>(M45/J45)*H45*(('R2_Hydro_MEFA'!L172/(Macro!$D$16*Macro!$D$20*8*E45))^K45)</f>
        <v>1446211.3028897282</v>
      </c>
      <c r="O45" s="822">
        <v>0.05</v>
      </c>
      <c r="P45" s="282">
        <f t="shared" si="1"/>
        <v>72310.56514448642</v>
      </c>
      <c r="Q45" s="654">
        <f>IF(IF(Macro!$H$14=1,5,Macro!T75)=0,5,IF(Macro!$H$14=1,5,Macro!T75))</f>
        <v>5</v>
      </c>
      <c r="R45" s="272">
        <f t="shared" si="2"/>
        <v>289242.26057794562</v>
      </c>
      <c r="S45" t="s">
        <v>140</v>
      </c>
      <c r="T45" s="262"/>
    </row>
    <row r="46" spans="1:20" x14ac:dyDescent="0.3">
      <c r="A46" s="1140"/>
      <c r="B46" s="121" t="s">
        <v>201</v>
      </c>
      <c r="C46" s="744" t="s">
        <v>406</v>
      </c>
      <c r="D46" s="286" t="s">
        <v>475</v>
      </c>
      <c r="E46" s="809">
        <v>5</v>
      </c>
      <c r="F46" s="819">
        <v>1500000</v>
      </c>
      <c r="G46" s="822">
        <v>1</v>
      </c>
      <c r="H46" s="282">
        <f t="shared" si="3"/>
        <v>3000000</v>
      </c>
      <c r="I46" s="1050">
        <v>43678</v>
      </c>
      <c r="J46" s="1056">
        <v>97.3</v>
      </c>
      <c r="K46" s="809">
        <v>0.65</v>
      </c>
      <c r="L46" s="1050">
        <v>45261</v>
      </c>
      <c r="M46" s="1056">
        <v>127.3</v>
      </c>
      <c r="N46" s="282">
        <f>(M46/J46)*H46*(('R2_Hydro_MEFA'!L179/(Macro!$D$16*Macro!$D$20*8*E46))^K46)</f>
        <v>2338131.000075039</v>
      </c>
      <c r="O46" s="822">
        <v>0.05</v>
      </c>
      <c r="P46" s="282">
        <f t="shared" si="1"/>
        <v>116906.55000375195</v>
      </c>
      <c r="Q46" s="654">
        <f>IF(IF(Macro!$H$14=1,5,Macro!T76)=0,5,IF(Macro!$H$14=1,5,Macro!T76))</f>
        <v>5</v>
      </c>
      <c r="R46" s="272">
        <f t="shared" si="2"/>
        <v>467626.20001500781</v>
      </c>
      <c r="S46" t="s">
        <v>140</v>
      </c>
      <c r="T46" s="262"/>
    </row>
    <row r="47" spans="1:20" ht="16.2" x14ac:dyDescent="0.3">
      <c r="A47" s="1140"/>
      <c r="B47" t="s">
        <v>618</v>
      </c>
      <c r="C47" t="s">
        <v>466</v>
      </c>
      <c r="D47" s="286" t="s">
        <v>465</v>
      </c>
      <c r="E47" s="809">
        <v>10</v>
      </c>
      <c r="F47" s="819">
        <v>175000</v>
      </c>
      <c r="G47" s="822">
        <v>1</v>
      </c>
      <c r="H47" s="282">
        <f t="shared" si="3"/>
        <v>350000</v>
      </c>
      <c r="I47" s="1050">
        <v>43678</v>
      </c>
      <c r="J47" s="1056">
        <v>97.3</v>
      </c>
      <c r="K47" s="809">
        <v>0.52</v>
      </c>
      <c r="L47" s="1050">
        <v>45261</v>
      </c>
      <c r="M47" s="1056">
        <v>127.3</v>
      </c>
      <c r="N47" s="282">
        <f>(M47/J47)*H47*(((SUM('R2_Hydro_MEFA'!L187)/'R2_Hydro_MEFA'!N177)/Macro!$D$16/Macro!$D$20/8/E47)^K47)</f>
        <v>223503.78049804899</v>
      </c>
      <c r="O47" s="822">
        <v>0.05</v>
      </c>
      <c r="P47" s="282">
        <f t="shared" si="1"/>
        <v>11175.189024902451</v>
      </c>
      <c r="Q47" s="654">
        <f>IF(IF(Macro!$H$14=1,5,Macro!T77)=0,5,IF(Macro!$H$14=1,5,Macro!T77))</f>
        <v>5</v>
      </c>
      <c r="R47" s="272">
        <f t="shared" si="2"/>
        <v>44700.756099609796</v>
      </c>
      <c r="S47" t="s">
        <v>140</v>
      </c>
      <c r="T47" s="262"/>
    </row>
    <row r="48" spans="1:20" ht="16.2" x14ac:dyDescent="0.3">
      <c r="A48" s="1140"/>
      <c r="B48" t="s">
        <v>426</v>
      </c>
      <c r="C48" t="s">
        <v>478</v>
      </c>
      <c r="D48" t="s">
        <v>465</v>
      </c>
      <c r="E48" s="809">
        <v>10</v>
      </c>
      <c r="F48" s="819">
        <v>35000</v>
      </c>
      <c r="G48" s="822">
        <v>1</v>
      </c>
      <c r="H48" s="282">
        <f t="shared" si="3"/>
        <v>70000</v>
      </c>
      <c r="I48" s="1050">
        <v>43678</v>
      </c>
      <c r="J48" s="1056">
        <v>97.3</v>
      </c>
      <c r="K48" s="809">
        <v>0.75</v>
      </c>
      <c r="L48" s="1050">
        <v>45261</v>
      </c>
      <c r="M48" s="1056">
        <v>127.3</v>
      </c>
      <c r="N48" s="1038">
        <f>(M48/J48)*H48*(('R2_Hydro_MEFA'!L187/'R2_Hydro_MEFA'!N177/Macro!$D$16/Macro!$D$20/8/E48)^K48)</f>
        <v>32548.919996727458</v>
      </c>
      <c r="O48" s="822">
        <v>0.05</v>
      </c>
      <c r="P48" s="1038">
        <f t="shared" si="1"/>
        <v>1627.4459998363729</v>
      </c>
      <c r="Q48" s="654">
        <f>IF(IF(Macro!$H$14=1,5,Macro!T78)=0,5,IF(Macro!$H$14=1,5,Macro!T78))</f>
        <v>5</v>
      </c>
      <c r="R48" s="272">
        <f t="shared" si="2"/>
        <v>6509.7839993454918</v>
      </c>
      <c r="S48" t="s">
        <v>140</v>
      </c>
      <c r="T48" s="262"/>
    </row>
    <row r="49" spans="1:20" ht="15" thickBot="1" x14ac:dyDescent="0.35">
      <c r="A49" s="1141"/>
      <c r="B49" s="273" t="s">
        <v>22</v>
      </c>
      <c r="C49" s="273" t="s">
        <v>406</v>
      </c>
      <c r="D49" s="273" t="s">
        <v>475</v>
      </c>
      <c r="E49" s="828">
        <v>5</v>
      </c>
      <c r="F49" s="820">
        <v>1500000</v>
      </c>
      <c r="G49" s="823">
        <v>1</v>
      </c>
      <c r="H49" s="584">
        <f t="shared" si="3"/>
        <v>3000000</v>
      </c>
      <c r="I49" s="1053">
        <v>43678</v>
      </c>
      <c r="J49" s="1057">
        <v>97.3</v>
      </c>
      <c r="K49" s="828">
        <v>0.65</v>
      </c>
      <c r="L49" s="1053">
        <v>45261</v>
      </c>
      <c r="M49" s="1057">
        <v>127.3</v>
      </c>
      <c r="N49" s="1037">
        <f>(M49/J49)*H49*(('R2_Hydro_MEFA'!C198/(Macro!$D$16*Macro!$D$20*8*E49))^K49)</f>
        <v>0</v>
      </c>
      <c r="O49" s="823">
        <v>0.05</v>
      </c>
      <c r="P49" s="1037">
        <f t="shared" si="1"/>
        <v>0</v>
      </c>
      <c r="Q49" s="655">
        <f>IF(IF(Macro!$H$14=1,5,Macro!T79)=0,5,IF(Macro!$H$14=1,5,Macro!T79))</f>
        <v>5</v>
      </c>
      <c r="R49" s="274">
        <f t="shared" si="2"/>
        <v>0</v>
      </c>
      <c r="S49" s="273" t="s">
        <v>140</v>
      </c>
      <c r="T49" s="276"/>
    </row>
    <row r="50" spans="1:20" x14ac:dyDescent="0.3">
      <c r="N50" s="283">
        <f>SUM(N12:N49)</f>
        <v>21579439.51041941</v>
      </c>
      <c r="P50" s="283">
        <f>SUM(P12:P49)</f>
        <v>1045491.9615535077</v>
      </c>
      <c r="Q50" s="283"/>
      <c r="R50" s="283">
        <f>SUM(R12:R49)</f>
        <v>4315887.9020838812</v>
      </c>
    </row>
    <row r="51" spans="1:20" ht="42.6" thickBot="1" x14ac:dyDescent="0.35">
      <c r="A51" s="774" t="s">
        <v>479</v>
      </c>
    </row>
    <row r="52" spans="1:20" ht="72.599999999999994" thickBot="1" x14ac:dyDescent="0.35">
      <c r="A52" s="284" t="s">
        <v>619</v>
      </c>
      <c r="B52" s="379" t="s">
        <v>481</v>
      </c>
      <c r="C52" s="379" t="s">
        <v>251</v>
      </c>
      <c r="D52" s="379" t="s">
        <v>483</v>
      </c>
      <c r="E52" s="379" t="s">
        <v>620</v>
      </c>
      <c r="F52" s="379" t="s">
        <v>485</v>
      </c>
      <c r="G52" s="379" t="s">
        <v>486</v>
      </c>
      <c r="H52" s="379" t="s">
        <v>621</v>
      </c>
      <c r="I52" s="379" t="s">
        <v>622</v>
      </c>
      <c r="J52" s="379" t="s">
        <v>623</v>
      </c>
      <c r="K52" s="380" t="s">
        <v>624</v>
      </c>
    </row>
    <row r="53" spans="1:20" x14ac:dyDescent="0.3">
      <c r="A53" s="1136" t="s">
        <v>248</v>
      </c>
      <c r="B53" s="68" t="s">
        <v>491</v>
      </c>
      <c r="C53" s="660">
        <f>ROUNDUP(E6/(210*8*E15)+E6/(210*8*2),0)</f>
        <v>65</v>
      </c>
      <c r="D53" s="898">
        <v>40000</v>
      </c>
      <c r="E53" s="824">
        <v>0.2</v>
      </c>
      <c r="F53" s="824">
        <v>0.5</v>
      </c>
      <c r="G53" s="270">
        <f>IF($E$9&gt;250,($E$9-250)/$E$9*0.5,0)</f>
        <v>0.12121212121212122</v>
      </c>
      <c r="H53" s="895">
        <f>(1+F53+E53+G53)*D53</f>
        <v>72848.484848484848</v>
      </c>
      <c r="I53" s="381">
        <f>H53/Macro!$D$16/8</f>
        <v>27.594123048668504</v>
      </c>
      <c r="J53" s="895">
        <f>H53*C53*(1+IF(Macro!D18=3,1/3,0))</f>
        <v>4735151.5151515147</v>
      </c>
      <c r="K53" s="271"/>
    </row>
    <row r="54" spans="1:20" ht="15" thickBot="1" x14ac:dyDescent="0.35">
      <c r="A54" s="1138"/>
      <c r="B54" s="776" t="s">
        <v>492</v>
      </c>
      <c r="C54">
        <f>ROUNDUP(E6/(210*8*E15)+E6/(210*8*2),0)</f>
        <v>65</v>
      </c>
      <c r="D54" s="899">
        <v>60000</v>
      </c>
      <c r="E54" s="823">
        <v>0.2</v>
      </c>
      <c r="F54" s="823">
        <v>0.5</v>
      </c>
      <c r="G54" s="275">
        <f t="shared" ref="G54:G58" si="4">IF($E$9&gt;250,($E$9-250)/$E$9*0.5,0)</f>
        <v>0.12121212121212122</v>
      </c>
      <c r="H54" s="896">
        <f t="shared" ref="H54:H58" si="5">(1+F54+E54+G54)*D54</f>
        <v>109272.72727272728</v>
      </c>
      <c r="I54" s="383">
        <f>H54/Macro!$D$16/8</f>
        <v>41.391184573002761</v>
      </c>
      <c r="J54" s="896">
        <f>H54*C54*(1+IF(Macro!D18=3,1/3,0))</f>
        <v>7102727.2727272734</v>
      </c>
      <c r="K54" s="276"/>
    </row>
    <row r="55" spans="1:20" x14ac:dyDescent="0.3">
      <c r="A55" s="1139" t="s">
        <v>625</v>
      </c>
      <c r="B55" s="777" t="s">
        <v>493</v>
      </c>
      <c r="C55" s="268">
        <f>IF(Macro!D8=1,1,2)*ROUNDUP(Macro!D16/210,0)*Macro!D20</f>
        <v>12</v>
      </c>
      <c r="D55" s="898">
        <v>40000</v>
      </c>
      <c r="E55" s="824">
        <v>0.2</v>
      </c>
      <c r="F55" s="824">
        <v>0.5</v>
      </c>
      <c r="G55" s="270">
        <f t="shared" si="4"/>
        <v>0.12121212121212122</v>
      </c>
      <c r="H55" s="895">
        <f t="shared" si="5"/>
        <v>72848.484848484848</v>
      </c>
      <c r="I55" s="381">
        <f>H55/Macro!$D$16/8</f>
        <v>27.594123048668504</v>
      </c>
      <c r="J55" s="895">
        <f>H55*C55*(1+IF(Macro!D20=3,1/3,0))</f>
        <v>1165575.7575757573</v>
      </c>
      <c r="K55" s="271"/>
    </row>
    <row r="56" spans="1:20" ht="15" thickBot="1" x14ac:dyDescent="0.35">
      <c r="A56" s="1140"/>
      <c r="B56" t="s">
        <v>494</v>
      </c>
      <c r="C56">
        <f>ROUNDUP(Macro!D16/210,0)*Macro!D20</f>
        <v>6</v>
      </c>
      <c r="D56" s="900">
        <v>60000</v>
      </c>
      <c r="E56" s="822">
        <v>0.2</v>
      </c>
      <c r="F56" s="822">
        <v>0.5</v>
      </c>
      <c r="G56" s="256">
        <f t="shared" si="4"/>
        <v>0.12121212121212122</v>
      </c>
      <c r="H56" s="897">
        <f t="shared" si="5"/>
        <v>109272.72727272728</v>
      </c>
      <c r="I56" s="382">
        <f>H56/Macro!$D$16/8</f>
        <v>41.391184573002761</v>
      </c>
      <c r="J56" s="897">
        <f>H56*C56*(1+IF(Macro!D20=3,1/3,0))</f>
        <v>874181.81818181812</v>
      </c>
      <c r="K56" s="262"/>
    </row>
    <row r="57" spans="1:20" x14ac:dyDescent="0.3">
      <c r="A57" s="1136" t="s">
        <v>613</v>
      </c>
      <c r="B57" s="777" t="s">
        <v>493</v>
      </c>
      <c r="C57" s="268">
        <f>IF(Macro!D8=1,1,2)*ROUNDUP(Macro!D16/210,0)*Macro!D20</f>
        <v>12</v>
      </c>
      <c r="D57" s="898">
        <v>40000</v>
      </c>
      <c r="E57" s="824">
        <v>0.2</v>
      </c>
      <c r="F57" s="824">
        <v>0.5</v>
      </c>
      <c r="G57" s="270">
        <f t="shared" si="4"/>
        <v>0.12121212121212122</v>
      </c>
      <c r="H57" s="895">
        <f t="shared" si="5"/>
        <v>72848.484848484848</v>
      </c>
      <c r="I57" s="381">
        <f>H57/Macro!$D$16/8</f>
        <v>27.594123048668504</v>
      </c>
      <c r="J57" s="895">
        <f>H57*C57*(1+IF(Macro!D20=3,1/3,0))</f>
        <v>1165575.7575757573</v>
      </c>
      <c r="K57" s="271"/>
    </row>
    <row r="58" spans="1:20" ht="15" thickBot="1" x14ac:dyDescent="0.35">
      <c r="A58" s="1138"/>
      <c r="B58" s="742" t="s">
        <v>494</v>
      </c>
      <c r="C58" s="273">
        <f>ROUNDUP(Macro!D16/210,0)*Macro!D20</f>
        <v>6</v>
      </c>
      <c r="D58" s="899">
        <v>60000</v>
      </c>
      <c r="E58" s="823">
        <v>0.2</v>
      </c>
      <c r="F58" s="823">
        <v>0.5</v>
      </c>
      <c r="G58" s="275">
        <f t="shared" si="4"/>
        <v>0.12121212121212122</v>
      </c>
      <c r="H58" s="896">
        <f t="shared" si="5"/>
        <v>109272.72727272728</v>
      </c>
      <c r="I58" s="383">
        <f>H58/Macro!$D$16/8</f>
        <v>41.391184573002761</v>
      </c>
      <c r="J58" s="896">
        <f>H58*C58*(1+IF(Macro!D20=3,1/3,0))</f>
        <v>874181.81818181812</v>
      </c>
      <c r="K58" s="276"/>
    </row>
    <row r="59" spans="1:20" x14ac:dyDescent="0.3">
      <c r="J59" s="897">
        <f>SUM(J53:J58)</f>
        <v>15917393.939393941</v>
      </c>
    </row>
  </sheetData>
  <mergeCells count="6">
    <mergeCell ref="A55:A56"/>
    <mergeCell ref="A57:A58"/>
    <mergeCell ref="A12:A15"/>
    <mergeCell ref="A16:A24"/>
    <mergeCell ref="A25:A49"/>
    <mergeCell ref="A53:A54"/>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5">
    <tabColor theme="0" tint="-0.499984740745262"/>
  </sheetPr>
  <dimension ref="A1:Z157"/>
  <sheetViews>
    <sheetView zoomScale="70" zoomScaleNormal="70" workbookViewId="0">
      <selection activeCell="A29" sqref="A29:XFD29"/>
    </sheetView>
  </sheetViews>
  <sheetFormatPr baseColWidth="10" defaultColWidth="11.44140625" defaultRowHeight="14.4" x14ac:dyDescent="0.3"/>
  <cols>
    <col min="1" max="1" width="27.109375" style="70" customWidth="1"/>
    <col min="2" max="2" width="20.44140625" style="70" customWidth="1"/>
    <col min="3" max="3" width="13.6640625" style="70" customWidth="1"/>
    <col min="4" max="4" width="7.33203125" style="70" customWidth="1"/>
    <col min="5" max="5" width="19.44140625" style="70" customWidth="1"/>
    <col min="6" max="6" width="14.44140625" style="70" customWidth="1"/>
    <col min="7" max="7" width="10" style="70" bestFit="1" customWidth="1"/>
    <col min="8" max="8" width="17.6640625" style="70" customWidth="1"/>
    <col min="9" max="9" width="14.109375" style="70" bestFit="1" customWidth="1"/>
    <col min="10" max="10" width="18.33203125" style="70" customWidth="1"/>
    <col min="11" max="11" width="21.6640625" style="70" customWidth="1"/>
    <col min="12" max="12" width="13.109375" style="70" customWidth="1"/>
    <col min="13" max="13" width="8" style="212" customWidth="1"/>
    <col min="14" max="14" width="30.77734375" style="70" customWidth="1"/>
    <col min="15" max="15" width="22.77734375" style="70" customWidth="1"/>
    <col min="16" max="16" width="12.77734375" style="70" customWidth="1"/>
    <col min="17" max="17" width="27.44140625" style="70" customWidth="1"/>
    <col min="18" max="18" width="17.6640625" style="70" customWidth="1"/>
    <col min="19" max="20" width="13.77734375" style="70" customWidth="1"/>
    <col min="21" max="21" width="24" style="70" customWidth="1"/>
    <col min="22" max="22" width="11.44140625" style="70"/>
    <col min="23" max="23" width="13.77734375" style="70" customWidth="1"/>
    <col min="24" max="16384" width="11.44140625" style="70"/>
  </cols>
  <sheetData>
    <row r="1" spans="1:26" s="64" customFormat="1" ht="21" x14ac:dyDescent="0.3">
      <c r="A1" s="63" t="s">
        <v>626</v>
      </c>
      <c r="M1" s="211"/>
    </row>
    <row r="2" spans="1:26" s="64" customFormat="1" ht="18.600000000000001" thickBot="1" x14ac:dyDescent="0.35">
      <c r="B2" s="65"/>
      <c r="M2" s="211"/>
    </row>
    <row r="3" spans="1:26" s="64" customFormat="1" ht="18" x14ac:dyDescent="0.3">
      <c r="A3" s="66" t="s">
        <v>247</v>
      </c>
      <c r="B3" s="67" t="s">
        <v>248</v>
      </c>
      <c r="C3" s="68"/>
      <c r="D3" s="69"/>
      <c r="F3" s="71" t="s">
        <v>625</v>
      </c>
      <c r="G3" s="68"/>
      <c r="H3" s="69"/>
      <c r="I3" s="70"/>
      <c r="J3" s="67" t="s">
        <v>249</v>
      </c>
      <c r="K3" s="68"/>
      <c r="L3" s="69"/>
      <c r="N3" s="70" t="s">
        <v>322</v>
      </c>
      <c r="O3" s="70"/>
      <c r="P3" s="226"/>
      <c r="Q3" s="212"/>
      <c r="U3" s="70"/>
      <c r="V3" s="70"/>
      <c r="W3" s="70"/>
      <c r="Y3" s="96"/>
    </row>
    <row r="4" spans="1:26" ht="28.8" x14ac:dyDescent="0.3">
      <c r="B4" s="72" t="s">
        <v>250</v>
      </c>
      <c r="C4" s="73" t="s">
        <v>251</v>
      </c>
      <c r="D4" s="74" t="s">
        <v>252</v>
      </c>
      <c r="F4" s="72" t="s">
        <v>250</v>
      </c>
      <c r="G4" s="73" t="s">
        <v>251</v>
      </c>
      <c r="H4" s="74" t="s">
        <v>252</v>
      </c>
      <c r="J4" s="72" t="s">
        <v>250</v>
      </c>
      <c r="K4" s="73" t="s">
        <v>251</v>
      </c>
      <c r="L4" s="74" t="s">
        <v>252</v>
      </c>
      <c r="M4" s="70"/>
      <c r="N4" s="97" t="s">
        <v>499</v>
      </c>
      <c r="O4" s="213" t="s">
        <v>251</v>
      </c>
      <c r="P4" s="97" t="s">
        <v>324</v>
      </c>
      <c r="Q4" s="212"/>
      <c r="V4" s="336"/>
    </row>
    <row r="5" spans="1:26" ht="28.8" x14ac:dyDescent="0.3">
      <c r="B5" s="72" t="s">
        <v>253</v>
      </c>
      <c r="C5" s="475">
        <f>IF(Macro!$D$8=1,2500,IF(Macro!$D$8=2,25000,75000))</f>
        <v>25000</v>
      </c>
      <c r="D5" s="74" t="s">
        <v>263</v>
      </c>
      <c r="F5" s="72" t="s">
        <v>253</v>
      </c>
      <c r="G5" s="214">
        <f>C61</f>
        <v>9967.1176577748829</v>
      </c>
      <c r="H5" s="74" t="s">
        <v>326</v>
      </c>
      <c r="J5" s="72" t="s">
        <v>255</v>
      </c>
      <c r="K5" s="802">
        <v>3</v>
      </c>
      <c r="L5" s="74" t="s">
        <v>627</v>
      </c>
      <c r="M5" s="70"/>
      <c r="N5" s="73" t="s">
        <v>234</v>
      </c>
      <c r="O5" s="830">
        <v>0.01</v>
      </c>
      <c r="P5" s="215">
        <v>0.02</v>
      </c>
      <c r="Q5" s="212"/>
      <c r="R5" s="337"/>
      <c r="V5" s="336"/>
      <c r="Z5" s="94"/>
    </row>
    <row r="6" spans="1:26" ht="30.45" customHeight="1" x14ac:dyDescent="0.3">
      <c r="B6" s="72" t="s">
        <v>257</v>
      </c>
      <c r="C6" s="77">
        <f>C5*1000/Battery!C3</f>
        <v>43374.539145521579</v>
      </c>
      <c r="D6" s="74" t="s">
        <v>184</v>
      </c>
      <c r="F6" s="85" t="s">
        <v>253</v>
      </c>
      <c r="G6" s="216">
        <f>G5/G7/G8</f>
        <v>1.258474451739253</v>
      </c>
      <c r="H6" s="87" t="s">
        <v>501</v>
      </c>
      <c r="J6" s="72" t="s">
        <v>258</v>
      </c>
      <c r="K6" s="803">
        <v>0.5</v>
      </c>
      <c r="L6" s="74" t="s">
        <v>628</v>
      </c>
      <c r="M6" s="70"/>
      <c r="N6" s="73" t="s">
        <v>379</v>
      </c>
      <c r="O6" s="830">
        <v>0.01</v>
      </c>
      <c r="P6" s="215">
        <v>0.02</v>
      </c>
      <c r="Q6" s="212"/>
      <c r="R6" s="338"/>
      <c r="V6" s="336"/>
      <c r="Z6" s="91"/>
    </row>
    <row r="7" spans="1:26" ht="43.2" x14ac:dyDescent="0.3">
      <c r="B7" s="72" t="s">
        <v>260</v>
      </c>
      <c r="C7" s="800">
        <v>5</v>
      </c>
      <c r="D7" s="74" t="s">
        <v>629</v>
      </c>
      <c r="F7" s="72" t="s">
        <v>630</v>
      </c>
      <c r="G7" s="73" t="str">
        <f>Macro!D16</f>
        <v>330</v>
      </c>
      <c r="H7" s="74" t="s">
        <v>505</v>
      </c>
      <c r="J7" s="72" t="s">
        <v>262</v>
      </c>
      <c r="K7" s="80">
        <f>C87+F88+F89</f>
        <v>10648.615725616935</v>
      </c>
      <c r="L7" s="74" t="s">
        <v>500</v>
      </c>
      <c r="M7" s="217"/>
      <c r="N7" s="73" t="s">
        <v>544</v>
      </c>
      <c r="O7" s="830">
        <v>5.0000000000000001E-3</v>
      </c>
      <c r="P7" s="215">
        <v>0.01</v>
      </c>
      <c r="Q7" s="212"/>
      <c r="R7" s="91"/>
      <c r="V7" s="339"/>
      <c r="Z7" s="218"/>
    </row>
    <row r="8" spans="1:26" ht="29.4" thickBot="1" x14ac:dyDescent="0.35">
      <c r="B8" s="78" t="s">
        <v>631</v>
      </c>
      <c r="C8" s="829">
        <v>3</v>
      </c>
      <c r="D8" s="79" t="s">
        <v>265</v>
      </c>
      <c r="F8" s="78" t="s">
        <v>507</v>
      </c>
      <c r="G8" s="95">
        <f>Macro!D20*8</f>
        <v>24</v>
      </c>
      <c r="H8" s="79" t="s">
        <v>508</v>
      </c>
      <c r="J8" s="72" t="s">
        <v>266</v>
      </c>
      <c r="K8" s="75">
        <f>K7/K5</f>
        <v>3549.538575205645</v>
      </c>
      <c r="L8" s="74" t="s">
        <v>184</v>
      </c>
      <c r="M8" s="94"/>
      <c r="Q8" s="212"/>
      <c r="R8" s="340"/>
      <c r="Z8" s="94"/>
    </row>
    <row r="9" spans="1:26" x14ac:dyDescent="0.3">
      <c r="C9" s="81"/>
      <c r="D9" s="81"/>
      <c r="I9" s="91"/>
      <c r="J9" s="72" t="s">
        <v>267</v>
      </c>
      <c r="K9" s="803">
        <v>9.968</v>
      </c>
      <c r="L9" s="74" t="s">
        <v>268</v>
      </c>
      <c r="Q9" s="91"/>
      <c r="R9" s="341"/>
      <c r="T9" s="236"/>
      <c r="V9" s="91"/>
    </row>
    <row r="10" spans="1:26" x14ac:dyDescent="0.3">
      <c r="C10" s="81"/>
      <c r="D10" s="81"/>
      <c r="I10" s="91"/>
      <c r="J10" s="72" t="s">
        <v>632</v>
      </c>
      <c r="K10" s="803">
        <v>1.429</v>
      </c>
      <c r="L10" s="74" t="s">
        <v>270</v>
      </c>
      <c r="Q10" s="91"/>
      <c r="R10" s="341"/>
      <c r="T10" s="236"/>
      <c r="V10" s="91"/>
    </row>
    <row r="11" spans="1:26" x14ac:dyDescent="0.3">
      <c r="C11" s="81"/>
      <c r="D11" s="81"/>
      <c r="I11" s="91"/>
      <c r="J11" s="82"/>
      <c r="K11" s="83"/>
      <c r="L11" s="84"/>
      <c r="Q11" s="91"/>
      <c r="R11" s="341"/>
      <c r="T11" s="236"/>
      <c r="V11" s="91"/>
    </row>
    <row r="12" spans="1:26" x14ac:dyDescent="0.3">
      <c r="C12" s="81"/>
      <c r="D12" s="81"/>
      <c r="I12" s="91"/>
      <c r="J12" s="88" t="s">
        <v>271</v>
      </c>
      <c r="K12" s="89" t="s">
        <v>509</v>
      </c>
      <c r="L12" s="90" t="s">
        <v>633</v>
      </c>
      <c r="Q12" s="91"/>
      <c r="R12" s="341"/>
      <c r="T12" s="236"/>
      <c r="V12" s="91"/>
    </row>
    <row r="13" spans="1:26" ht="14.55" customHeight="1" x14ac:dyDescent="0.3">
      <c r="C13" s="81"/>
      <c r="D13" s="81"/>
      <c r="I13" s="91"/>
      <c r="J13" s="329" t="s">
        <v>532</v>
      </c>
      <c r="K13" s="806">
        <v>61</v>
      </c>
      <c r="L13" s="74" t="s">
        <v>274</v>
      </c>
      <c r="N13" s="70" t="s">
        <v>272</v>
      </c>
      <c r="Q13" s="91"/>
      <c r="R13" s="341"/>
      <c r="T13" s="236"/>
      <c r="V13" s="91"/>
    </row>
    <row r="14" spans="1:26" x14ac:dyDescent="0.3">
      <c r="C14" s="81"/>
      <c r="D14" s="81"/>
      <c r="I14" s="91"/>
      <c r="J14" s="72" t="s">
        <v>275</v>
      </c>
      <c r="K14" s="806">
        <v>25.7</v>
      </c>
      <c r="L14" s="74" t="s">
        <v>274</v>
      </c>
      <c r="Q14" s="91"/>
      <c r="R14" s="341"/>
      <c r="T14" s="236"/>
      <c r="V14" s="91"/>
    </row>
    <row r="15" spans="1:26" x14ac:dyDescent="0.3">
      <c r="C15" s="81"/>
      <c r="D15" s="81"/>
      <c r="I15" s="91"/>
      <c r="J15" s="72" t="s">
        <v>276</v>
      </c>
      <c r="K15" s="806">
        <v>13.3</v>
      </c>
      <c r="L15" s="74" t="s">
        <v>274</v>
      </c>
      <c r="Q15" s="91"/>
      <c r="R15" s="341"/>
      <c r="T15" s="236"/>
      <c r="V15" s="91"/>
    </row>
    <row r="16" spans="1:26" x14ac:dyDescent="0.3">
      <c r="C16" s="81"/>
      <c r="D16" s="81"/>
      <c r="I16" s="91"/>
      <c r="J16" s="72" t="s">
        <v>69</v>
      </c>
      <c r="K16" s="806">
        <v>422</v>
      </c>
      <c r="L16" s="74" t="s">
        <v>277</v>
      </c>
      <c r="Q16" s="91"/>
      <c r="R16" s="341"/>
      <c r="T16" s="236"/>
      <c r="V16" s="91"/>
    </row>
    <row r="17" spans="1:22" x14ac:dyDescent="0.3">
      <c r="C17" s="81"/>
      <c r="D17" s="81"/>
      <c r="I17" s="91"/>
      <c r="J17" s="72" t="s">
        <v>634</v>
      </c>
      <c r="K17" s="806">
        <v>410</v>
      </c>
      <c r="L17" s="74" t="s">
        <v>277</v>
      </c>
      <c r="Q17" s="91"/>
      <c r="R17" s="341"/>
      <c r="T17" s="236"/>
      <c r="V17" s="91"/>
    </row>
    <row r="18" spans="1:22" x14ac:dyDescent="0.3">
      <c r="C18" s="81"/>
      <c r="D18" s="81"/>
      <c r="I18" s="91"/>
      <c r="J18" s="72" t="s">
        <v>278</v>
      </c>
      <c r="K18" s="806">
        <v>21.2</v>
      </c>
      <c r="L18" s="74" t="s">
        <v>274</v>
      </c>
      <c r="Q18" s="91"/>
      <c r="R18" s="341"/>
      <c r="T18" s="236"/>
      <c r="V18" s="91"/>
    </row>
    <row r="19" spans="1:22" x14ac:dyDescent="0.3">
      <c r="C19" s="81"/>
      <c r="D19" s="81"/>
      <c r="I19" s="91"/>
      <c r="J19" s="72" t="s">
        <v>100</v>
      </c>
      <c r="K19" s="807">
        <v>58.2</v>
      </c>
      <c r="L19" s="74" t="s">
        <v>274</v>
      </c>
      <c r="Q19" s="91"/>
      <c r="R19" s="341"/>
      <c r="T19" s="236"/>
      <c r="V19" s="91"/>
    </row>
    <row r="20" spans="1:22" ht="15" thickBot="1" x14ac:dyDescent="0.35">
      <c r="C20" s="81"/>
      <c r="D20" s="81"/>
      <c r="I20" s="91"/>
      <c r="J20" s="78" t="s">
        <v>279</v>
      </c>
      <c r="K20" s="808">
        <v>1.9</v>
      </c>
      <c r="L20" s="79" t="s">
        <v>274</v>
      </c>
      <c r="Q20" s="91"/>
      <c r="R20" s="341"/>
      <c r="T20" s="236"/>
      <c r="V20" s="91"/>
    </row>
    <row r="21" spans="1:22" x14ac:dyDescent="0.3">
      <c r="C21" s="81"/>
      <c r="D21" s="81"/>
      <c r="I21" s="91"/>
      <c r="J21" s="91"/>
      <c r="Q21" s="91"/>
      <c r="R21" s="341"/>
      <c r="T21" s="236"/>
      <c r="V21" s="91"/>
    </row>
    <row r="22" spans="1:22" x14ac:dyDescent="0.3">
      <c r="C22" s="81"/>
      <c r="D22" s="81"/>
      <c r="I22" s="91"/>
      <c r="J22" s="91"/>
      <c r="Q22" s="91"/>
      <c r="R22" s="341"/>
      <c r="T22" s="236"/>
      <c r="V22" s="91"/>
    </row>
    <row r="23" spans="1:22" x14ac:dyDescent="0.3">
      <c r="C23" s="81"/>
      <c r="D23" s="81"/>
      <c r="I23" s="91"/>
      <c r="J23" s="91"/>
      <c r="V23" s="91"/>
    </row>
    <row r="24" spans="1:22" x14ac:dyDescent="0.3">
      <c r="C24" s="219"/>
      <c r="D24" s="219"/>
      <c r="R24" s="336"/>
      <c r="V24" s="91"/>
    </row>
    <row r="25" spans="1:22" x14ac:dyDescent="0.3">
      <c r="A25" s="96" t="s">
        <v>280</v>
      </c>
      <c r="C25" s="220"/>
      <c r="D25" s="220"/>
    </row>
    <row r="26" spans="1:22" x14ac:dyDescent="0.3">
      <c r="A26" s="97" t="s">
        <v>281</v>
      </c>
      <c r="B26" s="98" t="s">
        <v>13</v>
      </c>
      <c r="C26" s="98" t="s">
        <v>251</v>
      </c>
      <c r="D26" s="98" t="s">
        <v>252</v>
      </c>
      <c r="E26" s="99" t="s">
        <v>282</v>
      </c>
      <c r="F26" s="99" t="s">
        <v>251</v>
      </c>
      <c r="G26" s="100" t="s">
        <v>252</v>
      </c>
      <c r="H26" s="101" t="s">
        <v>283</v>
      </c>
      <c r="I26" s="101" t="s">
        <v>251</v>
      </c>
      <c r="J26" s="101" t="s">
        <v>252</v>
      </c>
      <c r="K26" s="102" t="s">
        <v>284</v>
      </c>
      <c r="L26" s="102" t="s">
        <v>251</v>
      </c>
      <c r="M26" s="103" t="s">
        <v>252</v>
      </c>
      <c r="N26" s="97" t="s">
        <v>285</v>
      </c>
      <c r="O26" s="97" t="s">
        <v>298</v>
      </c>
      <c r="V26" s="81"/>
    </row>
    <row r="27" spans="1:22" x14ac:dyDescent="0.3">
      <c r="A27" s="106" t="s">
        <v>286</v>
      </c>
      <c r="B27" s="86"/>
      <c r="C27" s="86"/>
      <c r="D27" s="86"/>
      <c r="E27" s="86"/>
      <c r="F27" s="86"/>
      <c r="G27" s="86"/>
      <c r="H27" s="86"/>
      <c r="I27" s="86"/>
      <c r="J27" s="86"/>
      <c r="K27" s="86"/>
      <c r="L27" s="86"/>
      <c r="M27" s="107"/>
      <c r="N27" s="86"/>
      <c r="O27" s="110"/>
      <c r="P27" s="104"/>
      <c r="V27" s="91"/>
    </row>
    <row r="28" spans="1:22" x14ac:dyDescent="0.3">
      <c r="A28" s="108"/>
      <c r="B28" s="108" t="s">
        <v>1044</v>
      </c>
      <c r="C28" s="342">
        <f>C5</f>
        <v>25000</v>
      </c>
      <c r="D28" s="109" t="s">
        <v>288</v>
      </c>
      <c r="E28" s="110"/>
      <c r="F28" s="110"/>
      <c r="G28" s="110"/>
      <c r="H28" s="110"/>
      <c r="I28" s="110"/>
      <c r="J28" s="110"/>
      <c r="K28" s="110"/>
      <c r="L28" s="110"/>
      <c r="M28" s="111"/>
      <c r="N28" s="110"/>
      <c r="O28" s="110"/>
      <c r="V28" s="91"/>
    </row>
    <row r="29" spans="1:22" x14ac:dyDescent="0.3">
      <c r="A29" s="108"/>
      <c r="B29" s="108"/>
      <c r="C29" s="342"/>
      <c r="D29" s="109"/>
      <c r="E29" s="110"/>
      <c r="F29" s="110"/>
      <c r="G29" s="110"/>
      <c r="H29" s="110"/>
      <c r="I29" s="110"/>
      <c r="J29" s="110"/>
      <c r="K29" s="110" t="s">
        <v>48</v>
      </c>
      <c r="L29" s="335">
        <f>C6*C7</f>
        <v>216872.6957276079</v>
      </c>
      <c r="M29" s="221" t="s">
        <v>221</v>
      </c>
      <c r="N29" s="110"/>
      <c r="O29" s="110"/>
      <c r="V29" s="91"/>
    </row>
    <row r="30" spans="1:22" x14ac:dyDescent="0.3">
      <c r="A30" s="113"/>
      <c r="B30" s="113"/>
      <c r="C30" s="343"/>
      <c r="D30" s="114"/>
      <c r="E30" s="93"/>
      <c r="F30" s="93"/>
      <c r="G30" s="93"/>
      <c r="H30" s="93"/>
      <c r="I30" s="93"/>
      <c r="J30" s="93"/>
      <c r="K30" s="93"/>
      <c r="L30" s="344"/>
      <c r="M30" s="223"/>
      <c r="N30" s="93"/>
      <c r="O30" s="93"/>
      <c r="V30" s="217"/>
    </row>
    <row r="31" spans="1:22" x14ac:dyDescent="0.3">
      <c r="A31" s="754" t="s">
        <v>635</v>
      </c>
      <c r="B31" s="86"/>
      <c r="C31" s="345"/>
      <c r="E31" s="110"/>
      <c r="F31" s="110"/>
      <c r="G31" s="110"/>
      <c r="H31" s="110"/>
      <c r="I31" s="110"/>
      <c r="J31" s="110"/>
      <c r="K31" s="110"/>
      <c r="L31" s="279"/>
      <c r="M31" s="111"/>
      <c r="N31" s="110"/>
      <c r="O31" s="110"/>
    </row>
    <row r="32" spans="1:22" x14ac:dyDescent="0.3">
      <c r="A32" s="110"/>
      <c r="B32" s="108" t="s">
        <v>1044</v>
      </c>
      <c r="C32" s="342">
        <f>C28</f>
        <v>25000</v>
      </c>
      <c r="D32" s="109" t="s">
        <v>288</v>
      </c>
      <c r="E32" s="110"/>
      <c r="F32" s="110"/>
      <c r="G32" s="110"/>
      <c r="H32" s="110"/>
      <c r="I32" s="110"/>
      <c r="J32" s="110"/>
      <c r="K32" s="110"/>
      <c r="L32" s="279"/>
      <c r="M32" s="111"/>
      <c r="N32" s="110"/>
      <c r="O32" s="110"/>
    </row>
    <row r="33" spans="1:18" ht="28.8" x14ac:dyDescent="0.3">
      <c r="A33" s="110"/>
      <c r="B33" s="108"/>
      <c r="C33" s="109"/>
      <c r="D33" s="109"/>
      <c r="E33" s="110"/>
      <c r="F33" s="110"/>
      <c r="G33" s="110"/>
      <c r="H33" s="110"/>
      <c r="I33" s="110"/>
      <c r="J33" s="110"/>
      <c r="K33" s="110" t="s">
        <v>289</v>
      </c>
      <c r="L33" s="335">
        <f>$C$5*Battery!E34*Efficiencies!E72</f>
        <v>6253.8972023422257</v>
      </c>
      <c r="M33" s="221" t="s">
        <v>288</v>
      </c>
      <c r="N33" s="110" t="s">
        <v>636</v>
      </c>
      <c r="O33" s="110"/>
    </row>
    <row r="34" spans="1:18" ht="15" customHeight="1" x14ac:dyDescent="0.3">
      <c r="A34" s="110"/>
      <c r="B34" s="108"/>
      <c r="C34" s="110"/>
      <c r="D34" s="110"/>
      <c r="E34" s="110"/>
      <c r="F34" s="110"/>
      <c r="G34" s="110"/>
      <c r="H34" s="110"/>
      <c r="I34" s="110"/>
      <c r="J34" s="110"/>
      <c r="K34" s="110" t="s">
        <v>637</v>
      </c>
      <c r="L34" s="335">
        <f>$C$5*Battery!E35*Efficiencies!E72</f>
        <v>1567.3389720234222</v>
      </c>
      <c r="M34" s="221" t="s">
        <v>288</v>
      </c>
      <c r="N34" s="110"/>
      <c r="O34" s="110"/>
    </row>
    <row r="35" spans="1:18" x14ac:dyDescent="0.3">
      <c r="A35" s="110"/>
      <c r="B35" s="108"/>
      <c r="C35" s="110"/>
      <c r="D35" s="110"/>
      <c r="E35" s="110"/>
      <c r="F35" s="110"/>
      <c r="G35" s="110"/>
      <c r="H35" s="110"/>
      <c r="I35" s="110"/>
      <c r="J35" s="110"/>
      <c r="K35" s="110" t="s">
        <v>242</v>
      </c>
      <c r="L35" s="335">
        <f>$C$5*Battery!E36*Efficiencies!E72</f>
        <v>391.27651268705267</v>
      </c>
      <c r="M35" s="221" t="s">
        <v>288</v>
      </c>
      <c r="N35" s="110"/>
      <c r="O35" s="110"/>
    </row>
    <row r="36" spans="1:18" x14ac:dyDescent="0.3">
      <c r="A36" s="110"/>
      <c r="B36" s="108"/>
      <c r="C36" s="110"/>
      <c r="D36" s="110"/>
      <c r="E36" s="110"/>
      <c r="F36" s="110"/>
      <c r="G36" s="110"/>
      <c r="H36" s="110"/>
      <c r="I36" s="110"/>
      <c r="J36" s="110"/>
      <c r="K36" s="110" t="s">
        <v>166</v>
      </c>
      <c r="L36" s="335">
        <f>$C$5*Battery!E37*Efficiencies!E72</f>
        <v>154.58685751463889</v>
      </c>
      <c r="M36" s="221" t="s">
        <v>288</v>
      </c>
      <c r="N36" s="110" t="s">
        <v>292</v>
      </c>
      <c r="O36" s="110"/>
    </row>
    <row r="37" spans="1:18" ht="28.8" x14ac:dyDescent="0.3">
      <c r="A37" s="110"/>
      <c r="B37" s="108"/>
      <c r="C37" s="110"/>
      <c r="D37" s="110"/>
      <c r="E37" s="110"/>
      <c r="F37" s="110"/>
      <c r="G37" s="110"/>
      <c r="H37" s="110"/>
      <c r="I37" s="110"/>
      <c r="J37" s="110"/>
      <c r="K37" s="110" t="s">
        <v>243</v>
      </c>
      <c r="L37" s="335">
        <f>$C$5*Battery!E38*Efficiencies!E72</f>
        <v>0</v>
      </c>
      <c r="M37" s="221" t="s">
        <v>288</v>
      </c>
      <c r="N37" s="110" t="s">
        <v>293</v>
      </c>
      <c r="O37" s="110"/>
    </row>
    <row r="38" spans="1:18" s="104" customFormat="1" x14ac:dyDescent="0.3">
      <c r="A38" s="110"/>
      <c r="B38" s="108"/>
      <c r="C38" s="110"/>
      <c r="D38" s="110"/>
      <c r="E38" s="110"/>
      <c r="F38" s="110"/>
      <c r="G38" s="110"/>
      <c r="H38" s="110"/>
      <c r="I38" s="110"/>
      <c r="J38" s="110"/>
      <c r="K38" s="110" t="s">
        <v>168</v>
      </c>
      <c r="L38" s="335">
        <f>$C$5*Battery!E39*Efficiencies!E72</f>
        <v>0</v>
      </c>
      <c r="M38" s="221" t="s">
        <v>288</v>
      </c>
      <c r="N38" s="110" t="s">
        <v>294</v>
      </c>
      <c r="O38" s="110"/>
      <c r="P38" s="70"/>
      <c r="Q38" s="105"/>
    </row>
    <row r="39" spans="1:18" ht="29.4" thickBot="1" x14ac:dyDescent="0.35">
      <c r="A39" s="110"/>
      <c r="B39" s="108"/>
      <c r="C39" s="110"/>
      <c r="D39" s="110"/>
      <c r="E39" s="110"/>
      <c r="F39" s="110"/>
      <c r="G39" s="110"/>
      <c r="H39" s="110"/>
      <c r="I39" s="110"/>
      <c r="J39" s="110"/>
      <c r="K39" s="110" t="s">
        <v>295</v>
      </c>
      <c r="L39" s="335">
        <f>$C$5*Battery!E40*Efficiencies!E72</f>
        <v>1.7176317501626546</v>
      </c>
      <c r="M39" s="221" t="s">
        <v>288</v>
      </c>
      <c r="N39" s="110" t="s">
        <v>638</v>
      </c>
      <c r="O39" s="110"/>
    </row>
    <row r="40" spans="1:18" x14ac:dyDescent="0.3">
      <c r="A40" s="110"/>
      <c r="B40" s="108"/>
      <c r="C40" s="110"/>
      <c r="D40" s="110"/>
      <c r="E40" s="110"/>
      <c r="F40" s="110"/>
      <c r="G40" s="110"/>
      <c r="H40" s="110"/>
      <c r="I40" s="110"/>
      <c r="J40" s="110"/>
      <c r="K40" s="692" t="s">
        <v>639</v>
      </c>
      <c r="L40" s="693">
        <f>$C$5*Battery!E25*Efficiencies!E72</f>
        <v>517.00715679895893</v>
      </c>
      <c r="M40" s="694" t="s">
        <v>288</v>
      </c>
      <c r="N40" s="692" t="s">
        <v>640</v>
      </c>
      <c r="O40" s="692"/>
    </row>
    <row r="41" spans="1:18" x14ac:dyDescent="0.3">
      <c r="A41" s="110"/>
      <c r="B41" s="108"/>
      <c r="C41" s="110"/>
      <c r="D41" s="110"/>
      <c r="E41" s="110"/>
      <c r="F41" s="110"/>
      <c r="G41" s="110"/>
      <c r="H41" s="110"/>
      <c r="I41" s="110"/>
      <c r="J41" s="110"/>
      <c r="K41" s="110" t="s">
        <v>637</v>
      </c>
      <c r="L41" s="335">
        <f>$C$5*Battery!E26*Efficiencies!E72</f>
        <v>723.98178269355878</v>
      </c>
      <c r="M41" s="221" t="s">
        <v>288</v>
      </c>
      <c r="N41" s="110"/>
      <c r="O41" s="110"/>
    </row>
    <row r="42" spans="1:18" x14ac:dyDescent="0.3">
      <c r="A42" s="110"/>
      <c r="B42" s="108"/>
      <c r="C42" s="110"/>
      <c r="D42" s="110"/>
      <c r="E42" s="110"/>
      <c r="F42" s="110"/>
      <c r="G42" s="110"/>
      <c r="H42" s="110"/>
      <c r="I42" s="110"/>
      <c r="J42" s="110"/>
      <c r="K42" s="110" t="s">
        <v>168</v>
      </c>
      <c r="L42" s="335">
        <f>$C$5*Battery!E27*Efficiencies!E72</f>
        <v>102.28497072218607</v>
      </c>
      <c r="M42" s="221" t="s">
        <v>288</v>
      </c>
      <c r="N42" s="110"/>
      <c r="O42" s="110"/>
    </row>
    <row r="43" spans="1:18" x14ac:dyDescent="0.3">
      <c r="A43" s="93"/>
      <c r="B43" s="113"/>
      <c r="C43" s="93"/>
      <c r="D43" s="93"/>
      <c r="E43" s="93"/>
      <c r="F43" s="93"/>
      <c r="G43" s="93"/>
      <c r="H43" s="93"/>
      <c r="I43" s="93"/>
      <c r="J43" s="93"/>
      <c r="K43" s="93" t="s">
        <v>166</v>
      </c>
      <c r="L43" s="344">
        <f>$C$5*Battery!E28*Efficiencies!E72</f>
        <v>39.50553025374105</v>
      </c>
      <c r="M43" s="223" t="s">
        <v>288</v>
      </c>
      <c r="N43" s="93"/>
      <c r="O43" s="93"/>
    </row>
    <row r="44" spans="1:18" x14ac:dyDescent="0.3">
      <c r="L44" s="346"/>
    </row>
    <row r="45" spans="1:18" x14ac:dyDescent="0.3">
      <c r="A45" s="779" t="s">
        <v>641</v>
      </c>
      <c r="L45" s="346"/>
    </row>
    <row r="46" spans="1:18" ht="18" customHeight="1" x14ac:dyDescent="0.3">
      <c r="A46" s="224" t="s">
        <v>281</v>
      </c>
      <c r="B46" s="98" t="s">
        <v>13</v>
      </c>
      <c r="C46" s="98" t="s">
        <v>251</v>
      </c>
      <c r="D46" s="98" t="s">
        <v>252</v>
      </c>
      <c r="E46" s="99" t="s">
        <v>282</v>
      </c>
      <c r="F46" s="99" t="s">
        <v>251</v>
      </c>
      <c r="G46" s="100" t="s">
        <v>252</v>
      </c>
      <c r="H46" s="101" t="s">
        <v>283</v>
      </c>
      <c r="I46" s="101" t="s">
        <v>251</v>
      </c>
      <c r="J46" s="101" t="s">
        <v>252</v>
      </c>
      <c r="K46" s="102" t="s">
        <v>284</v>
      </c>
      <c r="L46" s="347" t="s">
        <v>509</v>
      </c>
      <c r="M46" s="103" t="s">
        <v>633</v>
      </c>
      <c r="N46" s="97" t="s">
        <v>285</v>
      </c>
      <c r="O46" s="97" t="s">
        <v>298</v>
      </c>
      <c r="Q46" s="91"/>
    </row>
    <row r="47" spans="1:18" x14ac:dyDescent="0.3">
      <c r="A47" s="106" t="s">
        <v>183</v>
      </c>
      <c r="B47" s="86"/>
      <c r="C47" s="345"/>
      <c r="D47" s="86"/>
      <c r="E47" s="86"/>
      <c r="F47" s="225"/>
      <c r="G47" s="225"/>
      <c r="H47" s="86"/>
      <c r="I47" s="86"/>
      <c r="J47" s="86"/>
      <c r="K47" s="86"/>
      <c r="L47" s="345"/>
      <c r="M47" s="107"/>
      <c r="N47" s="86" t="s">
        <v>642</v>
      </c>
      <c r="O47" s="110"/>
      <c r="Q47" s="91"/>
      <c r="R47" s="348"/>
    </row>
    <row r="48" spans="1:18" x14ac:dyDescent="0.3">
      <c r="A48" s="108"/>
      <c r="B48" s="110" t="s">
        <v>643</v>
      </c>
      <c r="C48" s="279">
        <f>C5-SUM(L33:L43)</f>
        <v>15248.40338321405</v>
      </c>
      <c r="D48" s="110" t="s">
        <v>288</v>
      </c>
      <c r="E48" s="110"/>
      <c r="F48" s="109"/>
      <c r="G48" s="109"/>
      <c r="H48" s="110"/>
      <c r="I48" s="110"/>
      <c r="J48" s="110"/>
      <c r="K48" s="110"/>
      <c r="L48" s="279"/>
      <c r="M48" s="111"/>
      <c r="N48" s="110"/>
      <c r="O48" s="110"/>
      <c r="Q48" s="91"/>
      <c r="R48" s="348"/>
    </row>
    <row r="49" spans="1:18" x14ac:dyDescent="0.3">
      <c r="A49" s="108"/>
      <c r="B49" s="110"/>
      <c r="C49" s="279"/>
      <c r="D49" s="110"/>
      <c r="F49" s="109"/>
      <c r="G49" s="109"/>
      <c r="H49" s="110" t="s">
        <v>48</v>
      </c>
      <c r="I49" s="349">
        <f>Energy!P91</f>
        <v>1356456.5097928573</v>
      </c>
      <c r="J49" s="110" t="s">
        <v>221</v>
      </c>
      <c r="K49" s="110"/>
      <c r="L49" s="279"/>
      <c r="M49" s="111"/>
      <c r="N49" s="110"/>
      <c r="O49" s="110"/>
      <c r="Q49" s="91"/>
      <c r="R49" s="350"/>
    </row>
    <row r="50" spans="1:18" x14ac:dyDescent="0.3">
      <c r="A50" s="108"/>
      <c r="B50" s="110"/>
      <c r="C50" s="279"/>
      <c r="D50" s="110"/>
      <c r="F50" s="109"/>
      <c r="G50" s="109"/>
      <c r="H50" s="110"/>
      <c r="I50" s="110"/>
      <c r="J50" s="110"/>
      <c r="K50" s="110" t="s">
        <v>643</v>
      </c>
      <c r="L50" s="351">
        <f>C48-L51</f>
        <v>9967.1176577748829</v>
      </c>
      <c r="M50" s="111" t="s">
        <v>288</v>
      </c>
      <c r="N50" s="110"/>
      <c r="O50" s="110"/>
    </row>
    <row r="51" spans="1:18" x14ac:dyDescent="0.3">
      <c r="A51" s="108"/>
      <c r="B51" s="110"/>
      <c r="C51" s="279"/>
      <c r="D51" s="110"/>
      <c r="F51" s="109"/>
      <c r="G51" s="109"/>
      <c r="H51" s="110"/>
      <c r="I51" s="110"/>
      <c r="J51" s="110"/>
      <c r="K51" s="110" t="s">
        <v>517</v>
      </c>
      <c r="L51" s="351">
        <f>C5*Battery!E19+C5*Battery!E18+C5*Battery!E21</f>
        <v>5281.2857254391674</v>
      </c>
      <c r="M51" s="111" t="s">
        <v>288</v>
      </c>
      <c r="N51" s="110"/>
      <c r="O51" s="110"/>
    </row>
    <row r="52" spans="1:18" x14ac:dyDescent="0.3">
      <c r="A52" s="113"/>
      <c r="B52" s="93"/>
      <c r="C52" s="352"/>
      <c r="D52" s="93"/>
      <c r="E52" s="226"/>
      <c r="F52" s="222"/>
      <c r="G52" s="222"/>
      <c r="H52" s="93"/>
      <c r="I52" s="93"/>
      <c r="J52" s="93"/>
      <c r="K52" s="93"/>
      <c r="L52" s="352"/>
      <c r="M52" s="227"/>
      <c r="N52" s="93"/>
      <c r="O52" s="93"/>
    </row>
    <row r="53" spans="1:18" x14ac:dyDescent="0.3">
      <c r="A53" s="86" t="s">
        <v>185</v>
      </c>
      <c r="B53" s="86"/>
      <c r="C53" s="345"/>
      <c r="D53" s="86"/>
      <c r="E53" s="625"/>
      <c r="F53" s="225"/>
      <c r="G53" s="225"/>
      <c r="H53" s="86"/>
      <c r="I53" s="86"/>
      <c r="J53" s="86"/>
      <c r="K53" s="86"/>
      <c r="L53" s="345"/>
      <c r="M53" s="107"/>
      <c r="N53" s="86"/>
      <c r="O53" s="86"/>
    </row>
    <row r="54" spans="1:18" ht="28.8" x14ac:dyDescent="0.3">
      <c r="A54" s="110"/>
      <c r="B54" s="110" t="s">
        <v>517</v>
      </c>
      <c r="C54" s="279">
        <f>(L51)/O54</f>
        <v>2667316.0229490744</v>
      </c>
      <c r="D54" s="110" t="s">
        <v>301</v>
      </c>
      <c r="F54" s="117"/>
      <c r="G54" s="117"/>
      <c r="H54" s="110"/>
      <c r="I54" s="110"/>
      <c r="J54" s="110"/>
      <c r="K54" s="110"/>
      <c r="L54" s="279"/>
      <c r="M54" s="111"/>
      <c r="N54" s="110" t="s">
        <v>644</v>
      </c>
      <c r="O54" s="831">
        <v>1.98E-3</v>
      </c>
    </row>
    <row r="55" spans="1:18" x14ac:dyDescent="0.3">
      <c r="A55" s="110"/>
      <c r="B55" s="110"/>
      <c r="C55" s="279"/>
      <c r="D55" s="110"/>
      <c r="F55" s="117"/>
      <c r="G55" s="117"/>
      <c r="H55" s="110" t="s">
        <v>48</v>
      </c>
      <c r="I55" s="342">
        <f>Energy!P92</f>
        <v>144581.7971517386</v>
      </c>
      <c r="J55" s="110" t="s">
        <v>221</v>
      </c>
      <c r="K55" s="110"/>
      <c r="L55" s="279"/>
      <c r="M55" s="111"/>
      <c r="N55" s="110"/>
      <c r="O55" s="110"/>
    </row>
    <row r="56" spans="1:18" x14ac:dyDescent="0.3">
      <c r="A56" s="110"/>
      <c r="B56" s="110"/>
      <c r="C56" s="279"/>
      <c r="D56" s="110"/>
      <c r="F56" s="117"/>
      <c r="G56" s="117"/>
      <c r="H56" s="110"/>
      <c r="I56" s="110"/>
      <c r="J56" s="110"/>
      <c r="K56" s="110" t="s">
        <v>517</v>
      </c>
      <c r="L56" s="279">
        <f>C54</f>
        <v>2667316.0229490744</v>
      </c>
      <c r="M56" s="111" t="s">
        <v>301</v>
      </c>
      <c r="N56" s="110"/>
      <c r="O56" s="110"/>
    </row>
    <row r="57" spans="1:18" x14ac:dyDescent="0.3">
      <c r="A57" s="93"/>
      <c r="B57" s="93"/>
      <c r="C57" s="352"/>
      <c r="D57" s="93"/>
      <c r="E57" s="226"/>
      <c r="F57" s="222"/>
      <c r="G57" s="222"/>
      <c r="H57" s="93"/>
      <c r="I57" s="93"/>
      <c r="J57" s="93"/>
      <c r="K57" s="93"/>
      <c r="L57" s="352"/>
      <c r="M57" s="227"/>
      <c r="N57" s="93"/>
      <c r="O57" s="93"/>
    </row>
    <row r="58" spans="1:18" x14ac:dyDescent="0.3">
      <c r="L58" s="346"/>
    </row>
    <row r="59" spans="1:18" x14ac:dyDescent="0.3">
      <c r="A59" s="779" t="s">
        <v>645</v>
      </c>
      <c r="L59" s="346"/>
    </row>
    <row r="60" spans="1:18" x14ac:dyDescent="0.3">
      <c r="A60" s="86" t="s">
        <v>187</v>
      </c>
      <c r="B60" s="86"/>
      <c r="C60" s="86"/>
      <c r="D60" s="116"/>
      <c r="E60" s="86"/>
      <c r="F60" s="86"/>
      <c r="G60" s="86"/>
      <c r="H60" s="86"/>
      <c r="I60" s="86"/>
      <c r="J60" s="86"/>
      <c r="K60" s="86"/>
      <c r="L60" s="345"/>
      <c r="M60" s="107"/>
      <c r="N60" s="86"/>
      <c r="O60" s="86"/>
    </row>
    <row r="61" spans="1:18" x14ac:dyDescent="0.3">
      <c r="A61" s="110"/>
      <c r="B61" s="110" t="s">
        <v>643</v>
      </c>
      <c r="C61" s="342">
        <f>L50</f>
        <v>9967.1176577748829</v>
      </c>
      <c r="D61" s="109" t="s">
        <v>288</v>
      </c>
      <c r="E61" s="110"/>
      <c r="F61" s="110"/>
      <c r="G61" s="110"/>
      <c r="H61" s="110"/>
      <c r="I61" s="110"/>
      <c r="J61" s="110"/>
      <c r="K61" s="110"/>
      <c r="L61" s="279"/>
      <c r="M61" s="111"/>
      <c r="N61" s="110"/>
      <c r="O61" s="110"/>
    </row>
    <row r="62" spans="1:18" x14ac:dyDescent="0.3">
      <c r="A62" s="110"/>
      <c r="B62" s="110"/>
      <c r="C62" s="279"/>
      <c r="D62" s="110"/>
      <c r="E62" s="110"/>
      <c r="F62" s="108"/>
      <c r="H62" s="110" t="s">
        <v>48</v>
      </c>
      <c r="I62" s="349">
        <f>Energy!P93</f>
        <v>9635.089046624973</v>
      </c>
      <c r="J62" s="110" t="s">
        <v>221</v>
      </c>
      <c r="K62" s="110"/>
      <c r="L62" s="279"/>
      <c r="M62" s="111"/>
      <c r="N62" s="110"/>
      <c r="O62" s="108"/>
    </row>
    <row r="63" spans="1:18" x14ac:dyDescent="0.3">
      <c r="A63" s="110"/>
      <c r="B63" s="110"/>
      <c r="C63" s="279"/>
      <c r="D63" s="110"/>
      <c r="E63" s="110"/>
      <c r="F63" s="109"/>
      <c r="G63" s="117"/>
      <c r="H63" s="110"/>
      <c r="I63" s="110"/>
      <c r="J63" s="110"/>
      <c r="K63" s="110" t="s">
        <v>514</v>
      </c>
      <c r="L63" s="279">
        <f>C61</f>
        <v>9967.1176577748829</v>
      </c>
      <c r="M63" s="111" t="s">
        <v>288</v>
      </c>
      <c r="N63" s="110"/>
      <c r="O63" s="110"/>
    </row>
    <row r="64" spans="1:18" x14ac:dyDescent="0.3">
      <c r="A64" s="93"/>
      <c r="B64" s="93"/>
      <c r="C64" s="352"/>
      <c r="D64" s="93"/>
      <c r="E64" s="93"/>
      <c r="F64" s="222"/>
      <c r="G64" s="222"/>
      <c r="H64" s="93"/>
      <c r="I64" s="93"/>
      <c r="J64" s="93"/>
      <c r="K64" s="93"/>
      <c r="L64" s="352"/>
      <c r="M64" s="227"/>
      <c r="N64" s="93"/>
      <c r="O64" s="93"/>
    </row>
    <row r="65" spans="1:17" x14ac:dyDescent="0.3">
      <c r="A65" s="108" t="s">
        <v>178</v>
      </c>
      <c r="B65" s="110"/>
      <c r="C65" s="279"/>
      <c r="D65" s="110"/>
      <c r="F65" s="117"/>
      <c r="G65" s="117"/>
      <c r="H65" s="110"/>
      <c r="I65" s="110"/>
      <c r="J65" s="110"/>
      <c r="K65" s="110"/>
      <c r="L65" s="279"/>
      <c r="M65" s="111"/>
      <c r="N65" s="110"/>
      <c r="O65" s="110"/>
    </row>
    <row r="66" spans="1:17" x14ac:dyDescent="0.3">
      <c r="A66" s="108"/>
      <c r="B66" s="110" t="s">
        <v>514</v>
      </c>
      <c r="C66" s="279">
        <f>L50</f>
        <v>9967.1176577748829</v>
      </c>
      <c r="D66" s="110" t="s">
        <v>288</v>
      </c>
      <c r="F66" s="117"/>
      <c r="G66" s="117"/>
      <c r="H66" s="110"/>
      <c r="I66" s="110"/>
      <c r="J66" s="110"/>
      <c r="K66" s="110"/>
      <c r="L66" s="279"/>
      <c r="M66" s="111"/>
      <c r="N66" s="110"/>
      <c r="O66" s="110"/>
    </row>
    <row r="67" spans="1:17" x14ac:dyDescent="0.3">
      <c r="A67" s="108"/>
      <c r="B67" s="110"/>
      <c r="C67" s="279"/>
      <c r="D67" s="110"/>
      <c r="F67" s="117"/>
      <c r="G67" s="117"/>
      <c r="H67" s="110" t="s">
        <v>48</v>
      </c>
      <c r="I67" s="349">
        <f>Energy!P94</f>
        <v>0</v>
      </c>
      <c r="J67" s="110" t="s">
        <v>221</v>
      </c>
      <c r="K67" s="110"/>
      <c r="L67" s="279"/>
      <c r="M67" s="111"/>
      <c r="N67" s="110"/>
      <c r="O67" s="110"/>
    </row>
    <row r="68" spans="1:17" x14ac:dyDescent="0.3">
      <c r="A68" s="108"/>
      <c r="B68" s="110"/>
      <c r="C68" s="279"/>
      <c r="D68" s="110"/>
      <c r="F68" s="117"/>
      <c r="G68" s="117"/>
      <c r="H68" s="110"/>
      <c r="I68" s="110"/>
      <c r="J68" s="110"/>
      <c r="K68" s="110" t="s">
        <v>646</v>
      </c>
      <c r="L68" s="118">
        <f>C5*Battery!E20*(1-O7)*Efficiencies!E74</f>
        <v>0</v>
      </c>
      <c r="M68" s="111" t="s">
        <v>288</v>
      </c>
      <c r="N68" s="110"/>
      <c r="O68" s="110"/>
    </row>
    <row r="69" spans="1:17" x14ac:dyDescent="0.3">
      <c r="A69" s="108"/>
      <c r="B69" s="110"/>
      <c r="C69" s="279"/>
      <c r="D69" s="110"/>
      <c r="F69" s="117"/>
      <c r="G69" s="117"/>
      <c r="H69" s="110"/>
      <c r="I69" s="110"/>
      <c r="J69" s="110"/>
      <c r="K69" s="110" t="s">
        <v>514</v>
      </c>
      <c r="L69" s="353">
        <f>C66-L68</f>
        <v>9967.1176577748829</v>
      </c>
      <c r="M69" s="111" t="s">
        <v>288</v>
      </c>
      <c r="N69" s="110"/>
      <c r="O69" s="110"/>
    </row>
    <row r="70" spans="1:17" x14ac:dyDescent="0.3">
      <c r="A70" s="113"/>
      <c r="B70" s="93"/>
      <c r="C70" s="352"/>
      <c r="D70" s="93"/>
      <c r="E70" s="93"/>
      <c r="F70" s="228"/>
      <c r="G70" s="228"/>
      <c r="H70" s="93"/>
      <c r="I70" s="93"/>
      <c r="J70" s="93"/>
      <c r="K70" s="93"/>
      <c r="L70" s="354"/>
      <c r="M70" s="229"/>
      <c r="N70" s="93"/>
      <c r="O70" s="93"/>
    </row>
    <row r="71" spans="1:17" x14ac:dyDescent="0.3">
      <c r="A71" s="108" t="s">
        <v>1015</v>
      </c>
      <c r="B71" s="110"/>
      <c r="C71" s="279"/>
      <c r="D71" s="110"/>
      <c r="E71" s="110"/>
      <c r="F71" s="110"/>
      <c r="G71" s="110"/>
      <c r="H71" s="110"/>
      <c r="I71" s="110"/>
      <c r="J71" s="110"/>
      <c r="K71" s="110"/>
      <c r="L71" s="279"/>
      <c r="N71" s="110"/>
      <c r="O71" s="110"/>
    </row>
    <row r="72" spans="1:17" x14ac:dyDescent="0.3">
      <c r="B72" s="110" t="s">
        <v>514</v>
      </c>
      <c r="C72" s="279">
        <f>L69</f>
        <v>9967.1176577748829</v>
      </c>
      <c r="D72" s="110" t="s">
        <v>288</v>
      </c>
      <c r="E72" s="110"/>
      <c r="F72" s="110"/>
      <c r="G72" s="110"/>
      <c r="H72" s="110"/>
      <c r="I72" s="110"/>
      <c r="J72" s="110"/>
      <c r="K72" s="110"/>
      <c r="L72" s="279"/>
      <c r="N72" s="110"/>
      <c r="O72" s="110"/>
    </row>
    <row r="73" spans="1:17" x14ac:dyDescent="0.3">
      <c r="B73" s="110"/>
      <c r="C73" s="279"/>
      <c r="D73" s="110"/>
      <c r="E73" s="110"/>
      <c r="F73" s="110"/>
      <c r="G73" s="110"/>
      <c r="H73" s="110" t="s">
        <v>48</v>
      </c>
      <c r="I73" s="349">
        <f>Energy!P95</f>
        <v>48175.445233124869</v>
      </c>
      <c r="J73" s="110" t="s">
        <v>221</v>
      </c>
      <c r="K73" s="110"/>
      <c r="L73" s="279"/>
      <c r="N73" s="110"/>
      <c r="O73" s="110"/>
    </row>
    <row r="74" spans="1:17" ht="43.2" x14ac:dyDescent="0.3">
      <c r="B74" s="110"/>
      <c r="C74" s="279"/>
      <c r="D74" s="110"/>
      <c r="E74" s="110"/>
      <c r="F74" s="110"/>
      <c r="G74" s="110"/>
      <c r="H74" s="110"/>
      <c r="I74" s="110"/>
      <c r="J74" s="110"/>
      <c r="K74" s="110" t="s">
        <v>532</v>
      </c>
      <c r="L74" s="351">
        <f>C5*(Battery!E10*Efficiencies!E77+Battery!E11*Efficiencies!E76+Battery!E12*Efficiencies!E75+Battery!E13*Efficiencies!E75+Battery!E16*Efficiencies!E78+O5*Battery!E15+O6*Battery!E9+O7*Battery!E20)</f>
        <v>6495.65559262633</v>
      </c>
      <c r="M74" s="231" t="s">
        <v>288</v>
      </c>
      <c r="N74" s="110" t="s">
        <v>533</v>
      </c>
      <c r="O74" s="110"/>
      <c r="Q74" s="348"/>
    </row>
    <row r="75" spans="1:17" ht="28.8" x14ac:dyDescent="0.3">
      <c r="B75" s="110"/>
      <c r="C75" s="279"/>
      <c r="D75" s="110"/>
      <c r="E75" s="110"/>
      <c r="F75" s="110"/>
      <c r="G75" s="110"/>
      <c r="H75" s="110"/>
      <c r="I75" s="110"/>
      <c r="J75" s="110"/>
      <c r="K75" s="110" t="s">
        <v>1133</v>
      </c>
      <c r="L75" s="279">
        <f>C72-L74</f>
        <v>3471.4620651485529</v>
      </c>
      <c r="M75" s="212" t="s">
        <v>288</v>
      </c>
      <c r="N75" s="110" t="s">
        <v>535</v>
      </c>
      <c r="O75" s="110"/>
    </row>
    <row r="76" spans="1:17" x14ac:dyDescent="0.3">
      <c r="A76" s="226"/>
      <c r="B76" s="93"/>
      <c r="C76" s="352"/>
      <c r="D76" s="93"/>
      <c r="E76" s="93"/>
      <c r="F76" s="93"/>
      <c r="G76" s="93"/>
      <c r="H76" s="93"/>
      <c r="I76" s="93"/>
      <c r="J76" s="93"/>
      <c r="K76" s="93"/>
      <c r="L76" s="352"/>
      <c r="M76" s="234"/>
      <c r="N76" s="93"/>
      <c r="O76" s="93"/>
    </row>
    <row r="77" spans="1:17" x14ac:dyDescent="0.3">
      <c r="A77" s="70" t="s">
        <v>188</v>
      </c>
      <c r="B77" s="110"/>
      <c r="C77" s="279"/>
      <c r="D77" s="110"/>
      <c r="E77" s="110"/>
      <c r="F77" s="110"/>
      <c r="G77" s="110"/>
      <c r="H77" s="110"/>
      <c r="I77" s="110"/>
      <c r="J77" s="110"/>
      <c r="K77" s="110"/>
      <c r="L77" s="279"/>
      <c r="N77" s="110"/>
      <c r="O77" s="110"/>
    </row>
    <row r="78" spans="1:17" x14ac:dyDescent="0.3">
      <c r="B78" s="110" t="s">
        <v>534</v>
      </c>
      <c r="C78" s="279">
        <f>L75</f>
        <v>3471.4620651485529</v>
      </c>
      <c r="D78" s="110" t="s">
        <v>288</v>
      </c>
      <c r="E78" s="110"/>
      <c r="F78" s="110"/>
      <c r="G78" s="110"/>
      <c r="H78" s="110"/>
      <c r="I78" s="110"/>
      <c r="J78" s="110"/>
      <c r="K78" s="110"/>
      <c r="L78" s="279"/>
      <c r="N78" s="110"/>
      <c r="O78" s="110"/>
    </row>
    <row r="79" spans="1:17" x14ac:dyDescent="0.3">
      <c r="A79" s="108"/>
      <c r="B79" s="110"/>
      <c r="C79" s="279"/>
      <c r="D79" s="110"/>
      <c r="E79" s="110"/>
      <c r="F79" s="110"/>
      <c r="G79" s="110"/>
      <c r="H79" s="110" t="s">
        <v>48</v>
      </c>
      <c r="I79" s="349">
        <f>Energy!P96</f>
        <v>1035.9767586945518</v>
      </c>
      <c r="J79" s="110" t="s">
        <v>221</v>
      </c>
      <c r="K79" s="110"/>
      <c r="L79" s="346"/>
      <c r="M79" s="231"/>
      <c r="N79" s="110"/>
      <c r="O79" s="110"/>
    </row>
    <row r="80" spans="1:17" x14ac:dyDescent="0.3">
      <c r="A80" s="108"/>
      <c r="B80" s="110"/>
      <c r="C80" s="110"/>
      <c r="D80" s="110"/>
      <c r="E80" s="110"/>
      <c r="F80" s="110"/>
      <c r="G80" s="110"/>
      <c r="H80" s="110"/>
      <c r="I80" s="110"/>
      <c r="J80" s="110"/>
      <c r="K80" s="110" t="s">
        <v>379</v>
      </c>
      <c r="L80" s="351">
        <f>C5*Battery!E9*(1-O6)*Efficiencies!E84</f>
        <v>643.11567989590117</v>
      </c>
      <c r="M80" s="231" t="s">
        <v>288</v>
      </c>
      <c r="N80" s="110" t="s">
        <v>523</v>
      </c>
      <c r="O80" s="110"/>
    </row>
    <row r="81" spans="1:16" x14ac:dyDescent="0.3">
      <c r="A81" s="108"/>
      <c r="B81" s="110"/>
      <c r="C81" s="110"/>
      <c r="D81" s="110"/>
      <c r="E81" s="110"/>
      <c r="F81" s="110"/>
      <c r="G81" s="110"/>
      <c r="H81" s="110"/>
      <c r="I81" s="110"/>
      <c r="J81" s="110"/>
      <c r="K81" s="110" t="s">
        <v>234</v>
      </c>
      <c r="L81" s="351">
        <f>C5*Battery!E15*(1-O5)*Efficiencies!E83</f>
        <v>1676.8153233571895</v>
      </c>
      <c r="M81" s="231" t="s">
        <v>288</v>
      </c>
      <c r="N81" s="110" t="s">
        <v>523</v>
      </c>
      <c r="O81" s="110"/>
      <c r="P81" s="696"/>
    </row>
    <row r="82" spans="1:16" ht="43.2" x14ac:dyDescent="0.3">
      <c r="A82" s="108"/>
      <c r="B82" s="110"/>
      <c r="C82" s="110"/>
      <c r="D82" s="110"/>
      <c r="E82" s="110"/>
      <c r="F82" s="110"/>
      <c r="G82" s="110"/>
      <c r="H82" s="110"/>
      <c r="I82" s="110"/>
      <c r="J82" s="110"/>
      <c r="K82" s="110" t="s">
        <v>1132</v>
      </c>
      <c r="L82" s="351">
        <f>C78-L80-L81</f>
        <v>1151.5310618954625</v>
      </c>
      <c r="M82" s="231" t="s">
        <v>288</v>
      </c>
      <c r="N82" s="110" t="s">
        <v>1131</v>
      </c>
      <c r="O82" s="110"/>
    </row>
    <row r="83" spans="1:16" x14ac:dyDescent="0.3">
      <c r="A83" s="113"/>
      <c r="B83" s="93"/>
      <c r="C83" s="93"/>
      <c r="D83" s="93"/>
      <c r="E83" s="93"/>
      <c r="F83" s="93"/>
      <c r="G83" s="93"/>
      <c r="H83" s="93"/>
      <c r="I83" s="93"/>
      <c r="J83" s="93"/>
      <c r="K83" s="93"/>
      <c r="L83" s="352"/>
      <c r="M83" s="234"/>
      <c r="N83" s="93"/>
      <c r="O83" s="93"/>
    </row>
    <row r="84" spans="1:16" x14ac:dyDescent="0.3">
      <c r="L84" s="696">
        <f>L82/C78</f>
        <v>0.33171356629708282</v>
      </c>
    </row>
    <row r="85" spans="1:16" x14ac:dyDescent="0.3">
      <c r="A85" s="779" t="s">
        <v>647</v>
      </c>
      <c r="L85" s="346"/>
    </row>
    <row r="86" spans="1:16" x14ac:dyDescent="0.3">
      <c r="A86" s="97" t="s">
        <v>281</v>
      </c>
      <c r="B86" s="98" t="s">
        <v>13</v>
      </c>
      <c r="C86" s="361" t="s">
        <v>251</v>
      </c>
      <c r="D86" s="98" t="s">
        <v>252</v>
      </c>
      <c r="E86" s="99" t="s">
        <v>282</v>
      </c>
      <c r="F86" s="99" t="s">
        <v>251</v>
      </c>
      <c r="G86" s="100" t="s">
        <v>252</v>
      </c>
      <c r="H86" s="101" t="s">
        <v>283</v>
      </c>
      <c r="I86" s="101" t="s">
        <v>251</v>
      </c>
      <c r="J86" s="101" t="s">
        <v>252</v>
      </c>
      <c r="K86" s="102" t="s">
        <v>284</v>
      </c>
      <c r="L86" s="347" t="s">
        <v>509</v>
      </c>
      <c r="M86" s="103" t="s">
        <v>633</v>
      </c>
      <c r="N86" s="97" t="s">
        <v>285</v>
      </c>
      <c r="O86" s="73" t="s">
        <v>298</v>
      </c>
    </row>
    <row r="87" spans="1:16" x14ac:dyDescent="0.3">
      <c r="A87" s="106" t="s">
        <v>170</v>
      </c>
      <c r="B87" s="110" t="s">
        <v>532</v>
      </c>
      <c r="C87" s="362">
        <f>L74</f>
        <v>6495.65559262633</v>
      </c>
      <c r="D87" s="86" t="s">
        <v>288</v>
      </c>
      <c r="E87" s="86"/>
      <c r="F87" s="86"/>
      <c r="G87" s="86"/>
      <c r="H87" s="86"/>
      <c r="I87" s="86"/>
      <c r="J87" s="86"/>
      <c r="K87" s="86"/>
      <c r="L87" s="345"/>
      <c r="M87" s="86"/>
      <c r="N87" s="86"/>
      <c r="O87" s="110"/>
    </row>
    <row r="88" spans="1:16" x14ac:dyDescent="0.3">
      <c r="A88" s="108" t="s">
        <v>300</v>
      </c>
      <c r="B88" s="110"/>
      <c r="C88" s="279"/>
      <c r="D88" s="110"/>
      <c r="E88" s="110" t="s">
        <v>57</v>
      </c>
      <c r="F88" s="335">
        <f>C87/K13*K14</f>
        <v>2736.6942414835521</v>
      </c>
      <c r="G88" s="110" t="s">
        <v>288</v>
      </c>
      <c r="H88" s="110"/>
      <c r="I88" s="110"/>
      <c r="J88" s="110"/>
      <c r="K88" s="110"/>
      <c r="L88" s="279"/>
      <c r="M88" s="110"/>
      <c r="N88" s="110"/>
      <c r="O88" s="110"/>
    </row>
    <row r="89" spans="1:16" x14ac:dyDescent="0.3">
      <c r="A89" s="108"/>
      <c r="B89" s="110"/>
      <c r="C89" s="279"/>
      <c r="D89" s="110"/>
      <c r="E89" s="110" t="s">
        <v>68</v>
      </c>
      <c r="F89" s="335">
        <f>C87/K13*K15</f>
        <v>1416.2658915070524</v>
      </c>
      <c r="G89" s="110" t="s">
        <v>288</v>
      </c>
      <c r="H89" s="110"/>
      <c r="I89" s="110"/>
      <c r="J89" s="110"/>
      <c r="K89" s="110"/>
      <c r="L89" s="279"/>
      <c r="M89" s="110"/>
      <c r="N89" s="110"/>
      <c r="O89" s="110"/>
    </row>
    <row r="90" spans="1:16" x14ac:dyDescent="0.3">
      <c r="A90" s="108"/>
      <c r="B90" s="110"/>
      <c r="C90" s="279"/>
      <c r="D90" s="110"/>
      <c r="E90" s="110" t="s">
        <v>69</v>
      </c>
      <c r="F90" s="351">
        <f>K16*K8*K6</f>
        <v>748952.63936839113</v>
      </c>
      <c r="G90" s="110" t="s">
        <v>301</v>
      </c>
      <c r="H90" s="110"/>
      <c r="I90" s="110"/>
      <c r="J90" s="110"/>
      <c r="K90" s="110"/>
      <c r="L90" s="279"/>
      <c r="M90" s="110"/>
      <c r="N90" s="110"/>
      <c r="O90" s="110"/>
    </row>
    <row r="91" spans="1:16" x14ac:dyDescent="0.3">
      <c r="A91" s="108"/>
      <c r="B91" s="110"/>
      <c r="C91" s="279"/>
      <c r="D91" s="110"/>
      <c r="E91" s="111" t="s">
        <v>69</v>
      </c>
      <c r="F91" s="351">
        <f>F90*K10/1000</f>
        <v>1070.2533216574309</v>
      </c>
      <c r="G91" s="110" t="s">
        <v>288</v>
      </c>
      <c r="H91" s="110"/>
      <c r="I91" s="110"/>
      <c r="J91" s="110"/>
      <c r="K91" s="110"/>
      <c r="L91" s="279"/>
      <c r="M91" s="110"/>
      <c r="N91" s="110" t="s">
        <v>302</v>
      </c>
      <c r="O91" s="110"/>
    </row>
    <row r="92" spans="1:16" x14ac:dyDescent="0.3">
      <c r="A92" s="108"/>
      <c r="B92" s="110"/>
      <c r="C92" s="279"/>
      <c r="D92" s="110"/>
      <c r="E92" s="110"/>
      <c r="F92" s="279"/>
      <c r="G92" s="110"/>
      <c r="H92" s="110" t="s">
        <v>53</v>
      </c>
      <c r="I92" s="349">
        <f>K6*K8*K17</f>
        <v>727655.40791715716</v>
      </c>
      <c r="J92" s="110" t="s">
        <v>301</v>
      </c>
      <c r="K92" s="110"/>
      <c r="L92" s="279"/>
      <c r="M92" s="110"/>
      <c r="N92" s="110" t="s">
        <v>303</v>
      </c>
      <c r="O92" s="110"/>
    </row>
    <row r="93" spans="1:16" x14ac:dyDescent="0.3">
      <c r="A93" s="108"/>
      <c r="B93" s="110"/>
      <c r="C93" s="279"/>
      <c r="D93" s="110"/>
      <c r="E93" s="110"/>
      <c r="F93" s="279"/>
      <c r="G93" s="110"/>
      <c r="H93" s="110"/>
      <c r="I93" s="110"/>
      <c r="J93" s="110"/>
      <c r="K93" s="110" t="s">
        <v>278</v>
      </c>
      <c r="L93" s="279">
        <f>'R3_Hydro_MEFA'!B11</f>
        <v>2768.9024371286055</v>
      </c>
      <c r="M93" s="110" t="s">
        <v>288</v>
      </c>
      <c r="N93" s="110" t="s">
        <v>304</v>
      </c>
      <c r="O93" s="110"/>
    </row>
    <row r="94" spans="1:16" x14ac:dyDescent="0.3">
      <c r="A94" s="108"/>
      <c r="B94" s="110"/>
      <c r="C94" s="279"/>
      <c r="D94" s="110"/>
      <c r="E94" s="110"/>
      <c r="F94" s="279"/>
      <c r="G94" s="110"/>
      <c r="H94" s="110"/>
      <c r="I94" s="110"/>
      <c r="J94" s="110"/>
      <c r="K94" s="110" t="s">
        <v>100</v>
      </c>
      <c r="L94" s="279">
        <f>'R3_Hydro_MEFA'!T120</f>
        <v>0</v>
      </c>
      <c r="M94" s="110" t="s">
        <v>288</v>
      </c>
      <c r="N94" s="110" t="s">
        <v>305</v>
      </c>
      <c r="O94" s="110"/>
    </row>
    <row r="95" spans="1:16" ht="28.8" x14ac:dyDescent="0.3">
      <c r="A95" s="108"/>
      <c r="B95" s="110"/>
      <c r="C95" s="279"/>
      <c r="D95" s="110"/>
      <c r="E95" s="110"/>
      <c r="F95" s="110"/>
      <c r="G95" s="110"/>
      <c r="H95" s="110"/>
      <c r="I95" s="110"/>
      <c r="J95" s="110"/>
      <c r="K95" s="110" t="s">
        <v>279</v>
      </c>
      <c r="L95" s="279">
        <f>K7*K20/100</f>
        <v>202.32369878672176</v>
      </c>
      <c r="M95" s="110" t="s">
        <v>288</v>
      </c>
      <c r="N95" s="110" t="s">
        <v>306</v>
      </c>
      <c r="O95" s="110"/>
    </row>
    <row r="96" spans="1:16" ht="42" customHeight="1" x14ac:dyDescent="0.3">
      <c r="A96" s="113"/>
      <c r="B96" s="93"/>
      <c r="C96" s="352"/>
      <c r="D96" s="93"/>
      <c r="E96" s="93"/>
      <c r="F96" s="93"/>
      <c r="G96" s="93"/>
      <c r="H96" s="93"/>
      <c r="I96" s="93"/>
      <c r="J96" s="93"/>
      <c r="K96" s="93" t="s">
        <v>307</v>
      </c>
      <c r="L96" s="352">
        <f>(C87+F88+F89)-SUM(L93:L95)</f>
        <v>7677.3895897016082</v>
      </c>
      <c r="M96" s="93" t="s">
        <v>288</v>
      </c>
      <c r="N96" s="93" t="s">
        <v>308</v>
      </c>
      <c r="O96" s="110"/>
    </row>
    <row r="97" spans="1:15" x14ac:dyDescent="0.3">
      <c r="A97" s="108" t="s">
        <v>185</v>
      </c>
      <c r="B97" s="108" t="s">
        <v>517</v>
      </c>
      <c r="C97" s="342">
        <f>L96/O97</f>
        <v>3877469.489748287</v>
      </c>
      <c r="D97" s="110" t="s">
        <v>301</v>
      </c>
      <c r="E97" s="110"/>
      <c r="F97" s="110"/>
      <c r="G97" s="110"/>
      <c r="H97" s="110"/>
      <c r="I97" s="110"/>
      <c r="J97" s="110"/>
      <c r="K97" s="108"/>
      <c r="L97" s="279"/>
      <c r="M97" s="110"/>
      <c r="N97" s="110" t="s">
        <v>310</v>
      </c>
      <c r="O97" s="799">
        <v>1.98E-3</v>
      </c>
    </row>
    <row r="98" spans="1:15" x14ac:dyDescent="0.3">
      <c r="A98" s="108"/>
      <c r="B98" s="108"/>
      <c r="C98" s="279"/>
      <c r="D98" s="110"/>
      <c r="E98" s="110"/>
      <c r="F98" s="110"/>
      <c r="G98" s="110"/>
      <c r="H98" s="110" t="s">
        <v>48</v>
      </c>
      <c r="I98" s="279">
        <f>Energy!P98</f>
        <v>144581.7971517386</v>
      </c>
      <c r="J98" s="110" t="s">
        <v>221</v>
      </c>
      <c r="K98" s="108"/>
      <c r="L98" s="279"/>
      <c r="M98" s="110"/>
      <c r="N98" s="110"/>
      <c r="O98" s="110"/>
    </row>
    <row r="99" spans="1:15" x14ac:dyDescent="0.3">
      <c r="A99" s="108"/>
      <c r="B99" s="108"/>
      <c r="C99" s="279"/>
      <c r="D99" s="110"/>
      <c r="E99" s="110"/>
      <c r="F99" s="110"/>
      <c r="G99" s="110"/>
      <c r="H99" s="110"/>
      <c r="I99" s="110"/>
      <c r="J99" s="110"/>
      <c r="K99" s="108" t="s">
        <v>648</v>
      </c>
      <c r="L99" s="279">
        <f>C97</f>
        <v>3877469.489748287</v>
      </c>
      <c r="M99" s="110" t="s">
        <v>301</v>
      </c>
      <c r="N99" s="110"/>
      <c r="O99" s="93"/>
    </row>
    <row r="100" spans="1:15" x14ac:dyDescent="0.3">
      <c r="A100" s="106" t="s">
        <v>311</v>
      </c>
      <c r="B100" s="106"/>
      <c r="C100" s="345"/>
      <c r="D100" s="86"/>
      <c r="E100" s="86"/>
      <c r="F100" s="86"/>
      <c r="G100" s="86"/>
      <c r="H100" s="86"/>
      <c r="I100" s="86"/>
      <c r="J100" s="86"/>
      <c r="K100" s="106"/>
      <c r="L100" s="345"/>
      <c r="M100" s="86"/>
      <c r="N100" s="86"/>
      <c r="O100" s="110"/>
    </row>
    <row r="101" spans="1:15" x14ac:dyDescent="0.3">
      <c r="A101" s="108"/>
      <c r="B101" s="108" t="s">
        <v>278</v>
      </c>
      <c r="C101" s="279">
        <f>L93</f>
        <v>2768.9024371286055</v>
      </c>
      <c r="D101" s="110" t="s">
        <v>288</v>
      </c>
      <c r="E101" s="110"/>
      <c r="F101" s="110"/>
      <c r="G101" s="110"/>
      <c r="H101" s="110"/>
      <c r="I101" s="110"/>
      <c r="J101" s="110"/>
      <c r="K101" s="108"/>
      <c r="L101" s="279"/>
      <c r="M101" s="110"/>
      <c r="N101" s="110"/>
      <c r="O101" s="110"/>
    </row>
    <row r="102" spans="1:15" x14ac:dyDescent="0.3">
      <c r="A102" s="108"/>
      <c r="B102" s="108"/>
      <c r="C102" s="279"/>
      <c r="D102" s="110"/>
      <c r="E102" s="110"/>
      <c r="F102" s="110"/>
      <c r="G102" s="110"/>
      <c r="H102" s="110" t="s">
        <v>48</v>
      </c>
      <c r="I102" s="342">
        <f>Energy!P99</f>
        <v>27689.024371286054</v>
      </c>
      <c r="J102" s="110" t="s">
        <v>221</v>
      </c>
      <c r="K102" s="108"/>
      <c r="L102" s="279"/>
      <c r="M102" s="110"/>
      <c r="N102" s="110"/>
      <c r="O102" s="110"/>
    </row>
    <row r="103" spans="1:15" x14ac:dyDescent="0.3">
      <c r="A103" s="108"/>
      <c r="B103" s="108"/>
      <c r="C103" s="279"/>
      <c r="D103" s="110"/>
      <c r="E103" s="110"/>
      <c r="F103" s="110"/>
      <c r="G103" s="110"/>
      <c r="H103" s="110"/>
      <c r="I103" s="110"/>
      <c r="J103" s="110"/>
      <c r="K103" s="108" t="s">
        <v>278</v>
      </c>
      <c r="L103" s="279">
        <f>C101</f>
        <v>2768.9024371286055</v>
      </c>
      <c r="M103" s="110" t="s">
        <v>288</v>
      </c>
      <c r="N103" s="110"/>
      <c r="O103" s="110"/>
    </row>
    <row r="104" spans="1:15" x14ac:dyDescent="0.3">
      <c r="A104" s="113"/>
      <c r="B104" s="113"/>
      <c r="C104" s="352"/>
      <c r="D104" s="93"/>
      <c r="E104" s="93"/>
      <c r="F104" s="93"/>
      <c r="G104" s="93"/>
      <c r="H104" s="93"/>
      <c r="I104" s="93"/>
      <c r="J104" s="93"/>
      <c r="K104" s="113"/>
      <c r="L104" s="352"/>
      <c r="M104" s="93"/>
      <c r="N104" s="93"/>
      <c r="O104" s="110"/>
    </row>
    <row r="105" spans="1:15" x14ac:dyDescent="0.3">
      <c r="A105" s="108" t="s">
        <v>312</v>
      </c>
      <c r="B105" s="108"/>
      <c r="C105" s="279"/>
      <c r="D105" s="110"/>
      <c r="E105" s="110"/>
      <c r="F105" s="110"/>
      <c r="G105" s="110"/>
      <c r="H105" s="110"/>
      <c r="I105" s="110"/>
      <c r="J105" s="110"/>
      <c r="K105" s="108"/>
      <c r="L105" s="279"/>
      <c r="M105" s="110"/>
      <c r="N105" s="110"/>
      <c r="O105" s="86"/>
    </row>
    <row r="106" spans="1:15" x14ac:dyDescent="0.3">
      <c r="A106" s="108"/>
      <c r="B106" s="108" t="s">
        <v>100</v>
      </c>
      <c r="C106" s="279">
        <f>L94</f>
        <v>0</v>
      </c>
      <c r="D106" s="110" t="s">
        <v>288</v>
      </c>
      <c r="E106" s="110"/>
      <c r="F106" s="110"/>
      <c r="G106" s="110"/>
      <c r="H106" s="110"/>
      <c r="I106" s="110"/>
      <c r="J106" s="110"/>
      <c r="K106" s="108"/>
      <c r="L106" s="279"/>
      <c r="M106" s="110"/>
      <c r="N106" s="110"/>
      <c r="O106" s="110"/>
    </row>
    <row r="107" spans="1:15" x14ac:dyDescent="0.3">
      <c r="A107" s="108"/>
      <c r="B107" s="108"/>
      <c r="C107" s="279"/>
      <c r="D107" s="110"/>
      <c r="E107" s="110"/>
      <c r="F107" s="110"/>
      <c r="G107" s="110"/>
      <c r="H107" s="110" t="s">
        <v>48</v>
      </c>
      <c r="I107" s="279">
        <f>IF(Macro!D10=TRUE,Energy!P100,0)</f>
        <v>0</v>
      </c>
      <c r="J107" s="110" t="s">
        <v>221</v>
      </c>
      <c r="K107" s="108"/>
      <c r="L107" s="279"/>
      <c r="M107" s="110"/>
      <c r="N107" s="110"/>
      <c r="O107" s="110"/>
    </row>
    <row r="108" spans="1:15" x14ac:dyDescent="0.3">
      <c r="A108" s="108"/>
      <c r="B108" s="108"/>
      <c r="C108" s="279"/>
      <c r="D108" s="110"/>
      <c r="E108" s="110"/>
      <c r="F108" s="110"/>
      <c r="G108" s="110"/>
      <c r="H108" s="110"/>
      <c r="I108" s="110"/>
      <c r="J108" s="110"/>
      <c r="K108" s="108" t="s">
        <v>100</v>
      </c>
      <c r="L108" s="279">
        <f>C106</f>
        <v>0</v>
      </c>
      <c r="M108" s="110" t="s">
        <v>288</v>
      </c>
      <c r="N108" s="110"/>
      <c r="O108" s="110"/>
    </row>
    <row r="109" spans="1:15" x14ac:dyDescent="0.3">
      <c r="A109" s="113"/>
      <c r="B109" s="113"/>
      <c r="C109" s="93"/>
      <c r="D109" s="93"/>
      <c r="E109" s="93"/>
      <c r="F109" s="93"/>
      <c r="G109" s="93"/>
      <c r="H109" s="93"/>
      <c r="I109" s="93"/>
      <c r="J109" s="93"/>
      <c r="K109" s="113"/>
      <c r="L109" s="93"/>
      <c r="M109" s="93"/>
      <c r="N109" s="93"/>
      <c r="O109" s="93"/>
    </row>
    <row r="110" spans="1:15" x14ac:dyDescent="0.3">
      <c r="L110" s="346"/>
    </row>
    <row r="111" spans="1:15" x14ac:dyDescent="0.3">
      <c r="A111" s="96" t="s">
        <v>540</v>
      </c>
      <c r="C111" s="346"/>
      <c r="L111" s="346"/>
      <c r="M111" s="70"/>
    </row>
    <row r="112" spans="1:15" x14ac:dyDescent="0.3">
      <c r="A112" s="97" t="s">
        <v>281</v>
      </c>
      <c r="B112" s="98" t="s">
        <v>13</v>
      </c>
      <c r="C112" s="361" t="s">
        <v>251</v>
      </c>
      <c r="D112" s="98" t="s">
        <v>252</v>
      </c>
      <c r="E112" s="99" t="s">
        <v>282</v>
      </c>
      <c r="F112" s="99" t="s">
        <v>251</v>
      </c>
      <c r="G112" s="100" t="s">
        <v>252</v>
      </c>
      <c r="H112" s="101" t="s">
        <v>283</v>
      </c>
      <c r="I112" s="101" t="s">
        <v>251</v>
      </c>
      <c r="J112" s="101" t="s">
        <v>252</v>
      </c>
      <c r="K112" s="102" t="s">
        <v>284</v>
      </c>
      <c r="L112" s="347" t="s">
        <v>509</v>
      </c>
      <c r="M112" s="687" t="s">
        <v>633</v>
      </c>
      <c r="N112" s="366"/>
      <c r="O112" s="367"/>
    </row>
    <row r="113" spans="1:15" x14ac:dyDescent="0.3">
      <c r="A113" s="86"/>
      <c r="B113" s="86" t="str">
        <f>B32</f>
        <v>battery systems</v>
      </c>
      <c r="C113" s="362">
        <f>C32</f>
        <v>25000</v>
      </c>
      <c r="D113" s="375" t="str">
        <f>D32</f>
        <v>t</v>
      </c>
      <c r="E113" s="86" t="str">
        <f>E88</f>
        <v>Limestone (CaO)</v>
      </c>
      <c r="F113" s="364">
        <f>F88</f>
        <v>2736.6942414835521</v>
      </c>
      <c r="G113" s="110" t="s">
        <v>288</v>
      </c>
      <c r="H113" s="86" t="str">
        <f>H62</f>
        <v>Electricity</v>
      </c>
      <c r="I113" s="363">
        <f>SUMIF(H46:H109,H113,I46:I109)+SUMIF('R3_Hydro_MEFA'!H:H,'R3_MEFA'!H113,'R3_Hydro_MEFA'!I:I)</f>
        <v>16378983.773035124</v>
      </c>
      <c r="J113" s="86" t="s">
        <v>221</v>
      </c>
      <c r="K113" s="110" t="s">
        <v>48</v>
      </c>
      <c r="L113" s="365">
        <f>L29</f>
        <v>216872.6957276079</v>
      </c>
      <c r="M113" s="239" t="s">
        <v>221</v>
      </c>
      <c r="N113" s="369"/>
      <c r="O113" s="368"/>
    </row>
    <row r="114" spans="1:15" x14ac:dyDescent="0.3">
      <c r="A114" s="110"/>
      <c r="B114" s="110"/>
      <c r="C114" s="279"/>
      <c r="D114" s="110"/>
      <c r="E114" s="110" t="str">
        <f>E89</f>
        <v>Sand (SiO2)</v>
      </c>
      <c r="F114" s="365">
        <f>F89</f>
        <v>1416.2658915070524</v>
      </c>
      <c r="G114" s="110" t="s">
        <v>288</v>
      </c>
      <c r="H114" s="110" t="s">
        <v>515</v>
      </c>
      <c r="I114" s="349">
        <f>I92+SUMIF('R3_Hydro_MEFA'!H:H,'R3_MEFA'!H114,'R3_Hydro_MEFA'!I:I)</f>
        <v>727655.40791715716</v>
      </c>
      <c r="J114" s="110" t="s">
        <v>301</v>
      </c>
      <c r="K114" s="110" t="s">
        <v>97</v>
      </c>
      <c r="L114" s="365">
        <f>L80+L40+L33</f>
        <v>7414.0200390370856</v>
      </c>
      <c r="M114" s="239" t="s">
        <v>288</v>
      </c>
      <c r="N114" s="371"/>
      <c r="O114" s="370"/>
    </row>
    <row r="115" spans="1:15" x14ac:dyDescent="0.3">
      <c r="A115" s="110"/>
      <c r="B115" s="110"/>
      <c r="C115" s="279"/>
      <c r="D115" s="110"/>
      <c r="E115" s="110" t="str">
        <f>E91</f>
        <v>Oxygen</v>
      </c>
      <c r="F115" s="365">
        <f>F91</f>
        <v>1070.2533216574309</v>
      </c>
      <c r="G115" s="110" t="s">
        <v>288</v>
      </c>
      <c r="H115" s="110"/>
      <c r="I115" s="349"/>
      <c r="J115" s="110"/>
      <c r="K115" s="110" t="s">
        <v>71</v>
      </c>
      <c r="L115" s="365">
        <f>L34+L41+L68</f>
        <v>2291.3207547169809</v>
      </c>
      <c r="M115" s="239" t="s">
        <v>288</v>
      </c>
      <c r="N115" s="371"/>
      <c r="O115" s="370"/>
    </row>
    <row r="116" spans="1:15" x14ac:dyDescent="0.3">
      <c r="A116" s="110"/>
      <c r="B116" s="110"/>
      <c r="C116" s="279"/>
      <c r="D116" s="110"/>
      <c r="E116" s="110" t="s">
        <v>70</v>
      </c>
      <c r="F116" s="365">
        <f>SUMIF('R3_Hydro_MEFA'!E:E,'R3_MEFA'!E116,'R3_Hydro_MEFA'!F:F)</f>
        <v>4625.6467800216051</v>
      </c>
      <c r="G116" s="110" t="s">
        <v>288</v>
      </c>
      <c r="H116" s="110"/>
      <c r="I116" s="110"/>
      <c r="J116" s="110"/>
      <c r="K116" s="110" t="s">
        <v>98</v>
      </c>
      <c r="L116" s="365">
        <f>L81+L35+'R3_Hydro_MEFA'!L38</f>
        <v>2081.3352550266754</v>
      </c>
      <c r="M116" s="239" t="s">
        <v>288</v>
      </c>
      <c r="N116" s="371"/>
      <c r="O116" s="370"/>
    </row>
    <row r="117" spans="1:15" x14ac:dyDescent="0.3">
      <c r="A117" s="110"/>
      <c r="B117" s="110"/>
      <c r="C117" s="279"/>
      <c r="D117" s="110"/>
      <c r="E117" s="110" t="s">
        <v>214</v>
      </c>
      <c r="F117" s="365">
        <f>SUMIF('R3_Hydro_MEFA'!E:E,'R3_MEFA'!E117,'R3_Hydro_MEFA'!F:F)</f>
        <v>16362.628837979244</v>
      </c>
      <c r="G117" s="110" t="s">
        <v>288</v>
      </c>
      <c r="H117" s="110"/>
      <c r="I117" s="110"/>
      <c r="J117" s="110"/>
      <c r="K117" s="110" t="s">
        <v>52</v>
      </c>
      <c r="L117" s="365">
        <f>L36+L43</f>
        <v>194.09238776837995</v>
      </c>
      <c r="M117" s="239" t="s">
        <v>288</v>
      </c>
      <c r="N117" s="371"/>
      <c r="O117" s="370"/>
    </row>
    <row r="118" spans="1:15" x14ac:dyDescent="0.3">
      <c r="A118" s="110"/>
      <c r="B118" s="110"/>
      <c r="C118" s="279"/>
      <c r="D118" s="110"/>
      <c r="E118" s="110" t="s">
        <v>45</v>
      </c>
      <c r="F118" s="365">
        <f>SUMIF('R3_Hydro_MEFA'!E:E,'R3_MEFA'!E118,'R3_Hydro_MEFA'!F:F)</f>
        <v>16.707992494259532</v>
      </c>
      <c r="G118" s="110" t="s">
        <v>288</v>
      </c>
      <c r="H118" s="110"/>
      <c r="I118" s="110"/>
      <c r="J118" s="110"/>
      <c r="K118" s="110" t="s">
        <v>56</v>
      </c>
      <c r="L118" s="365">
        <f>L37</f>
        <v>0</v>
      </c>
      <c r="M118" s="239" t="s">
        <v>288</v>
      </c>
      <c r="N118" s="371"/>
      <c r="O118" s="370"/>
    </row>
    <row r="119" spans="1:15" x14ac:dyDescent="0.3">
      <c r="A119" s="110"/>
      <c r="B119" s="110"/>
      <c r="C119" s="279"/>
      <c r="D119" s="110"/>
      <c r="E119" s="110" t="s">
        <v>74</v>
      </c>
      <c r="F119" s="365">
        <f>'R3_Hydro_MEFA'!F45+'R3_Hydro_MEFA'!F137</f>
        <v>759.56609367983458</v>
      </c>
      <c r="G119" s="110" t="s">
        <v>288</v>
      </c>
      <c r="H119" s="110"/>
      <c r="I119" s="110"/>
      <c r="J119" s="110"/>
      <c r="K119" s="110" t="s">
        <v>17</v>
      </c>
      <c r="L119" s="365">
        <f>L82+L39+L38+L42</f>
        <v>1255.5336643678111</v>
      </c>
      <c r="M119" s="239" t="s">
        <v>288</v>
      </c>
      <c r="N119" s="371"/>
      <c r="O119" s="370"/>
    </row>
    <row r="120" spans="1:15" x14ac:dyDescent="0.3">
      <c r="A120" s="110"/>
      <c r="B120" s="110"/>
      <c r="C120" s="279"/>
      <c r="D120" s="110"/>
      <c r="E120" s="110" t="s">
        <v>66</v>
      </c>
      <c r="F120" s="365">
        <f>SUMIF('R3_Hydro_MEFA'!E:E,'R3_MEFA'!E120,'R3_Hydro_MEFA'!F:F)</f>
        <v>9240.784481272116</v>
      </c>
      <c r="G120" s="110" t="s">
        <v>288</v>
      </c>
      <c r="H120" s="110"/>
      <c r="I120" s="110"/>
      <c r="J120" s="110"/>
      <c r="K120" s="110" t="s">
        <v>46</v>
      </c>
      <c r="L120" s="365">
        <f>'R3_Hydro_MEFA'!L62+'R3_Hydro_MEFA'!L152</f>
        <v>24.498136983759448</v>
      </c>
      <c r="M120" s="239" t="s">
        <v>288</v>
      </c>
      <c r="N120" s="783"/>
      <c r="O120" s="370"/>
    </row>
    <row r="121" spans="1:15" x14ac:dyDescent="0.3">
      <c r="A121" s="110"/>
      <c r="B121" s="110"/>
      <c r="C121" s="279"/>
      <c r="D121" s="110"/>
      <c r="E121" s="110" t="s">
        <v>59</v>
      </c>
      <c r="F121" s="688">
        <f>SUMIF('R3_Hydro_MEFA'!E:E,'R3_MEFA'!E121,'R3_Hydro_MEFA'!F:F)</f>
        <v>1.2882505981475105</v>
      </c>
      <c r="G121" s="110" t="s">
        <v>288</v>
      </c>
      <c r="H121" s="365"/>
      <c r="I121" s="110"/>
      <c r="J121" s="110"/>
      <c r="K121" s="110" t="s">
        <v>59</v>
      </c>
      <c r="L121" s="688">
        <f>SUMIF('R3_Hydro_MEFA'!K:K,K121,'R3_Hydro_MEFA'!L:L)</f>
        <v>1.2882505981475105</v>
      </c>
      <c r="M121" s="239" t="s">
        <v>288</v>
      </c>
      <c r="N121" s="784" t="s">
        <v>314</v>
      </c>
      <c r="O121" s="370"/>
    </row>
    <row r="122" spans="1:15" x14ac:dyDescent="0.3">
      <c r="A122" s="110"/>
      <c r="B122" s="110"/>
      <c r="C122" s="279"/>
      <c r="D122" s="110"/>
      <c r="E122" s="110" t="s">
        <v>315</v>
      </c>
      <c r="F122" s="691">
        <f>SUMIF('R3_Hydro_MEFA'!E:E,"Cyanex 272 compensation loss p.a.",'R3_Hydro_MEFA'!F:F)+SUMIF('R3_Hydro_MEFA'!E:E,"Cyanex 272 (Circulation)",'R3_Hydro_MEFA'!F:F)</f>
        <v>0.57971276916637982</v>
      </c>
      <c r="G122" s="110" t="s">
        <v>288</v>
      </c>
      <c r="H122" s="110"/>
      <c r="I122" s="110"/>
      <c r="J122" s="110"/>
      <c r="K122" s="110" t="s">
        <v>37</v>
      </c>
      <c r="L122" s="691">
        <f>SUMIF('R3_Hydro_MEFA'!K:K,K122,'R3_Hydro_MEFA'!L:L)</f>
        <v>0.55210739920607599</v>
      </c>
      <c r="M122" s="239" t="s">
        <v>288</v>
      </c>
      <c r="N122" s="784" t="s">
        <v>314</v>
      </c>
      <c r="O122" s="370"/>
    </row>
    <row r="123" spans="1:15" ht="15.6" x14ac:dyDescent="0.3">
      <c r="A123" s="110"/>
      <c r="B123" s="110"/>
      <c r="C123" s="279"/>
      <c r="D123" s="110"/>
      <c r="E123" s="110" t="s">
        <v>41</v>
      </c>
      <c r="F123" s="691">
        <f>SUMIF('R3_Hydro_MEFA'!E:E,"D2EHPA compensation loss p.a.",'R3_Hydro_MEFA'!F:F)+SUMIF('R3_Hydro_MEFA'!E:E,"D2EHPA (Circulation)",'R3_Hydro_MEFA'!F:F)</f>
        <v>0</v>
      </c>
      <c r="G123" s="110" t="s">
        <v>288</v>
      </c>
      <c r="H123" s="110"/>
      <c r="I123" s="110"/>
      <c r="J123" s="110"/>
      <c r="K123" s="110" t="s">
        <v>151</v>
      </c>
      <c r="L123" s="691">
        <f>SUMIF('R3_Hydro_MEFA'!K:K,K123,'R3_Hydro_MEFA'!L:L)</f>
        <v>8362.1038139745106</v>
      </c>
      <c r="M123" s="239" t="s">
        <v>288</v>
      </c>
      <c r="N123" s="784"/>
      <c r="O123" s="370"/>
    </row>
    <row r="124" spans="1:15" ht="15.6" x14ac:dyDescent="0.3">
      <c r="A124" s="110"/>
      <c r="B124" s="110"/>
      <c r="C124" s="279"/>
      <c r="D124" s="110"/>
      <c r="E124" s="110" t="s">
        <v>65</v>
      </c>
      <c r="F124" s="365">
        <f>SUMIF('R3_Hydro_MEFA'!E:E,'R3_MEFA'!E124,'R3_Hydro_MEFA'!F:F)</f>
        <v>0</v>
      </c>
      <c r="G124" s="110" t="s">
        <v>288</v>
      </c>
      <c r="H124" s="110"/>
      <c r="I124" s="110"/>
      <c r="J124" s="110"/>
      <c r="K124" s="110" t="s">
        <v>139</v>
      </c>
      <c r="L124" s="365">
        <f>SUMIF('R3_Hydro_MEFA'!K:K,K124,'R3_Hydro_MEFA'!L:L)</f>
        <v>2920.87022275454</v>
      </c>
      <c r="M124" s="239" t="s">
        <v>288</v>
      </c>
      <c r="N124" s="784"/>
      <c r="O124" s="370"/>
    </row>
    <row r="125" spans="1:15" ht="28.8" x14ac:dyDescent="0.3">
      <c r="A125" s="110"/>
      <c r="B125" s="110"/>
      <c r="C125" s="279"/>
      <c r="D125" s="110"/>
      <c r="E125" s="110" t="s">
        <v>316</v>
      </c>
      <c r="F125" s="833">
        <f>IF(F117*0.9&lt;L132,F117*0.1,F117-L132)</f>
        <v>1636.2628837979246</v>
      </c>
      <c r="G125" s="110" t="s">
        <v>288</v>
      </c>
      <c r="H125" s="110"/>
      <c r="I125" s="110"/>
      <c r="J125" s="110"/>
      <c r="K125" s="110" t="s">
        <v>22</v>
      </c>
      <c r="L125" s="365">
        <f>SUMIF('R3_Hydro_MEFA'!K:K,K125,'R3_Hydro_MEFA'!L:L)</f>
        <v>0</v>
      </c>
      <c r="M125" s="239" t="s">
        <v>288</v>
      </c>
      <c r="N125" s="784" t="s">
        <v>317</v>
      </c>
      <c r="O125" s="370"/>
    </row>
    <row r="126" spans="1:15" x14ac:dyDescent="0.3">
      <c r="A126" s="110"/>
      <c r="B126" s="110"/>
      <c r="C126" s="279"/>
      <c r="D126" s="110"/>
      <c r="E126" s="110"/>
      <c r="F126" s="833"/>
      <c r="G126" s="110"/>
      <c r="H126" s="110"/>
      <c r="I126" s="110"/>
      <c r="J126" s="110"/>
      <c r="K126" s="110" t="s">
        <v>30</v>
      </c>
      <c r="L126" s="365">
        <f>SUMIF('R3_Hydro_MEFA'!K:K,K126,'R3_Hydro_MEFA'!L:L)</f>
        <v>0</v>
      </c>
      <c r="M126" s="239" t="s">
        <v>288</v>
      </c>
      <c r="N126" s="785"/>
      <c r="O126" s="370"/>
    </row>
    <row r="127" spans="1:15" x14ac:dyDescent="0.3">
      <c r="A127" s="110"/>
      <c r="B127" s="110"/>
      <c r="C127" s="279"/>
      <c r="D127" s="110"/>
      <c r="E127" s="110"/>
      <c r="F127" s="833"/>
      <c r="G127" s="110"/>
      <c r="H127" s="110"/>
      <c r="I127" s="110"/>
      <c r="J127" s="110"/>
      <c r="K127" s="110" t="s">
        <v>318</v>
      </c>
      <c r="L127" s="365">
        <f>SUMIF('R3_Hydro_MEFA'!K:K,K127,'R3_Hydro_MEFA'!L:L)</f>
        <v>0</v>
      </c>
      <c r="M127" s="239" t="s">
        <v>288</v>
      </c>
      <c r="N127" s="783"/>
      <c r="O127" s="370"/>
    </row>
    <row r="128" spans="1:15" x14ac:dyDescent="0.3">
      <c r="A128" s="110"/>
      <c r="B128" s="110"/>
      <c r="C128" s="279"/>
      <c r="D128" s="110"/>
      <c r="E128" s="110"/>
      <c r="F128" s="833"/>
      <c r="G128" s="110"/>
      <c r="H128" s="110"/>
      <c r="I128" s="110"/>
      <c r="J128" s="110"/>
      <c r="K128" s="110" t="s">
        <v>29</v>
      </c>
      <c r="L128" s="365">
        <f>SUMIF('R3_Hydro_MEFA'!K:K,K128,'R3_Hydro_MEFA'!L:L)</f>
        <v>0</v>
      </c>
      <c r="M128" s="239" t="s">
        <v>288</v>
      </c>
      <c r="N128" s="783"/>
      <c r="O128" s="370"/>
    </row>
    <row r="129" spans="1:15" x14ac:dyDescent="0.3">
      <c r="A129" s="110"/>
      <c r="B129" s="110"/>
      <c r="C129" s="279"/>
      <c r="D129" s="110"/>
      <c r="E129" s="110"/>
      <c r="F129" s="833"/>
      <c r="G129" s="110"/>
      <c r="H129" s="110"/>
      <c r="I129" s="110"/>
      <c r="J129" s="110"/>
      <c r="K129" s="110" t="s">
        <v>41</v>
      </c>
      <c r="L129" s="691">
        <f>SUMIF('R3_Hydro_MEFA'!K:K,K129,'R3_Hydro_MEFA'!L:L)</f>
        <v>0</v>
      </c>
      <c r="M129" s="239" t="s">
        <v>288</v>
      </c>
      <c r="N129" s="784" t="s">
        <v>314</v>
      </c>
      <c r="O129" s="370"/>
    </row>
    <row r="130" spans="1:15" x14ac:dyDescent="0.3">
      <c r="A130" s="110"/>
      <c r="B130" s="110"/>
      <c r="C130" s="279"/>
      <c r="D130" s="110"/>
      <c r="E130" s="110"/>
      <c r="F130" s="833"/>
      <c r="G130" s="110"/>
      <c r="H130" s="110"/>
      <c r="I130" s="110"/>
      <c r="J130" s="110"/>
      <c r="K130" s="110" t="s">
        <v>64</v>
      </c>
      <c r="L130" s="365">
        <f>SUMIF('R3_Hydro_MEFA'!K:K,K130,'R3_Hydro_MEFA'!L:L)</f>
        <v>0</v>
      </c>
      <c r="M130" s="239" t="s">
        <v>288</v>
      </c>
      <c r="N130" s="783"/>
      <c r="O130" s="370"/>
    </row>
    <row r="131" spans="1:15" ht="15.6" x14ac:dyDescent="0.3">
      <c r="A131" s="110"/>
      <c r="B131" s="110"/>
      <c r="C131" s="279"/>
      <c r="D131" s="110"/>
      <c r="E131" s="110"/>
      <c r="F131" s="833"/>
      <c r="G131" s="110"/>
      <c r="H131" s="110"/>
      <c r="I131" s="110"/>
      <c r="J131" s="110"/>
      <c r="K131" s="110" t="s">
        <v>541</v>
      </c>
      <c r="L131" s="365">
        <f>SUMIF('R3_Hydro_MEFA'!K:K,K131,'R3_Hydro_MEFA'!L:L)</f>
        <v>0</v>
      </c>
      <c r="M131" s="239" t="s">
        <v>288</v>
      </c>
      <c r="N131" s="371"/>
      <c r="O131" s="370"/>
    </row>
    <row r="132" spans="1:15" x14ac:dyDescent="0.3">
      <c r="A132" s="110"/>
      <c r="B132" s="110"/>
      <c r="C132" s="279"/>
      <c r="D132" s="110"/>
      <c r="E132" s="110"/>
      <c r="F132" s="279"/>
      <c r="G132" s="110"/>
      <c r="H132" s="110"/>
      <c r="I132" s="279"/>
      <c r="J132" s="110"/>
      <c r="K132" s="110" t="s">
        <v>214</v>
      </c>
      <c r="L132" s="279">
        <f>SUMIF('R3_Hydro_MEFA'!K:K,K132,'R3_Hydro_MEFA'!L:L)</f>
        <v>22358.362054288198</v>
      </c>
      <c r="M132" s="110" t="s">
        <v>288</v>
      </c>
      <c r="N132" s="110" t="s">
        <v>319</v>
      </c>
      <c r="O132" s="279"/>
    </row>
    <row r="133" spans="1:15" x14ac:dyDescent="0.3">
      <c r="A133" s="110"/>
      <c r="B133" s="110"/>
      <c r="C133" s="279"/>
      <c r="D133" s="110"/>
      <c r="E133" s="110"/>
      <c r="F133" s="279"/>
      <c r="G133" s="110"/>
      <c r="H133" s="110"/>
      <c r="I133" s="279"/>
      <c r="J133" s="110"/>
      <c r="K133" s="110" t="s">
        <v>60</v>
      </c>
      <c r="L133" s="279">
        <f>SUMIF('R3_Hydro_MEFA'!K:K,K133,'R3_Hydro_MEFA'!L:L)</f>
        <v>0</v>
      </c>
      <c r="M133" s="110"/>
      <c r="N133" s="110"/>
      <c r="O133" s="279"/>
    </row>
    <row r="134" spans="1:15" x14ac:dyDescent="0.3">
      <c r="A134" s="93"/>
      <c r="B134" s="93"/>
      <c r="C134" s="352"/>
      <c r="D134" s="93"/>
      <c r="E134" s="93"/>
      <c r="F134" s="352"/>
      <c r="G134" s="93"/>
      <c r="H134" s="93"/>
      <c r="I134" s="352"/>
      <c r="J134" s="93"/>
      <c r="K134" s="93" t="s">
        <v>320</v>
      </c>
      <c r="L134" s="707">
        <f>L132-F117+F125</f>
        <v>7631.9961001068787</v>
      </c>
      <c r="M134" s="450" t="s">
        <v>288</v>
      </c>
      <c r="N134" s="93" t="s">
        <v>319</v>
      </c>
      <c r="O134" s="352"/>
    </row>
    <row r="136" spans="1:15" x14ac:dyDescent="0.3">
      <c r="F136" s="730"/>
      <c r="I136" s="731"/>
      <c r="L136" s="730"/>
    </row>
    <row r="137" spans="1:15" x14ac:dyDescent="0.3">
      <c r="F137" s="730"/>
      <c r="I137" s="731"/>
      <c r="L137" s="730"/>
    </row>
    <row r="138" spans="1:15" x14ac:dyDescent="0.3">
      <c r="F138" s="730"/>
      <c r="L138" s="730"/>
    </row>
    <row r="139" spans="1:15" x14ac:dyDescent="0.3">
      <c r="F139" s="730"/>
      <c r="L139" s="730"/>
    </row>
    <row r="140" spans="1:15" x14ac:dyDescent="0.3">
      <c r="F140" s="730"/>
      <c r="L140" s="730"/>
    </row>
    <row r="141" spans="1:15" x14ac:dyDescent="0.3">
      <c r="F141" s="730"/>
      <c r="L141" s="730"/>
    </row>
    <row r="142" spans="1:15" x14ac:dyDescent="0.3">
      <c r="F142" s="730"/>
      <c r="L142" s="730"/>
    </row>
    <row r="143" spans="1:15" x14ac:dyDescent="0.3">
      <c r="F143" s="730"/>
      <c r="L143" s="730"/>
    </row>
    <row r="144" spans="1:15" x14ac:dyDescent="0.3">
      <c r="F144" s="730"/>
      <c r="L144" s="730"/>
    </row>
    <row r="145" spans="6:12" x14ac:dyDescent="0.3">
      <c r="F145" s="730"/>
      <c r="L145" s="730"/>
    </row>
    <row r="146" spans="6:12" x14ac:dyDescent="0.3">
      <c r="F146" s="730"/>
      <c r="L146" s="730"/>
    </row>
    <row r="147" spans="6:12" x14ac:dyDescent="0.3">
      <c r="F147" s="730"/>
      <c r="L147" s="730"/>
    </row>
    <row r="148" spans="6:12" x14ac:dyDescent="0.3">
      <c r="F148" s="730"/>
      <c r="L148" s="730"/>
    </row>
    <row r="149" spans="6:12" x14ac:dyDescent="0.3">
      <c r="L149" s="730"/>
    </row>
    <row r="150" spans="6:12" x14ac:dyDescent="0.3">
      <c r="L150" s="730"/>
    </row>
    <row r="151" spans="6:12" x14ac:dyDescent="0.3">
      <c r="L151" s="730"/>
    </row>
    <row r="152" spans="6:12" x14ac:dyDescent="0.3">
      <c r="L152" s="730"/>
    </row>
    <row r="153" spans="6:12" x14ac:dyDescent="0.3">
      <c r="L153" s="730"/>
    </row>
    <row r="154" spans="6:12" x14ac:dyDescent="0.3">
      <c r="L154" s="730"/>
    </row>
    <row r="155" spans="6:12" x14ac:dyDescent="0.3">
      <c r="L155" s="730"/>
    </row>
    <row r="156" spans="6:12" x14ac:dyDescent="0.3">
      <c r="L156" s="730"/>
    </row>
    <row r="157" spans="6:12" x14ac:dyDescent="0.3">
      <c r="L157" s="730"/>
    </row>
  </sheetData>
  <pageMargins left="0.7" right="0.7" top="0.78740157499999996" bottom="0.78740157499999996"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6">
    <tabColor theme="0" tint="-0.499984740745262"/>
  </sheetPr>
  <dimension ref="A1:AC213"/>
  <sheetViews>
    <sheetView zoomScale="70" zoomScaleNormal="70" workbookViewId="0">
      <selection activeCell="G7" sqref="G7"/>
    </sheetView>
  </sheetViews>
  <sheetFormatPr baseColWidth="10" defaultColWidth="11.44140625" defaultRowHeight="14.4" x14ac:dyDescent="0.3"/>
  <cols>
    <col min="1" max="1" width="21" customWidth="1"/>
    <col min="2" max="2" width="14.33203125" bestFit="1" customWidth="1"/>
    <col min="3" max="3" width="11.77734375" bestFit="1" customWidth="1"/>
    <col min="4" max="4" width="8.33203125" customWidth="1"/>
    <col min="5" max="5" width="21.77734375" customWidth="1"/>
    <col min="6" max="6" width="11.77734375" bestFit="1" customWidth="1"/>
    <col min="7" max="7" width="11.44140625" customWidth="1"/>
    <col min="8" max="8" width="16.6640625" customWidth="1"/>
    <col min="9" max="9" width="14.44140625" customWidth="1"/>
    <col min="10" max="10" width="8.109375" customWidth="1"/>
    <col min="11" max="11" width="22.33203125" customWidth="1"/>
    <col min="12" max="12" width="14.6640625" customWidth="1"/>
    <col min="13" max="13" width="7.33203125" customWidth="1"/>
    <col min="14" max="14" width="13" style="356" customWidth="1"/>
    <col min="15" max="15" width="16.44140625" style="356" customWidth="1"/>
    <col min="16" max="16" width="37.6640625" style="121" customWidth="1"/>
    <col min="17" max="17" width="11.33203125" style="122" customWidth="1"/>
    <col min="18" max="18" width="12.6640625" customWidth="1"/>
    <col min="19" max="19" width="26.33203125" customWidth="1"/>
    <col min="20" max="20" width="14.44140625" customWidth="1"/>
    <col min="21" max="21" width="15.6640625" customWidth="1"/>
    <col min="22" max="22" width="13.6640625" customWidth="1"/>
    <col min="23" max="23" width="20.44140625" customWidth="1"/>
    <col min="24" max="24" width="23.44140625" customWidth="1"/>
    <col min="25" max="25" width="15.109375" customWidth="1"/>
    <col min="26" max="26" width="26.109375" customWidth="1"/>
    <col min="27" max="27" width="14.6640625" customWidth="1"/>
    <col min="28" max="28" width="19.6640625" customWidth="1"/>
  </cols>
  <sheetData>
    <row r="1" spans="1:17" ht="21" x14ac:dyDescent="0.4">
      <c r="A1" s="188" t="s">
        <v>649</v>
      </c>
      <c r="B1" s="188"/>
    </row>
    <row r="2" spans="1:17" ht="21" x14ac:dyDescent="0.4">
      <c r="A2" s="188"/>
      <c r="B2" s="188"/>
    </row>
    <row r="3" spans="1:17" x14ac:dyDescent="0.3">
      <c r="E3" s="698" t="s">
        <v>322</v>
      </c>
    </row>
    <row r="4" spans="1:17" s="125" customFormat="1" ht="28.8" x14ac:dyDescent="0.3">
      <c r="A4" s="124" t="s">
        <v>13</v>
      </c>
      <c r="B4" s="124" t="s">
        <v>251</v>
      </c>
      <c r="C4" s="124" t="s">
        <v>252</v>
      </c>
      <c r="E4" s="126" t="s">
        <v>323</v>
      </c>
      <c r="F4" s="124"/>
      <c r="G4" s="124" t="s">
        <v>324</v>
      </c>
      <c r="N4" s="499"/>
      <c r="O4" s="499"/>
      <c r="P4" s="127"/>
      <c r="Q4" s="128"/>
    </row>
    <row r="5" spans="1:17" x14ac:dyDescent="0.3">
      <c r="A5" s="123" t="s">
        <v>325</v>
      </c>
      <c r="B5" s="394">
        <f>IF(Macro!$D$8=1,2500,IF(Macro!$D$8=2,25000,75000))</f>
        <v>25000</v>
      </c>
      <c r="C5" s="123" t="s">
        <v>326</v>
      </c>
      <c r="D5" s="132"/>
      <c r="E5" s="123" t="s">
        <v>650</v>
      </c>
      <c r="F5" s="810">
        <v>0.3</v>
      </c>
      <c r="G5" s="314">
        <v>0.3</v>
      </c>
    </row>
    <row r="6" spans="1:17" x14ac:dyDescent="0.3">
      <c r="A6" s="123"/>
      <c r="B6" s="123"/>
      <c r="C6" s="123"/>
    </row>
    <row r="7" spans="1:17" x14ac:dyDescent="0.3">
      <c r="A7" s="123" t="s">
        <v>94</v>
      </c>
      <c r="B7" s="135">
        <f>B5*Battery!E10*Efficiencies!E77</f>
        <v>2066.9300726089787</v>
      </c>
      <c r="C7" s="123" t="s">
        <v>326</v>
      </c>
      <c r="E7" s="121"/>
    </row>
    <row r="8" spans="1:17" x14ac:dyDescent="0.3">
      <c r="A8" s="123" t="s">
        <v>93</v>
      </c>
      <c r="B8" s="135">
        <f>B5*Battery!E11*Efficiencies!E76</f>
        <v>684.68917215354588</v>
      </c>
      <c r="C8" s="123" t="s">
        <v>326</v>
      </c>
      <c r="E8" s="104"/>
      <c r="F8" s="491"/>
      <c r="G8" s="70"/>
      <c r="H8" s="104"/>
      <c r="I8" s="104"/>
    </row>
    <row r="9" spans="1:17" x14ac:dyDescent="0.3">
      <c r="A9" s="123" t="s">
        <v>234</v>
      </c>
      <c r="B9" s="135">
        <f>B5*Battery!E15*'R3_MEFA'!O5</f>
        <v>17.283192366081114</v>
      </c>
      <c r="C9" s="123" t="s">
        <v>326</v>
      </c>
      <c r="E9" s="70"/>
      <c r="F9" s="464"/>
      <c r="G9" s="70"/>
      <c r="H9" s="70"/>
      <c r="I9" s="70"/>
    </row>
    <row r="10" spans="1:17" x14ac:dyDescent="0.3">
      <c r="A10" s="123" t="s">
        <v>45</v>
      </c>
      <c r="B10" s="147">
        <f>B5*F5*'R3_MEFA'!O7*Battery!E20</f>
        <v>0</v>
      </c>
      <c r="C10" s="123" t="s">
        <v>326</v>
      </c>
      <c r="E10" s="70"/>
      <c r="F10" s="70"/>
      <c r="G10" s="70"/>
      <c r="H10" s="70"/>
      <c r="I10" s="70"/>
    </row>
    <row r="11" spans="1:17" x14ac:dyDescent="0.3">
      <c r="A11" s="151" t="s">
        <v>651</v>
      </c>
      <c r="B11" s="135">
        <f>SUM(B7:B10)</f>
        <v>2768.9024371286055</v>
      </c>
      <c r="C11" s="123" t="s">
        <v>326</v>
      </c>
    </row>
    <row r="13" spans="1:17" ht="28.8" x14ac:dyDescent="0.3">
      <c r="A13" s="151" t="s">
        <v>281</v>
      </c>
      <c r="B13" s="98" t="s">
        <v>13</v>
      </c>
      <c r="C13" s="98" t="s">
        <v>251</v>
      </c>
      <c r="D13" s="98" t="s">
        <v>252</v>
      </c>
      <c r="E13" s="99" t="s">
        <v>282</v>
      </c>
      <c r="F13" s="99" t="s">
        <v>251</v>
      </c>
      <c r="G13" s="99" t="s">
        <v>252</v>
      </c>
      <c r="H13" s="101" t="s">
        <v>283</v>
      </c>
      <c r="I13" s="152" t="s">
        <v>251</v>
      </c>
      <c r="J13" s="152" t="s">
        <v>252</v>
      </c>
      <c r="K13" s="102" t="s">
        <v>330</v>
      </c>
      <c r="L13" s="153" t="s">
        <v>251</v>
      </c>
      <c r="M13" s="102" t="s">
        <v>252</v>
      </c>
      <c r="N13" s="518" t="s">
        <v>331</v>
      </c>
      <c r="O13" s="518" t="s">
        <v>547</v>
      </c>
      <c r="P13" s="97" t="s">
        <v>285</v>
      </c>
      <c r="Q13" s="154" t="s">
        <v>298</v>
      </c>
    </row>
    <row r="14" spans="1:17" s="125" customFormat="1" x14ac:dyDescent="0.3">
      <c r="A14" s="771" t="s">
        <v>204</v>
      </c>
      <c r="B14" s="155"/>
      <c r="C14" s="156"/>
      <c r="D14" s="156"/>
      <c r="E14" s="155"/>
      <c r="F14" s="155"/>
      <c r="G14" s="157"/>
      <c r="H14" s="155"/>
      <c r="I14" s="155"/>
      <c r="J14" s="155"/>
      <c r="K14" s="156"/>
      <c r="L14" s="158"/>
      <c r="M14" s="155"/>
      <c r="N14" s="500"/>
      <c r="O14" s="500"/>
      <c r="P14" s="159"/>
      <c r="Q14" s="160"/>
    </row>
    <row r="15" spans="1:17" x14ac:dyDescent="0.3">
      <c r="A15" s="210" t="s">
        <v>333</v>
      </c>
      <c r="B15" s="132" t="s">
        <v>278</v>
      </c>
      <c r="C15" s="161">
        <f>B11</f>
        <v>2768.9024371286055</v>
      </c>
      <c r="D15" s="162" t="s">
        <v>288</v>
      </c>
      <c r="E15" s="132"/>
      <c r="F15" s="132"/>
      <c r="G15" s="162"/>
      <c r="H15" s="132"/>
      <c r="I15" s="132"/>
      <c r="J15" s="132"/>
      <c r="K15" s="162"/>
      <c r="L15" s="132"/>
      <c r="M15" s="132"/>
      <c r="N15" s="501"/>
      <c r="O15" s="501"/>
      <c r="P15" s="163"/>
      <c r="Q15" s="164"/>
    </row>
    <row r="16" spans="1:17" x14ac:dyDescent="0.3">
      <c r="A16" s="132" t="s">
        <v>334</v>
      </c>
      <c r="B16" s="132"/>
      <c r="C16" s="162"/>
      <c r="D16" s="162"/>
      <c r="E16" s="210" t="s">
        <v>70</v>
      </c>
      <c r="F16" s="166">
        <f>Stoichiometry!G114</f>
        <v>4620.392240636058</v>
      </c>
      <c r="G16" s="162" t="s">
        <v>288</v>
      </c>
      <c r="H16" s="132"/>
      <c r="I16" s="132"/>
      <c r="J16" s="132"/>
      <c r="K16" s="162"/>
      <c r="L16" s="132"/>
      <c r="M16" s="132"/>
      <c r="N16" s="501"/>
      <c r="O16" s="501"/>
      <c r="P16" s="163"/>
      <c r="Q16" s="164"/>
    </row>
    <row r="17" spans="1:17" x14ac:dyDescent="0.3">
      <c r="A17" s="132"/>
      <c r="B17" s="132"/>
      <c r="C17" s="162"/>
      <c r="D17" s="162"/>
      <c r="E17" s="132"/>
      <c r="F17" s="166"/>
      <c r="G17" s="162"/>
      <c r="H17" s="132" t="s">
        <v>48</v>
      </c>
      <c r="I17" s="168">
        <f>Energy!P101</f>
        <v>128588.54866076633</v>
      </c>
      <c r="J17" s="132" t="s">
        <v>221</v>
      </c>
      <c r="K17" s="162"/>
      <c r="L17" s="132"/>
      <c r="M17" s="132"/>
      <c r="N17" s="501"/>
      <c r="O17" s="501"/>
      <c r="P17" s="163" t="s">
        <v>335</v>
      </c>
      <c r="Q17" s="164"/>
    </row>
    <row r="18" spans="1:17" x14ac:dyDescent="0.3">
      <c r="A18" s="132"/>
      <c r="B18" s="168"/>
      <c r="C18" s="162"/>
      <c r="D18" s="162"/>
      <c r="E18" s="132"/>
      <c r="F18" s="132"/>
      <c r="G18" s="162"/>
      <c r="H18" s="132"/>
      <c r="I18" s="132"/>
      <c r="J18" s="132"/>
      <c r="K18" s="162" t="s">
        <v>336</v>
      </c>
      <c r="L18" s="168">
        <f>Stoichiometry!G121</f>
        <v>7294.1357021724452</v>
      </c>
      <c r="M18" s="132" t="s">
        <v>288</v>
      </c>
      <c r="N18" s="501"/>
      <c r="O18" s="501"/>
      <c r="P18" s="163" t="s">
        <v>337</v>
      </c>
      <c r="Q18" s="164"/>
    </row>
    <row r="19" spans="1:17" x14ac:dyDescent="0.3">
      <c r="A19" s="132"/>
      <c r="B19" s="168"/>
      <c r="C19" s="162"/>
      <c r="D19" s="162"/>
      <c r="E19" s="132"/>
      <c r="F19" s="132"/>
      <c r="G19" s="162"/>
      <c r="H19" s="132"/>
      <c r="I19" s="132"/>
      <c r="J19" s="132"/>
      <c r="K19" s="162" t="s">
        <v>336</v>
      </c>
      <c r="L19" s="168">
        <f>L18/N19</f>
        <v>1978.3763313342722</v>
      </c>
      <c r="M19" s="132" t="s">
        <v>301</v>
      </c>
      <c r="N19" s="502">
        <f>Stoichiometry!C121</f>
        <v>3.6869303310220438</v>
      </c>
      <c r="O19" s="502"/>
      <c r="P19" s="163"/>
      <c r="Q19" s="191"/>
    </row>
    <row r="20" spans="1:17" x14ac:dyDescent="0.3">
      <c r="A20" s="132"/>
      <c r="B20" s="132"/>
      <c r="C20" s="162"/>
      <c r="D20" s="162"/>
      <c r="E20" s="132"/>
      <c r="F20" s="132"/>
      <c r="G20" s="162"/>
      <c r="H20" s="169"/>
      <c r="I20" s="169"/>
      <c r="J20" s="169"/>
      <c r="K20" s="145"/>
      <c r="L20" s="169"/>
      <c r="M20" s="169"/>
      <c r="N20" s="503"/>
      <c r="O20" s="503"/>
      <c r="P20" s="170"/>
      <c r="Q20" s="171"/>
    </row>
    <row r="21" spans="1:17" x14ac:dyDescent="0.3">
      <c r="A21" s="770" t="s">
        <v>205</v>
      </c>
      <c r="B21" s="172"/>
      <c r="C21" s="173"/>
      <c r="D21" s="173"/>
      <c r="E21" s="172"/>
      <c r="F21" s="172"/>
      <c r="G21" s="173"/>
      <c r="H21" s="132"/>
      <c r="I21" s="132"/>
      <c r="J21" s="132"/>
      <c r="K21" s="162"/>
      <c r="L21" s="132"/>
      <c r="M21" s="132"/>
      <c r="N21" s="501"/>
      <c r="O21" s="501"/>
      <c r="P21" s="163"/>
      <c r="Q21" s="164"/>
    </row>
    <row r="22" spans="1:17" x14ac:dyDescent="0.3">
      <c r="A22" s="210" t="s">
        <v>338</v>
      </c>
      <c r="B22" s="132" t="s">
        <v>336</v>
      </c>
      <c r="C22" s="161">
        <f>L18</f>
        <v>7294.1357021724452</v>
      </c>
      <c r="D22" s="162" t="s">
        <v>288</v>
      </c>
      <c r="E22" s="132"/>
      <c r="F22" s="132"/>
      <c r="G22" s="162"/>
      <c r="H22" s="132"/>
      <c r="I22" s="132"/>
      <c r="J22" s="132"/>
      <c r="K22" s="162"/>
      <c r="L22" s="132"/>
      <c r="M22" s="132"/>
      <c r="N22" s="501"/>
      <c r="O22" s="501"/>
      <c r="P22" s="163"/>
      <c r="Q22" s="164"/>
    </row>
    <row r="23" spans="1:17" ht="15.45" customHeight="1" x14ac:dyDescent="0.3">
      <c r="A23" s="174"/>
      <c r="B23" s="175"/>
      <c r="C23" s="176"/>
      <c r="D23" s="176"/>
      <c r="E23" s="132" t="s">
        <v>214</v>
      </c>
      <c r="F23" s="177">
        <f>(Stoichiometry!G116/(Stoichiometry!J6/1000)+Stoichiometry!G117/(Stoichiometry!J5/1000)+Stoichiometry!G118/(Stoichiometry!J9/1000)+Stoichiometry!G119/(Stoichiometry!J10/1000))*Q23</f>
        <v>16362.628837979244</v>
      </c>
      <c r="G23" s="162" t="s">
        <v>288</v>
      </c>
      <c r="H23" s="132"/>
      <c r="I23" s="132"/>
      <c r="J23" s="132"/>
      <c r="K23" s="162"/>
      <c r="L23" s="132"/>
      <c r="M23" s="132"/>
      <c r="N23" s="501"/>
      <c r="O23" s="501"/>
      <c r="P23" s="110" t="s">
        <v>339</v>
      </c>
      <c r="Q23" s="811">
        <v>1.2</v>
      </c>
    </row>
    <row r="24" spans="1:17" ht="29.55" customHeight="1" x14ac:dyDescent="0.3">
      <c r="A24" s="174"/>
      <c r="B24" s="175"/>
      <c r="C24" s="176"/>
      <c r="D24" s="176"/>
      <c r="E24" s="132"/>
      <c r="F24" s="177"/>
      <c r="G24" s="162"/>
      <c r="H24" s="388" t="s">
        <v>48</v>
      </c>
      <c r="I24" s="470">
        <f>Energy!P102</f>
        <v>63058.479710764659</v>
      </c>
      <c r="J24" s="388" t="s">
        <v>221</v>
      </c>
      <c r="K24" s="162"/>
      <c r="L24" s="132"/>
      <c r="M24" s="132"/>
      <c r="N24" s="501"/>
      <c r="O24" s="501"/>
      <c r="P24" s="178"/>
      <c r="Q24" s="469"/>
    </row>
    <row r="25" spans="1:17" ht="15.45" customHeight="1" x14ac:dyDescent="0.3">
      <c r="A25" s="132"/>
      <c r="B25" s="132"/>
      <c r="C25" s="162"/>
      <c r="D25" s="162"/>
      <c r="E25" s="132"/>
      <c r="F25" s="132"/>
      <c r="G25" s="162"/>
      <c r="H25" s="132"/>
      <c r="I25" s="132"/>
      <c r="J25" s="132"/>
      <c r="K25" s="162" t="s">
        <v>340</v>
      </c>
      <c r="L25" s="168">
        <f>C22+F23</f>
        <v>23656.764540151689</v>
      </c>
      <c r="M25" s="132" t="s">
        <v>288</v>
      </c>
      <c r="N25" s="501"/>
      <c r="O25" s="501"/>
      <c r="P25" s="163"/>
      <c r="Q25" s="164"/>
    </row>
    <row r="26" spans="1:17" x14ac:dyDescent="0.3">
      <c r="A26" s="132"/>
      <c r="B26" s="132"/>
      <c r="C26" s="162"/>
      <c r="D26" s="162"/>
      <c r="E26" s="132"/>
      <c r="F26" s="132"/>
      <c r="G26" s="162"/>
      <c r="H26" s="132"/>
      <c r="I26" s="132"/>
      <c r="J26" s="132"/>
      <c r="K26" s="162" t="s">
        <v>340</v>
      </c>
      <c r="L26" s="168">
        <f>L25/N26</f>
        <v>13094.049486532675</v>
      </c>
      <c r="M26" s="132" t="s">
        <v>301</v>
      </c>
      <c r="N26" s="504">
        <f>C22*Stoichiometry!C19/L25+F23*1/L25</f>
        <v>1.8066805509237494</v>
      </c>
      <c r="O26" s="504"/>
      <c r="P26" s="163"/>
      <c r="Q26" s="191"/>
    </row>
    <row r="27" spans="1:17" x14ac:dyDescent="0.3">
      <c r="A27" s="132"/>
      <c r="B27" s="132"/>
      <c r="C27" s="162"/>
      <c r="D27" s="162"/>
      <c r="E27" s="132"/>
      <c r="F27" s="132"/>
      <c r="G27" s="162"/>
      <c r="H27" s="169"/>
      <c r="I27" s="169"/>
      <c r="J27" s="169"/>
      <c r="K27" s="145"/>
      <c r="L27" s="169"/>
      <c r="M27" s="169"/>
      <c r="N27" s="503"/>
      <c r="O27" s="503"/>
      <c r="P27" s="170"/>
      <c r="Q27" s="171"/>
    </row>
    <row r="28" spans="1:17" x14ac:dyDescent="0.3">
      <c r="A28" s="158" t="s">
        <v>211</v>
      </c>
      <c r="B28" s="172"/>
      <c r="C28" s="173"/>
      <c r="D28" s="173"/>
      <c r="E28" s="172"/>
      <c r="F28" s="172"/>
      <c r="G28" s="173"/>
      <c r="H28" s="132"/>
      <c r="I28" s="132"/>
      <c r="J28" s="132"/>
      <c r="K28" s="162"/>
      <c r="L28" s="132"/>
      <c r="M28" s="132"/>
      <c r="N28" s="501"/>
      <c r="O28" s="501"/>
      <c r="P28" s="163"/>
      <c r="Q28" s="164"/>
    </row>
    <row r="29" spans="1:17" x14ac:dyDescent="0.3">
      <c r="A29" s="132" t="s">
        <v>342</v>
      </c>
      <c r="B29" s="132" t="s">
        <v>340</v>
      </c>
      <c r="C29" s="161">
        <f>L25</f>
        <v>23656.764540151689</v>
      </c>
      <c r="D29" s="162" t="s">
        <v>288</v>
      </c>
      <c r="E29" s="132"/>
      <c r="F29" s="132"/>
      <c r="G29" s="162"/>
      <c r="H29" s="162"/>
      <c r="I29" s="132"/>
      <c r="J29" s="132"/>
      <c r="K29" s="162"/>
      <c r="L29" s="132"/>
      <c r="M29" s="132"/>
      <c r="N29" s="501"/>
      <c r="O29" s="501"/>
      <c r="P29" s="163"/>
      <c r="Q29" s="164"/>
    </row>
    <row r="30" spans="1:17" ht="43.2" x14ac:dyDescent="0.3">
      <c r="A30" s="132"/>
      <c r="B30" s="132"/>
      <c r="C30" s="162"/>
      <c r="D30" s="162"/>
      <c r="E30" s="132" t="s">
        <v>45</v>
      </c>
      <c r="F30" s="168">
        <f>B9*(Stoichiometry!D110/Stoichiometry!D109)*Q30</f>
        <v>16.707992494259532</v>
      </c>
      <c r="G30" s="162" t="s">
        <v>288</v>
      </c>
      <c r="H30" s="162"/>
      <c r="I30" s="132"/>
      <c r="J30" s="132"/>
      <c r="K30" s="162"/>
      <c r="L30" s="132"/>
      <c r="M30" s="132"/>
      <c r="N30" s="501"/>
      <c r="O30" s="501"/>
      <c r="P30" s="110" t="s">
        <v>343</v>
      </c>
      <c r="Q30" s="812">
        <v>1.1000000000000001</v>
      </c>
    </row>
    <row r="31" spans="1:17" x14ac:dyDescent="0.3">
      <c r="A31" s="132"/>
      <c r="B31" s="132"/>
      <c r="C31" s="162"/>
      <c r="D31" s="162"/>
      <c r="E31" s="132"/>
      <c r="F31" s="179"/>
      <c r="G31" s="162"/>
      <c r="H31" s="132" t="s">
        <v>48</v>
      </c>
      <c r="I31" s="177">
        <f>Energy!P103</f>
        <v>63094.106094550451</v>
      </c>
      <c r="J31" s="132" t="s">
        <v>221</v>
      </c>
      <c r="K31" s="162"/>
      <c r="L31" s="132"/>
      <c r="M31" s="132"/>
      <c r="N31" s="501"/>
      <c r="O31" s="501"/>
      <c r="P31" s="178"/>
      <c r="Q31" s="469"/>
    </row>
    <row r="32" spans="1:17" x14ac:dyDescent="0.3">
      <c r="A32" s="132"/>
      <c r="B32" s="132"/>
      <c r="C32" s="162"/>
      <c r="D32" s="162"/>
      <c r="E32" s="132"/>
      <c r="F32" s="132"/>
      <c r="G32" s="162"/>
      <c r="H32" s="162"/>
      <c r="I32" s="132"/>
      <c r="J32" s="132"/>
      <c r="K32" s="162" t="s">
        <v>340</v>
      </c>
      <c r="L32" s="168">
        <f>C29+F30</f>
        <v>23673.472532645948</v>
      </c>
      <c r="M32" s="132" t="s">
        <v>288</v>
      </c>
      <c r="N32" s="501"/>
      <c r="O32" s="501"/>
      <c r="P32" s="163"/>
      <c r="Q32" s="164"/>
    </row>
    <row r="33" spans="1:24" x14ac:dyDescent="0.3">
      <c r="A33" s="132"/>
      <c r="B33" s="132"/>
      <c r="C33" s="162"/>
      <c r="D33" s="162"/>
      <c r="E33" s="132"/>
      <c r="F33" s="132"/>
      <c r="G33" s="162"/>
      <c r="H33" s="162"/>
      <c r="I33" s="132"/>
      <c r="J33" s="132"/>
      <c r="K33" s="162" t="s">
        <v>340</v>
      </c>
      <c r="L33" s="168">
        <f>L32/N33</f>
        <v>13103.297381787714</v>
      </c>
      <c r="M33" s="132" t="s">
        <v>301</v>
      </c>
      <c r="N33" s="504">
        <f>N26</f>
        <v>1.8066805509237494</v>
      </c>
      <c r="O33" s="504"/>
      <c r="P33" s="163"/>
      <c r="Q33" s="191"/>
      <c r="X33" s="167"/>
    </row>
    <row r="34" spans="1:24" x14ac:dyDescent="0.3">
      <c r="A34" s="132"/>
      <c r="B34" s="132"/>
      <c r="C34" s="162"/>
      <c r="D34" s="162"/>
      <c r="E34" s="132"/>
      <c r="F34" s="132"/>
      <c r="G34" s="162"/>
      <c r="H34" s="169"/>
      <c r="I34" s="169"/>
      <c r="J34" s="169"/>
      <c r="K34" s="145"/>
      <c r="L34" s="169"/>
      <c r="M34" s="169"/>
      <c r="N34" s="503"/>
      <c r="O34" s="503"/>
      <c r="P34" s="170"/>
      <c r="Q34" s="171"/>
    </row>
    <row r="35" spans="1:24" x14ac:dyDescent="0.3">
      <c r="A35" s="158" t="s">
        <v>212</v>
      </c>
      <c r="B35" s="172"/>
      <c r="C35" s="173"/>
      <c r="D35" s="173"/>
      <c r="E35" s="172"/>
      <c r="F35" s="172"/>
      <c r="G35" s="173"/>
      <c r="H35" s="132"/>
      <c r="I35" s="132"/>
      <c r="J35" s="132"/>
      <c r="K35" s="162"/>
      <c r="L35" s="132"/>
      <c r="M35" s="132"/>
      <c r="N35" s="501"/>
      <c r="O35" s="501"/>
      <c r="P35" s="163"/>
      <c r="Q35" s="164"/>
    </row>
    <row r="36" spans="1:24" x14ac:dyDescent="0.3">
      <c r="A36" s="132" t="s">
        <v>344</v>
      </c>
      <c r="B36" s="132" t="s">
        <v>340</v>
      </c>
      <c r="C36" s="161">
        <f>L32</f>
        <v>23673.472532645948</v>
      </c>
      <c r="D36" s="162" t="s">
        <v>288</v>
      </c>
      <c r="E36" s="132"/>
      <c r="F36" s="132"/>
      <c r="G36" s="162"/>
      <c r="H36" s="132"/>
      <c r="I36" s="132"/>
      <c r="J36" s="132"/>
      <c r="K36" s="162"/>
      <c r="L36" s="132"/>
      <c r="M36" s="132"/>
      <c r="N36" s="501"/>
      <c r="O36" s="501"/>
      <c r="P36" s="163"/>
      <c r="Q36" s="164"/>
    </row>
    <row r="37" spans="1:24" x14ac:dyDescent="0.3">
      <c r="A37" s="132"/>
      <c r="B37" s="132"/>
      <c r="C37" s="161"/>
      <c r="D37" s="162"/>
      <c r="E37" s="132"/>
      <c r="F37" s="132"/>
      <c r="G37" s="162"/>
      <c r="H37" s="132" t="s">
        <v>48</v>
      </c>
      <c r="I37" s="177">
        <f>Energy!P104</f>
        <v>48635.040114549309</v>
      </c>
      <c r="J37" s="132" t="s">
        <v>221</v>
      </c>
      <c r="K37" s="162"/>
      <c r="L37" s="132"/>
      <c r="M37" s="132"/>
      <c r="N37" s="501"/>
      <c r="O37" s="501"/>
      <c r="P37" s="163"/>
      <c r="Q37" s="469"/>
    </row>
    <row r="38" spans="1:24" x14ac:dyDescent="0.3">
      <c r="A38" s="132"/>
      <c r="B38" s="132"/>
      <c r="C38" s="162"/>
      <c r="D38" s="162"/>
      <c r="E38" s="132"/>
      <c r="F38" s="132"/>
      <c r="G38" s="162"/>
      <c r="H38" s="132"/>
      <c r="I38" s="132"/>
      <c r="J38" s="132"/>
      <c r="K38" s="163" t="s">
        <v>559</v>
      </c>
      <c r="L38" s="168">
        <f>B9*Efficiencies!E103</f>
        <v>13.243418982433314</v>
      </c>
      <c r="M38" s="132" t="s">
        <v>288</v>
      </c>
      <c r="N38" s="501"/>
      <c r="O38" s="501"/>
      <c r="P38" s="163"/>
      <c r="Q38" s="164"/>
    </row>
    <row r="39" spans="1:24" x14ac:dyDescent="0.3">
      <c r="A39" s="132"/>
      <c r="B39" s="132"/>
      <c r="C39" s="162"/>
      <c r="D39" s="162"/>
      <c r="E39" s="132"/>
      <c r="F39" s="132"/>
      <c r="G39" s="162"/>
      <c r="H39" s="132"/>
      <c r="I39" s="132"/>
      <c r="J39" s="132"/>
      <c r="K39" s="162" t="s">
        <v>340</v>
      </c>
      <c r="L39" s="168">
        <f>C36-L38</f>
        <v>23660.229113663514</v>
      </c>
      <c r="M39" s="132" t="s">
        <v>288</v>
      </c>
      <c r="N39" s="501"/>
      <c r="O39" s="501"/>
      <c r="P39" s="163"/>
      <c r="Q39" s="164"/>
    </row>
    <row r="40" spans="1:24" x14ac:dyDescent="0.3">
      <c r="A40" s="132"/>
      <c r="B40" s="132"/>
      <c r="C40" s="162"/>
      <c r="D40" s="162"/>
      <c r="E40" s="132"/>
      <c r="F40" s="132"/>
      <c r="G40" s="145"/>
      <c r="H40" s="169"/>
      <c r="I40" s="169"/>
      <c r="J40" s="169"/>
      <c r="K40" s="145"/>
      <c r="L40" s="169"/>
      <c r="M40" s="169"/>
      <c r="N40" s="503"/>
      <c r="O40" s="503"/>
      <c r="P40" s="170"/>
      <c r="Q40" s="171"/>
    </row>
    <row r="41" spans="1:24" x14ac:dyDescent="0.3">
      <c r="A41" s="158" t="s">
        <v>346</v>
      </c>
      <c r="B41" s="172"/>
      <c r="C41" s="173"/>
      <c r="D41" s="173"/>
      <c r="E41" s="172"/>
      <c r="F41" s="172"/>
      <c r="G41" s="162"/>
      <c r="H41" s="132"/>
      <c r="I41" s="132"/>
      <c r="J41" s="132"/>
      <c r="K41" s="162"/>
      <c r="L41" s="132"/>
      <c r="M41" s="132"/>
      <c r="N41" s="501"/>
      <c r="O41" s="501"/>
      <c r="P41" s="163"/>
      <c r="Q41" s="164"/>
    </row>
    <row r="42" spans="1:24" x14ac:dyDescent="0.3">
      <c r="A42" s="210" t="s">
        <v>342</v>
      </c>
      <c r="B42" s="132" t="s">
        <v>340</v>
      </c>
      <c r="C42" s="161">
        <f>L39</f>
        <v>23660.229113663514</v>
      </c>
      <c r="D42" s="162" t="s">
        <v>288</v>
      </c>
      <c r="E42" s="132"/>
      <c r="F42" s="132"/>
      <c r="G42" s="162"/>
      <c r="H42" s="132"/>
      <c r="I42" s="132"/>
      <c r="J42" s="132"/>
      <c r="K42" s="162"/>
      <c r="L42" s="132"/>
      <c r="M42" s="132"/>
      <c r="N42" s="501"/>
      <c r="O42" s="501"/>
      <c r="P42" s="163"/>
      <c r="Q42" s="164"/>
    </row>
    <row r="43" spans="1:24" x14ac:dyDescent="0.3">
      <c r="A43" s="132"/>
      <c r="B43" s="132" t="s">
        <v>340</v>
      </c>
      <c r="C43" s="161">
        <f>C42/N43</f>
        <v>13095.967132410942</v>
      </c>
      <c r="D43" s="162" t="s">
        <v>301</v>
      </c>
      <c r="E43" s="132"/>
      <c r="F43" s="132"/>
      <c r="G43" s="162"/>
      <c r="H43" s="162"/>
      <c r="I43" s="132"/>
      <c r="J43" s="132"/>
      <c r="K43" s="162"/>
      <c r="L43" s="132"/>
      <c r="M43" s="132"/>
      <c r="N43" s="504">
        <f>N33</f>
        <v>1.8066805509237494</v>
      </c>
      <c r="O43" s="504"/>
      <c r="P43" s="163"/>
      <c r="Q43" s="191"/>
    </row>
    <row r="44" spans="1:24" x14ac:dyDescent="0.3">
      <c r="A44" s="132"/>
      <c r="B44" s="132"/>
      <c r="C44" s="162"/>
      <c r="D44" s="162"/>
      <c r="E44" s="163" t="s">
        <v>74</v>
      </c>
      <c r="F44" s="168">
        <f>C43*Q44</f>
        <v>523.83868529643769</v>
      </c>
      <c r="G44" s="162" t="s">
        <v>301</v>
      </c>
      <c r="H44" s="132"/>
      <c r="I44" s="132"/>
      <c r="J44" s="132"/>
      <c r="K44" s="162"/>
      <c r="L44" s="132"/>
      <c r="M44" s="132"/>
      <c r="N44" s="501"/>
      <c r="O44" s="501"/>
      <c r="P44" s="163" t="s">
        <v>347</v>
      </c>
      <c r="Q44" s="813">
        <v>0.04</v>
      </c>
    </row>
    <row r="45" spans="1:24" x14ac:dyDescent="0.3">
      <c r="A45" s="132"/>
      <c r="B45" s="132"/>
      <c r="C45" s="162"/>
      <c r="D45" s="162"/>
      <c r="E45" s="163" t="s">
        <v>74</v>
      </c>
      <c r="F45" s="168">
        <f>F44*Stoichiometry!C125</f>
        <v>759.56609367983458</v>
      </c>
      <c r="G45" s="162" t="s">
        <v>288</v>
      </c>
      <c r="H45" s="132"/>
      <c r="I45" s="132"/>
      <c r="J45" s="132"/>
      <c r="K45" s="162"/>
      <c r="L45" s="132"/>
      <c r="M45" s="132"/>
      <c r="N45" s="501"/>
      <c r="O45" s="501"/>
      <c r="P45" s="163"/>
      <c r="Q45" s="164"/>
    </row>
    <row r="46" spans="1:24" x14ac:dyDescent="0.3">
      <c r="A46" s="132"/>
      <c r="B46" s="132"/>
      <c r="C46" s="162"/>
      <c r="D46" s="162"/>
      <c r="E46" s="132"/>
      <c r="F46" s="168"/>
      <c r="G46" s="162"/>
      <c r="H46" s="132" t="s">
        <v>48</v>
      </c>
      <c r="I46" s="177">
        <f>Energy!P105</f>
        <v>65076.029341041343</v>
      </c>
      <c r="J46" s="132" t="s">
        <v>221</v>
      </c>
      <c r="K46" s="162"/>
      <c r="L46" s="132"/>
      <c r="M46" s="132"/>
      <c r="N46" s="501"/>
      <c r="O46" s="501"/>
      <c r="P46" s="163"/>
      <c r="Q46" s="469"/>
    </row>
    <row r="47" spans="1:24" x14ac:dyDescent="0.3">
      <c r="A47" s="132"/>
      <c r="B47" s="132"/>
      <c r="C47" s="162"/>
      <c r="D47" s="162"/>
      <c r="E47" s="132"/>
      <c r="F47" s="132"/>
      <c r="G47" s="162"/>
      <c r="H47" s="132"/>
      <c r="I47" s="132"/>
      <c r="J47" s="132"/>
      <c r="K47" s="162" t="s">
        <v>340</v>
      </c>
      <c r="L47" s="168">
        <f>C42+F45</f>
        <v>24419.795207343348</v>
      </c>
      <c r="M47" s="132" t="s">
        <v>288</v>
      </c>
      <c r="N47" s="501"/>
      <c r="O47" s="501"/>
      <c r="P47" s="163"/>
      <c r="Q47" s="164"/>
    </row>
    <row r="48" spans="1:24" x14ac:dyDescent="0.3">
      <c r="A48" s="132"/>
      <c r="B48" s="132"/>
      <c r="C48" s="162"/>
      <c r="D48" s="162"/>
      <c r="E48" s="132"/>
      <c r="F48" s="132"/>
      <c r="G48" s="162"/>
      <c r="H48" s="132"/>
      <c r="I48" s="132"/>
      <c r="J48" s="132"/>
      <c r="K48" s="162" t="s">
        <v>340</v>
      </c>
      <c r="L48" s="168">
        <f>C43+F44</f>
        <v>13619.80581770738</v>
      </c>
      <c r="M48" s="132" t="s">
        <v>301</v>
      </c>
      <c r="N48" s="501"/>
      <c r="O48" s="501"/>
      <c r="P48" s="163"/>
      <c r="Q48" s="164"/>
    </row>
    <row r="49" spans="1:17" x14ac:dyDescent="0.3">
      <c r="A49" s="132"/>
      <c r="B49" s="132"/>
      <c r="C49" s="162"/>
      <c r="D49" s="162"/>
      <c r="E49" s="132"/>
      <c r="F49" s="132"/>
      <c r="G49" s="145"/>
      <c r="H49" s="169"/>
      <c r="I49" s="169"/>
      <c r="J49" s="169"/>
      <c r="K49" s="145"/>
      <c r="L49" s="169"/>
      <c r="M49" s="169"/>
      <c r="N49" s="503"/>
      <c r="O49" s="503"/>
      <c r="P49" s="170"/>
      <c r="Q49" s="171"/>
    </row>
    <row r="50" spans="1:17" x14ac:dyDescent="0.3">
      <c r="A50" s="770" t="s">
        <v>468</v>
      </c>
      <c r="B50" s="172"/>
      <c r="C50" s="173"/>
      <c r="D50" s="173"/>
      <c r="E50" s="172"/>
      <c r="F50" s="172"/>
      <c r="G50" s="162"/>
      <c r="H50" s="132"/>
      <c r="I50" s="132"/>
      <c r="J50" s="132"/>
      <c r="K50" s="162"/>
      <c r="L50" s="132"/>
      <c r="M50" s="132"/>
      <c r="N50" s="501"/>
      <c r="O50" s="501"/>
      <c r="P50" s="163"/>
      <c r="Q50" s="164"/>
    </row>
    <row r="51" spans="1:17" x14ac:dyDescent="0.3">
      <c r="A51" s="210" t="s">
        <v>338</v>
      </c>
      <c r="B51" s="132" t="s">
        <v>340</v>
      </c>
      <c r="C51" s="161">
        <f>L47</f>
        <v>24419.795207343348</v>
      </c>
      <c r="D51" s="162" t="s">
        <v>288</v>
      </c>
      <c r="E51" s="132"/>
      <c r="F51" s="132"/>
      <c r="G51" s="162"/>
      <c r="H51" s="132"/>
      <c r="I51" s="132"/>
      <c r="J51" s="132"/>
      <c r="K51" s="162"/>
      <c r="L51" s="132"/>
      <c r="M51" s="132"/>
      <c r="N51" s="501"/>
      <c r="O51" s="501"/>
      <c r="P51" s="163"/>
      <c r="Q51" s="164"/>
    </row>
    <row r="52" spans="1:17" x14ac:dyDescent="0.3">
      <c r="A52" s="132"/>
      <c r="B52" s="132"/>
      <c r="C52" s="162"/>
      <c r="D52" s="162"/>
      <c r="E52" s="132" t="s">
        <v>66</v>
      </c>
      <c r="F52" s="168">
        <f>F16*Q52</f>
        <v>9240.784481272116</v>
      </c>
      <c r="G52" s="162" t="s">
        <v>288</v>
      </c>
      <c r="H52" s="132"/>
      <c r="I52" s="132"/>
      <c r="J52" s="132"/>
      <c r="K52" s="162"/>
      <c r="L52" s="132"/>
      <c r="M52" s="132"/>
      <c r="N52" s="501"/>
      <c r="O52" s="501"/>
      <c r="P52" s="110" t="s">
        <v>348</v>
      </c>
      <c r="Q52" s="812">
        <v>2</v>
      </c>
    </row>
    <row r="53" spans="1:17" x14ac:dyDescent="0.3">
      <c r="A53" s="132"/>
      <c r="B53" s="132"/>
      <c r="C53" s="162"/>
      <c r="D53" s="162"/>
      <c r="E53" s="132"/>
      <c r="F53" s="168"/>
      <c r="G53" s="162"/>
      <c r="H53" s="132" t="s">
        <v>48</v>
      </c>
      <c r="I53" s="177">
        <f>Energy!P106</f>
        <v>80466.180183932011</v>
      </c>
      <c r="J53" s="132" t="s">
        <v>221</v>
      </c>
      <c r="K53" s="162"/>
      <c r="L53" s="132"/>
      <c r="M53" s="132"/>
      <c r="N53" s="501"/>
      <c r="O53" s="501"/>
      <c r="P53" s="163"/>
      <c r="Q53" s="471"/>
    </row>
    <row r="54" spans="1:17" x14ac:dyDescent="0.3">
      <c r="A54" s="132"/>
      <c r="B54" s="132"/>
      <c r="C54" s="162"/>
      <c r="D54" s="162"/>
      <c r="E54" s="132"/>
      <c r="F54" s="132"/>
      <c r="G54" s="162"/>
      <c r="H54" s="162"/>
      <c r="I54" s="132"/>
      <c r="J54" s="132"/>
      <c r="K54" s="162" t="s">
        <v>340</v>
      </c>
      <c r="L54" s="168">
        <f>C51+F52</f>
        <v>33660.579688615464</v>
      </c>
      <c r="M54" s="132" t="s">
        <v>288</v>
      </c>
      <c r="N54" s="501"/>
      <c r="O54" s="501"/>
      <c r="P54" s="163"/>
      <c r="Q54" s="164"/>
    </row>
    <row r="55" spans="1:17" x14ac:dyDescent="0.3">
      <c r="A55" s="132"/>
      <c r="B55" s="132"/>
      <c r="C55" s="162"/>
      <c r="D55" s="162"/>
      <c r="E55" s="132"/>
      <c r="F55" s="132"/>
      <c r="G55" s="162"/>
      <c r="H55" s="162"/>
      <c r="I55" s="132"/>
      <c r="J55" s="132"/>
      <c r="K55" s="162" t="s">
        <v>340</v>
      </c>
      <c r="L55" s="168">
        <f>L54/N55</f>
        <v>17758.706906388266</v>
      </c>
      <c r="M55" s="132" t="s">
        <v>301</v>
      </c>
      <c r="N55" s="504">
        <f>N43*C51/L54+Stoichiometry!C24*F52/L54</f>
        <v>1.8954409161686701</v>
      </c>
      <c r="O55" s="504"/>
      <c r="P55" s="163"/>
      <c r="Q55" s="191"/>
    </row>
    <row r="56" spans="1:17" x14ac:dyDescent="0.3">
      <c r="A56" s="132"/>
      <c r="B56" s="132"/>
      <c r="C56" s="162"/>
      <c r="D56" s="162"/>
      <c r="E56" s="132"/>
      <c r="F56" s="132"/>
      <c r="G56" s="162"/>
      <c r="H56" s="169"/>
      <c r="I56" s="169"/>
      <c r="J56" s="169"/>
      <c r="K56" s="145"/>
      <c r="L56" s="169"/>
      <c r="M56" s="169"/>
      <c r="N56" s="503"/>
      <c r="O56" s="503"/>
      <c r="P56" s="170"/>
      <c r="Q56" s="171"/>
    </row>
    <row r="57" spans="1:17" x14ac:dyDescent="0.3">
      <c r="A57" s="158" t="s">
        <v>349</v>
      </c>
      <c r="B57" s="172"/>
      <c r="C57" s="173"/>
      <c r="D57" s="173"/>
      <c r="E57" s="172"/>
      <c r="F57" s="172"/>
      <c r="G57" s="173"/>
      <c r="H57" s="132"/>
      <c r="I57" s="132"/>
      <c r="J57" s="132"/>
      <c r="K57" s="162"/>
      <c r="L57" s="132"/>
      <c r="M57" s="132"/>
      <c r="N57" s="501"/>
      <c r="O57" s="501"/>
      <c r="P57" s="163"/>
      <c r="Q57" s="164"/>
    </row>
    <row r="58" spans="1:17" x14ac:dyDescent="0.3">
      <c r="A58" s="132" t="s">
        <v>350</v>
      </c>
      <c r="B58" s="132" t="s">
        <v>340</v>
      </c>
      <c r="C58" s="161">
        <f>L54</f>
        <v>33660.579688615464</v>
      </c>
      <c r="D58" s="162" t="s">
        <v>288</v>
      </c>
      <c r="E58" s="132"/>
      <c r="F58" s="132"/>
      <c r="G58" s="162"/>
      <c r="H58" s="132"/>
      <c r="I58" s="132"/>
      <c r="J58" s="132"/>
      <c r="K58" s="162"/>
      <c r="L58" s="132"/>
      <c r="M58" s="132"/>
      <c r="N58" s="501"/>
      <c r="O58" s="501"/>
      <c r="P58" s="163"/>
      <c r="Q58" s="164"/>
    </row>
    <row r="59" spans="1:17" x14ac:dyDescent="0.3">
      <c r="A59" s="132"/>
      <c r="B59" s="132"/>
      <c r="C59" s="161"/>
      <c r="D59" s="162"/>
      <c r="E59" s="132"/>
      <c r="F59" s="132"/>
      <c r="G59" s="162"/>
      <c r="H59" s="132" t="s">
        <v>48</v>
      </c>
      <c r="I59" s="177">
        <f>Energy!P107</f>
        <v>62026.013891780938</v>
      </c>
      <c r="J59" s="132" t="s">
        <v>221</v>
      </c>
      <c r="K59" s="162"/>
      <c r="L59" s="132"/>
      <c r="M59" s="132"/>
      <c r="N59" s="501"/>
      <c r="O59" s="501"/>
      <c r="P59" s="163"/>
      <c r="Q59" s="469"/>
    </row>
    <row r="60" spans="1:17" x14ac:dyDescent="0.3">
      <c r="A60" s="132"/>
      <c r="B60" s="132"/>
      <c r="C60" s="162"/>
      <c r="D60" s="162"/>
      <c r="E60" s="132"/>
      <c r="F60" s="132"/>
      <c r="G60" s="162"/>
      <c r="H60" s="132"/>
      <c r="I60" s="132"/>
      <c r="J60" s="132"/>
      <c r="K60" s="162" t="s">
        <v>340</v>
      </c>
      <c r="L60" s="168">
        <f>C58-L62</f>
        <v>33636.081551631702</v>
      </c>
      <c r="M60" s="132" t="s">
        <v>288</v>
      </c>
      <c r="N60" s="501"/>
      <c r="O60" s="501"/>
      <c r="P60" s="163"/>
      <c r="Q60" s="164"/>
    </row>
    <row r="61" spans="1:17" x14ac:dyDescent="0.3">
      <c r="A61" s="132"/>
      <c r="B61" s="132"/>
      <c r="C61" s="162"/>
      <c r="D61" s="162"/>
      <c r="E61" s="132"/>
      <c r="F61" s="132"/>
      <c r="G61" s="162"/>
      <c r="H61" s="132"/>
      <c r="I61" s="132"/>
      <c r="J61" s="132"/>
      <c r="K61" s="162" t="s">
        <v>340</v>
      </c>
      <c r="L61" s="168">
        <f>L60/N61</f>
        <v>16818.040775815851</v>
      </c>
      <c r="M61" s="132" t="s">
        <v>301</v>
      </c>
      <c r="N61" s="505">
        <v>2</v>
      </c>
      <c r="O61" s="505"/>
      <c r="P61" s="163"/>
      <c r="Q61" s="191"/>
    </row>
    <row r="62" spans="1:17" x14ac:dyDescent="0.3">
      <c r="A62" s="132"/>
      <c r="B62" s="132"/>
      <c r="C62" s="162"/>
      <c r="D62" s="162"/>
      <c r="E62" s="132"/>
      <c r="F62" s="132"/>
      <c r="G62" s="162"/>
      <c r="H62" s="132"/>
      <c r="I62" s="132"/>
      <c r="J62" s="132"/>
      <c r="K62" s="110" t="s">
        <v>46</v>
      </c>
      <c r="L62" s="177">
        <f>(B10+F30)*(Stoichiometry!D123/Stoichiometry!D110)*Efficiencies!E103</f>
        <v>24.498136983759448</v>
      </c>
      <c r="M62" s="132" t="s">
        <v>288</v>
      </c>
      <c r="N62" s="501"/>
      <c r="O62" s="501"/>
      <c r="P62" s="163" t="s">
        <v>351</v>
      </c>
      <c r="Q62" s="164"/>
    </row>
    <row r="63" spans="1:17" x14ac:dyDescent="0.3">
      <c r="A63" s="132"/>
      <c r="B63" s="132"/>
      <c r="C63" s="162"/>
      <c r="D63" s="162"/>
      <c r="E63" s="132"/>
      <c r="F63" s="132"/>
      <c r="G63" s="162"/>
      <c r="H63" s="169"/>
      <c r="I63" s="169"/>
      <c r="J63" s="169"/>
      <c r="K63" s="145"/>
      <c r="L63" s="169"/>
      <c r="M63" s="169"/>
      <c r="N63" s="503"/>
      <c r="O63" s="503"/>
      <c r="P63" s="170"/>
      <c r="Q63" s="171"/>
    </row>
    <row r="64" spans="1:17" x14ac:dyDescent="0.3">
      <c r="A64" s="158" t="s">
        <v>471</v>
      </c>
      <c r="B64" s="172"/>
      <c r="C64" s="173"/>
      <c r="D64" s="173"/>
      <c r="E64" s="172"/>
      <c r="F64" s="172"/>
      <c r="G64" s="173"/>
      <c r="H64" s="132"/>
      <c r="I64" s="132"/>
      <c r="J64" s="132"/>
      <c r="K64" s="162"/>
      <c r="L64" s="132"/>
      <c r="M64" s="132"/>
      <c r="N64" s="501"/>
      <c r="O64" s="501"/>
      <c r="P64" s="163"/>
      <c r="Q64" s="164"/>
    </row>
    <row r="65" spans="1:20" x14ac:dyDescent="0.3">
      <c r="A65" s="132" t="s">
        <v>342</v>
      </c>
      <c r="B65" s="132" t="s">
        <v>340</v>
      </c>
      <c r="C65" s="161">
        <f>L60</f>
        <v>33636.081551631702</v>
      </c>
      <c r="D65" s="162" t="s">
        <v>288</v>
      </c>
      <c r="E65" s="132"/>
      <c r="F65" s="132"/>
      <c r="G65" s="162"/>
      <c r="H65" s="132"/>
      <c r="I65" s="132"/>
      <c r="J65" s="132"/>
      <c r="K65" s="162"/>
      <c r="L65" s="132"/>
      <c r="M65" s="132"/>
      <c r="N65" s="501"/>
      <c r="O65" s="501">
        <f>Energy!S108</f>
        <v>7919.9999999999991</v>
      </c>
      <c r="P65" s="163" t="s">
        <v>266</v>
      </c>
      <c r="Q65" s="164"/>
    </row>
    <row r="66" spans="1:20" ht="28.8" x14ac:dyDescent="0.3">
      <c r="A66" s="132"/>
      <c r="B66" s="132"/>
      <c r="C66" s="162"/>
      <c r="D66" s="162"/>
      <c r="E66" s="132" t="s">
        <v>59</v>
      </c>
      <c r="F66" s="179">
        <f>C65/3*1.3*0.7/O65</f>
        <v>1.2882505981475105</v>
      </c>
      <c r="G66" s="162" t="s">
        <v>288</v>
      </c>
      <c r="H66" s="132"/>
      <c r="I66" s="132"/>
      <c r="J66" s="132"/>
      <c r="K66" s="162"/>
      <c r="L66" s="132"/>
      <c r="M66" s="132"/>
      <c r="N66" s="501"/>
      <c r="O66" s="501"/>
      <c r="P66" s="842" t="s">
        <v>353</v>
      </c>
      <c r="Q66" s="164"/>
    </row>
    <row r="67" spans="1:20" ht="28.8" x14ac:dyDescent="0.3">
      <c r="A67" s="132"/>
      <c r="B67" s="132"/>
      <c r="C67" s="162"/>
      <c r="D67" s="162"/>
      <c r="E67" s="132" t="s">
        <v>354</v>
      </c>
      <c r="F67" s="690">
        <f>C65/3*1.3*0.3/O65</f>
        <v>0.55210739920607599</v>
      </c>
      <c r="G67" s="162" t="s">
        <v>568</v>
      </c>
      <c r="H67" s="132"/>
      <c r="I67" s="132"/>
      <c r="J67" s="132"/>
      <c r="K67" s="162"/>
      <c r="L67" s="132"/>
      <c r="M67" s="132"/>
      <c r="N67" s="501"/>
      <c r="O67" s="501"/>
      <c r="P67" s="842" t="s">
        <v>356</v>
      </c>
      <c r="Q67" s="164"/>
    </row>
    <row r="68" spans="1:20" ht="28.8" x14ac:dyDescent="0.3">
      <c r="A68" s="132"/>
      <c r="B68" s="132"/>
      <c r="C68" s="162"/>
      <c r="D68" s="162"/>
      <c r="E68" s="210" t="s">
        <v>582</v>
      </c>
      <c r="F68" s="928">
        <f>F67*Q68</f>
        <v>2.7605369960303799E-2</v>
      </c>
      <c r="G68" s="162" t="s">
        <v>326</v>
      </c>
      <c r="H68" s="132"/>
      <c r="I68" s="132"/>
      <c r="J68" s="132"/>
      <c r="K68" s="162"/>
      <c r="L68" s="132"/>
      <c r="M68" s="132"/>
      <c r="N68" s="501"/>
      <c r="O68" s="501"/>
      <c r="P68" s="110" t="s">
        <v>358</v>
      </c>
      <c r="Q68" s="813">
        <v>0.05</v>
      </c>
    </row>
    <row r="69" spans="1:20" x14ac:dyDescent="0.3">
      <c r="A69" s="132"/>
      <c r="B69" s="132"/>
      <c r="C69" s="162"/>
      <c r="D69" s="162"/>
      <c r="E69" s="210"/>
      <c r="F69" s="179"/>
      <c r="G69" s="162"/>
      <c r="H69" s="132" t="s">
        <v>48</v>
      </c>
      <c r="I69" s="168">
        <f>Energy!P108</f>
        <v>77037.935278850025</v>
      </c>
      <c r="J69" s="132" t="s">
        <v>221</v>
      </c>
      <c r="K69" s="162"/>
      <c r="L69" s="132"/>
      <c r="M69" s="132"/>
      <c r="N69" s="501"/>
      <c r="O69" s="501"/>
      <c r="P69" s="110"/>
      <c r="Q69" s="406"/>
    </row>
    <row r="70" spans="1:20" ht="43.2" x14ac:dyDescent="0.3">
      <c r="A70" s="132"/>
      <c r="B70" s="132"/>
      <c r="C70" s="162"/>
      <c r="D70" s="162"/>
      <c r="E70" s="132"/>
      <c r="F70" s="132"/>
      <c r="G70" s="162"/>
      <c r="H70" s="132"/>
      <c r="I70" s="132"/>
      <c r="J70" s="132"/>
      <c r="K70" s="162" t="s">
        <v>359</v>
      </c>
      <c r="L70" s="407">
        <f>F66+F67+Stoichiometry!G117+Stoichiometry!G117/(Stoichiometry!J5/1000)</f>
        <v>6504.3963904208285</v>
      </c>
      <c r="M70" s="132" t="s">
        <v>288</v>
      </c>
      <c r="N70" s="501"/>
      <c r="O70" s="501"/>
      <c r="P70" s="163" t="s">
        <v>360</v>
      </c>
      <c r="Q70" s="164"/>
    </row>
    <row r="71" spans="1:20" x14ac:dyDescent="0.3">
      <c r="A71" s="132"/>
      <c r="B71" s="132"/>
      <c r="C71" s="162"/>
      <c r="D71" s="162"/>
      <c r="E71" s="132"/>
      <c r="F71" s="132"/>
      <c r="G71" s="162"/>
      <c r="H71" s="132"/>
      <c r="I71" s="132"/>
      <c r="J71" s="132"/>
      <c r="K71" s="162" t="s">
        <v>361</v>
      </c>
      <c r="L71" s="168">
        <f>C65+F66+F67-L70</f>
        <v>27133.525519208226</v>
      </c>
      <c r="M71" s="132" t="s">
        <v>288</v>
      </c>
      <c r="N71" s="501"/>
      <c r="O71" s="501"/>
      <c r="P71" s="163"/>
      <c r="Q71" s="164"/>
    </row>
    <row r="72" spans="1:20" x14ac:dyDescent="0.3">
      <c r="A72" s="132"/>
      <c r="B72" s="132"/>
      <c r="C72" s="162"/>
      <c r="D72" s="162"/>
      <c r="E72" s="132"/>
      <c r="F72" s="132"/>
      <c r="G72" s="162"/>
      <c r="H72" s="132"/>
      <c r="I72" s="132"/>
      <c r="J72" s="132"/>
      <c r="K72" s="162" t="s">
        <v>361</v>
      </c>
      <c r="L72" s="168">
        <f>L71/N72</f>
        <v>13566.762759604113</v>
      </c>
      <c r="M72" s="132" t="s">
        <v>301</v>
      </c>
      <c r="N72" s="505">
        <v>2</v>
      </c>
      <c r="O72" s="505"/>
      <c r="P72" s="163"/>
      <c r="Q72" s="527"/>
    </row>
    <row r="73" spans="1:20" x14ac:dyDescent="0.3">
      <c r="A73" s="132"/>
      <c r="B73" s="132"/>
      <c r="C73" s="162"/>
      <c r="D73" s="162"/>
      <c r="E73" s="132"/>
      <c r="F73" s="132"/>
      <c r="G73" s="162"/>
      <c r="H73" s="169"/>
      <c r="I73" s="169"/>
      <c r="J73" s="169"/>
      <c r="K73" s="145"/>
      <c r="L73" s="169"/>
      <c r="M73" s="169"/>
      <c r="N73" s="503"/>
      <c r="O73" s="503"/>
      <c r="P73" s="170"/>
      <c r="Q73" s="171"/>
    </row>
    <row r="74" spans="1:20" x14ac:dyDescent="0.3">
      <c r="A74" s="158" t="s">
        <v>362</v>
      </c>
      <c r="B74" s="172"/>
      <c r="C74" s="173"/>
      <c r="D74" s="173"/>
      <c r="E74" s="172"/>
      <c r="F74" s="172"/>
      <c r="G74" s="173"/>
      <c r="H74" s="132"/>
      <c r="I74" s="132"/>
      <c r="J74" s="132"/>
      <c r="K74" s="162"/>
      <c r="L74" s="132"/>
      <c r="M74" s="132"/>
      <c r="N74" s="501"/>
      <c r="O74" s="501"/>
      <c r="P74" s="163"/>
      <c r="Q74" s="164"/>
    </row>
    <row r="75" spans="1:20" x14ac:dyDescent="0.3">
      <c r="A75" s="132" t="s">
        <v>342</v>
      </c>
      <c r="B75" s="132" t="s">
        <v>359</v>
      </c>
      <c r="C75" s="181">
        <f>L70</f>
        <v>6504.3963904208285</v>
      </c>
      <c r="D75" s="162" t="s">
        <v>288</v>
      </c>
      <c r="E75" s="132"/>
      <c r="F75" s="132"/>
      <c r="G75" s="162"/>
      <c r="H75" s="132"/>
      <c r="I75" s="132"/>
      <c r="J75" s="132"/>
      <c r="K75" s="162"/>
      <c r="L75" s="132"/>
      <c r="M75" s="132"/>
      <c r="N75" s="501"/>
      <c r="O75" s="501"/>
      <c r="P75" s="163"/>
      <c r="Q75" s="164"/>
    </row>
    <row r="76" spans="1:20" x14ac:dyDescent="0.3">
      <c r="A76" s="132"/>
      <c r="B76" s="132"/>
      <c r="C76" s="162"/>
      <c r="D76" s="162"/>
      <c r="E76" s="132" t="s">
        <v>652</v>
      </c>
      <c r="F76" s="210" t="s">
        <v>653</v>
      </c>
      <c r="G76" s="162"/>
      <c r="H76" s="132"/>
      <c r="I76" s="132"/>
      <c r="J76" s="132"/>
      <c r="K76" s="162"/>
      <c r="L76" s="132"/>
      <c r="M76" s="132"/>
      <c r="N76" s="501"/>
      <c r="O76" s="501"/>
      <c r="P76" s="163"/>
      <c r="Q76" s="164"/>
      <c r="T76" s="167"/>
    </row>
    <row r="77" spans="1:20" x14ac:dyDescent="0.3">
      <c r="A77" s="132"/>
      <c r="B77" s="132"/>
      <c r="C77" s="162"/>
      <c r="D77" s="162"/>
      <c r="E77" s="132"/>
      <c r="F77" s="132"/>
      <c r="G77" s="162"/>
      <c r="H77" s="132" t="s">
        <v>48</v>
      </c>
      <c r="I77" s="168">
        <f>Energy!P109</f>
        <v>20693.117190617719</v>
      </c>
      <c r="J77" s="132" t="s">
        <v>221</v>
      </c>
      <c r="K77" s="162"/>
      <c r="L77" s="132"/>
      <c r="M77" s="132"/>
      <c r="N77" s="501"/>
      <c r="O77" s="501"/>
      <c r="P77" s="163" t="s">
        <v>365</v>
      </c>
      <c r="Q77" s="164"/>
      <c r="T77" s="167"/>
    </row>
    <row r="78" spans="1:20" x14ac:dyDescent="0.3">
      <c r="A78" s="132"/>
      <c r="B78" s="132"/>
      <c r="C78" s="162"/>
      <c r="D78" s="162"/>
      <c r="E78" s="132"/>
      <c r="F78" s="132"/>
      <c r="G78" s="162"/>
      <c r="H78" s="132"/>
      <c r="I78" s="132"/>
      <c r="J78" s="132"/>
      <c r="K78" s="162" t="s">
        <v>359</v>
      </c>
      <c r="L78" s="407">
        <f>C75</f>
        <v>6504.3963904208285</v>
      </c>
      <c r="M78" s="132" t="s">
        <v>288</v>
      </c>
      <c r="N78" s="501"/>
      <c r="O78" s="501"/>
      <c r="P78" s="163"/>
      <c r="Q78" s="164"/>
    </row>
    <row r="79" spans="1:20" x14ac:dyDescent="0.3">
      <c r="A79" s="132"/>
      <c r="B79" s="132"/>
      <c r="C79" s="162"/>
      <c r="D79" s="162"/>
      <c r="E79" s="132"/>
      <c r="F79" s="132"/>
      <c r="G79" s="162"/>
      <c r="H79" s="169"/>
      <c r="I79" s="169"/>
      <c r="J79" s="169"/>
      <c r="K79" s="145" t="s">
        <v>359</v>
      </c>
      <c r="L79" s="684">
        <f>L78/N79</f>
        <v>3252.1981952104143</v>
      </c>
      <c r="M79" s="169" t="s">
        <v>301</v>
      </c>
      <c r="N79" s="503">
        <v>2</v>
      </c>
      <c r="O79" s="503"/>
      <c r="P79" s="170"/>
      <c r="Q79" s="171"/>
    </row>
    <row r="80" spans="1:20" x14ac:dyDescent="0.3">
      <c r="A80" s="158" t="s">
        <v>366</v>
      </c>
      <c r="B80" s="172"/>
      <c r="C80" s="173"/>
      <c r="D80" s="173"/>
      <c r="E80" s="172"/>
      <c r="F80" s="172"/>
      <c r="G80" s="173"/>
      <c r="H80" s="132"/>
      <c r="I80" s="132"/>
      <c r="J80" s="132"/>
      <c r="K80" s="162"/>
      <c r="L80" s="132"/>
      <c r="M80" s="132"/>
      <c r="N80" s="501"/>
      <c r="O80" s="501"/>
      <c r="P80" s="163"/>
      <c r="Q80" s="164"/>
    </row>
    <row r="81" spans="1:20" x14ac:dyDescent="0.3">
      <c r="A81" s="132" t="s">
        <v>342</v>
      </c>
      <c r="B81" s="132" t="s">
        <v>359</v>
      </c>
      <c r="C81" s="181">
        <f>L78</f>
        <v>6504.3963904208285</v>
      </c>
      <c r="D81" s="162" t="s">
        <v>288</v>
      </c>
      <c r="E81" s="132"/>
      <c r="F81" s="132"/>
      <c r="G81" s="162"/>
      <c r="H81" s="132"/>
      <c r="I81" s="132"/>
      <c r="J81" s="132"/>
      <c r="K81" s="162"/>
      <c r="L81" s="132"/>
      <c r="M81" s="132"/>
      <c r="N81" s="501"/>
      <c r="O81" s="501"/>
      <c r="P81" s="111" t="s">
        <v>367</v>
      </c>
      <c r="Q81" s="811">
        <v>2</v>
      </c>
    </row>
    <row r="82" spans="1:20" x14ac:dyDescent="0.3">
      <c r="A82" s="132"/>
      <c r="B82" s="132"/>
      <c r="C82" s="162"/>
      <c r="D82" s="162"/>
      <c r="E82" s="132" t="s">
        <v>70</v>
      </c>
      <c r="F82" s="182">
        <f>Stoichiometry!E128*Q82/Q81*Stoichiometry!C114/1000</f>
        <v>5.2545393855474813</v>
      </c>
      <c r="G82" s="162" t="s">
        <v>288</v>
      </c>
      <c r="H82" s="132"/>
      <c r="I82" s="132"/>
      <c r="J82" s="132"/>
      <c r="K82" s="162"/>
      <c r="L82" s="132"/>
      <c r="M82" s="132"/>
      <c r="N82" s="501"/>
      <c r="O82" s="501"/>
      <c r="P82" s="111" t="s">
        <v>368</v>
      </c>
      <c r="Q82" s="811">
        <v>3</v>
      </c>
    </row>
    <row r="83" spans="1:20" x14ac:dyDescent="0.3">
      <c r="A83" s="132"/>
      <c r="B83" s="132"/>
      <c r="C83" s="162"/>
      <c r="D83" s="162"/>
      <c r="E83" s="132"/>
      <c r="F83" s="182"/>
      <c r="G83" s="162"/>
      <c r="H83" s="132" t="s">
        <v>48</v>
      </c>
      <c r="I83" s="168">
        <f>Energy!P110</f>
        <v>20701.806248746001</v>
      </c>
      <c r="J83" s="132" t="s">
        <v>221</v>
      </c>
      <c r="K83" s="162"/>
      <c r="L83" s="132"/>
      <c r="M83" s="132"/>
      <c r="N83" s="501"/>
      <c r="O83" s="501"/>
      <c r="P83" s="163" t="s">
        <v>365</v>
      </c>
      <c r="Q83" s="164"/>
    </row>
    <row r="84" spans="1:20" ht="15.6" x14ac:dyDescent="0.35">
      <c r="A84" s="132"/>
      <c r="B84" s="132"/>
      <c r="C84" s="162"/>
      <c r="D84" s="162"/>
      <c r="E84" s="132"/>
      <c r="F84" s="132"/>
      <c r="G84" s="162"/>
      <c r="H84" s="132"/>
      <c r="I84" s="132"/>
      <c r="J84" s="132"/>
      <c r="K84" s="162" t="s">
        <v>369</v>
      </c>
      <c r="L84" s="177">
        <f>C81+F82-L86-L87</f>
        <v>6507.8105718090219</v>
      </c>
      <c r="M84" s="132" t="s">
        <v>288</v>
      </c>
      <c r="N84" s="501"/>
      <c r="O84" s="501"/>
      <c r="P84" s="163"/>
      <c r="Q84" s="164"/>
    </row>
    <row r="85" spans="1:20" ht="15.6" x14ac:dyDescent="0.35">
      <c r="A85" s="132"/>
      <c r="B85" s="132"/>
      <c r="C85" s="162"/>
      <c r="D85" s="162"/>
      <c r="E85" s="132"/>
      <c r="F85" s="132"/>
      <c r="G85" s="162"/>
      <c r="H85" s="132"/>
      <c r="I85" s="132"/>
      <c r="J85" s="132"/>
      <c r="K85" s="162" t="s">
        <v>369</v>
      </c>
      <c r="L85" s="177">
        <f>L84/N85</f>
        <v>3253.9052859045109</v>
      </c>
      <c r="M85" s="132" t="s">
        <v>301</v>
      </c>
      <c r="N85" s="505">
        <v>2</v>
      </c>
      <c r="O85" s="505"/>
      <c r="P85" s="163"/>
      <c r="Q85" s="527"/>
    </row>
    <row r="86" spans="1:20" x14ac:dyDescent="0.3">
      <c r="A86" s="132"/>
      <c r="B86" s="132"/>
      <c r="C86" s="162"/>
      <c r="D86" s="162"/>
      <c r="E86" s="132"/>
      <c r="F86" s="132"/>
      <c r="G86" s="162"/>
      <c r="H86" s="132"/>
      <c r="I86" s="132"/>
      <c r="J86" s="132"/>
      <c r="K86" s="162" t="s">
        <v>37</v>
      </c>
      <c r="L86" s="179">
        <f>F67</f>
        <v>0.55210739920607599</v>
      </c>
      <c r="M86" s="132" t="s">
        <v>288</v>
      </c>
      <c r="N86" s="501"/>
      <c r="O86" s="501"/>
      <c r="P86" s="163" t="s">
        <v>370</v>
      </c>
      <c r="Q86" s="164"/>
    </row>
    <row r="87" spans="1:20" x14ac:dyDescent="0.3">
      <c r="A87" s="132"/>
      <c r="B87" s="132"/>
      <c r="C87" s="162"/>
      <c r="D87" s="162"/>
      <c r="E87" s="132"/>
      <c r="F87" s="132"/>
      <c r="G87" s="162"/>
      <c r="H87" s="132"/>
      <c r="I87" s="132"/>
      <c r="J87" s="132"/>
      <c r="K87" s="162" t="s">
        <v>59</v>
      </c>
      <c r="L87" s="179">
        <f>F66</f>
        <v>1.2882505981475105</v>
      </c>
      <c r="M87" s="132" t="s">
        <v>288</v>
      </c>
      <c r="N87" s="501"/>
      <c r="O87" s="501"/>
      <c r="P87" s="163" t="s">
        <v>370</v>
      </c>
      <c r="Q87" s="164"/>
    </row>
    <row r="88" spans="1:20" x14ac:dyDescent="0.3">
      <c r="A88" s="169"/>
      <c r="B88" s="169"/>
      <c r="C88" s="145"/>
      <c r="D88" s="145"/>
      <c r="E88" s="169"/>
      <c r="F88" s="169"/>
      <c r="G88" s="145"/>
      <c r="H88" s="145"/>
      <c r="I88" s="169"/>
      <c r="J88" s="169"/>
      <c r="K88" s="145"/>
      <c r="L88" s="169"/>
      <c r="M88" s="169"/>
      <c r="N88" s="503"/>
      <c r="O88" s="503"/>
      <c r="P88" s="170"/>
      <c r="Q88" s="171"/>
    </row>
    <row r="89" spans="1:20" x14ac:dyDescent="0.3">
      <c r="A89" s="158" t="s">
        <v>615</v>
      </c>
      <c r="B89" s="172"/>
      <c r="C89" s="173"/>
      <c r="D89" s="173"/>
      <c r="E89" s="172"/>
      <c r="F89" s="172"/>
      <c r="G89" s="173"/>
      <c r="H89" s="132"/>
      <c r="I89" s="132"/>
      <c r="J89" s="132"/>
      <c r="K89" s="162"/>
      <c r="L89" s="132"/>
      <c r="M89" s="132"/>
      <c r="N89" s="501"/>
      <c r="O89" s="501"/>
      <c r="P89" s="163"/>
      <c r="Q89" s="164"/>
    </row>
    <row r="90" spans="1:20" ht="29.4" x14ac:dyDescent="0.35">
      <c r="A90" s="210" t="s">
        <v>371</v>
      </c>
      <c r="B90" s="132" t="s">
        <v>372</v>
      </c>
      <c r="C90" s="161">
        <f>L71</f>
        <v>27133.525519208226</v>
      </c>
      <c r="D90" s="162" t="s">
        <v>288</v>
      </c>
      <c r="E90" s="132"/>
      <c r="F90" s="132"/>
      <c r="G90" s="162"/>
      <c r="H90" s="132"/>
      <c r="I90" s="132"/>
      <c r="J90" s="132"/>
      <c r="K90" s="162"/>
      <c r="L90" s="132"/>
      <c r="M90" s="132"/>
      <c r="N90" s="501"/>
      <c r="O90" s="501"/>
      <c r="P90" s="163"/>
      <c r="Q90" s="164"/>
      <c r="T90" s="167"/>
    </row>
    <row r="91" spans="1:20" x14ac:dyDescent="0.3">
      <c r="A91" s="132"/>
      <c r="B91" s="132"/>
      <c r="C91" s="161"/>
      <c r="D91" s="162"/>
      <c r="E91" s="132"/>
      <c r="F91" s="132"/>
      <c r="G91" s="162"/>
      <c r="H91" s="132" t="s">
        <v>48</v>
      </c>
      <c r="I91" s="168">
        <f>Energy!P111</f>
        <v>11768638.552420137</v>
      </c>
      <c r="J91" s="132" t="s">
        <v>221</v>
      </c>
      <c r="K91" s="162"/>
      <c r="L91" s="132"/>
      <c r="M91" s="132"/>
      <c r="N91" s="501"/>
      <c r="O91" s="501"/>
      <c r="P91" s="163" t="s">
        <v>373</v>
      </c>
      <c r="Q91" s="164"/>
    </row>
    <row r="92" spans="1:20" ht="15.6" x14ac:dyDescent="0.35">
      <c r="A92" s="132"/>
      <c r="B92" s="132"/>
      <c r="C92" s="162"/>
      <c r="D92" s="162"/>
      <c r="E92" s="132"/>
      <c r="F92" s="132"/>
      <c r="G92" s="162"/>
      <c r="H92" s="132"/>
      <c r="I92" s="132"/>
      <c r="J92" s="132"/>
      <c r="K92" s="162" t="s">
        <v>151</v>
      </c>
      <c r="L92" s="168">
        <f>(Stoichiometry!G116+Stoichiometry!G130)*Efficiencies!E107</f>
        <v>8362.1038139745106</v>
      </c>
      <c r="M92" s="132" t="s">
        <v>288</v>
      </c>
      <c r="N92" s="501"/>
      <c r="O92" s="501"/>
      <c r="P92" s="163"/>
      <c r="Q92" s="164"/>
    </row>
    <row r="93" spans="1:20" x14ac:dyDescent="0.3">
      <c r="A93" s="132"/>
      <c r="B93" s="132"/>
      <c r="C93" s="162"/>
      <c r="D93" s="162"/>
      <c r="E93" s="132"/>
      <c r="F93" s="132"/>
      <c r="G93" s="162"/>
      <c r="H93" s="132"/>
      <c r="I93" s="132"/>
      <c r="J93" s="132"/>
      <c r="K93" s="162" t="s">
        <v>214</v>
      </c>
      <c r="L93" s="168">
        <f>C90-L92</f>
        <v>18771.421705233715</v>
      </c>
      <c r="M93" s="132" t="s">
        <v>288</v>
      </c>
      <c r="N93" s="501"/>
      <c r="O93" s="501"/>
      <c r="P93" s="163" t="s">
        <v>374</v>
      </c>
      <c r="Q93" s="164"/>
    </row>
    <row r="94" spans="1:20" x14ac:dyDescent="0.3">
      <c r="A94" s="132"/>
      <c r="B94" s="132"/>
      <c r="C94" s="162"/>
      <c r="D94" s="162"/>
      <c r="E94" s="132"/>
      <c r="F94" s="132"/>
      <c r="G94" s="162"/>
      <c r="H94" s="169"/>
      <c r="I94" s="169"/>
      <c r="J94" s="169"/>
      <c r="K94" s="145"/>
      <c r="L94" s="169"/>
      <c r="M94" s="169"/>
      <c r="N94" s="503"/>
      <c r="O94" s="503"/>
      <c r="P94" s="170"/>
      <c r="Q94" s="171"/>
    </row>
    <row r="95" spans="1:20" x14ac:dyDescent="0.3">
      <c r="A95" s="158" t="s">
        <v>654</v>
      </c>
      <c r="B95" s="172"/>
      <c r="C95" s="173"/>
      <c r="D95" s="173"/>
      <c r="E95" s="172"/>
      <c r="F95" s="172"/>
      <c r="G95" s="173"/>
      <c r="H95" s="132"/>
      <c r="I95" s="132"/>
      <c r="J95" s="132"/>
      <c r="K95" s="162"/>
      <c r="L95" s="132"/>
      <c r="M95" s="132"/>
      <c r="N95" s="501"/>
      <c r="O95" s="501"/>
      <c r="P95" s="163"/>
      <c r="Q95" s="164"/>
    </row>
    <row r="96" spans="1:20" ht="29.4" x14ac:dyDescent="0.35">
      <c r="A96" s="210" t="s">
        <v>371</v>
      </c>
      <c r="B96" s="132" t="s">
        <v>369</v>
      </c>
      <c r="C96" s="161">
        <f>L84</f>
        <v>6507.8105718090219</v>
      </c>
      <c r="D96" s="162" t="s">
        <v>288</v>
      </c>
      <c r="E96" s="132"/>
      <c r="F96" s="132"/>
      <c r="G96" s="162"/>
      <c r="H96" s="132"/>
      <c r="I96" s="132"/>
      <c r="J96" s="132"/>
      <c r="K96" s="162"/>
      <c r="L96" s="132"/>
      <c r="M96" s="132"/>
      <c r="N96" s="501"/>
      <c r="O96" s="501"/>
      <c r="P96" s="163"/>
      <c r="Q96" s="164"/>
      <c r="T96" s="167"/>
    </row>
    <row r="97" spans="1:29" x14ac:dyDescent="0.3">
      <c r="A97" s="132"/>
      <c r="B97" s="132"/>
      <c r="C97" s="161"/>
      <c r="D97" s="162"/>
      <c r="E97" s="132"/>
      <c r="F97" s="132"/>
      <c r="G97" s="162"/>
      <c r="H97" s="132" t="s">
        <v>48</v>
      </c>
      <c r="I97" s="168">
        <f>Energy!P112</f>
        <v>2248812.3243933236</v>
      </c>
      <c r="J97" s="132" t="s">
        <v>221</v>
      </c>
      <c r="K97" s="162"/>
      <c r="L97" s="132"/>
      <c r="M97" s="132"/>
      <c r="N97" s="501"/>
      <c r="O97" s="501"/>
      <c r="P97" s="163" t="s">
        <v>373</v>
      </c>
      <c r="Q97" s="164"/>
    </row>
    <row r="98" spans="1:29" ht="15.6" x14ac:dyDescent="0.35">
      <c r="A98" s="132"/>
      <c r="B98" s="132"/>
      <c r="C98" s="162"/>
      <c r="D98" s="162"/>
      <c r="E98" s="132"/>
      <c r="F98" s="132"/>
      <c r="G98" s="162"/>
      <c r="H98" s="132"/>
      <c r="I98" s="132"/>
      <c r="J98" s="132"/>
      <c r="K98" s="162" t="s">
        <v>139</v>
      </c>
      <c r="L98" s="168">
        <f>(Stoichiometry!G117+Stoichiometry!G131)*Efficiencies!E106</f>
        <v>2920.87022275454</v>
      </c>
      <c r="M98" s="132" t="s">
        <v>288</v>
      </c>
      <c r="N98" s="501"/>
      <c r="O98" s="501"/>
      <c r="P98" s="163"/>
      <c r="Q98" s="164"/>
    </row>
    <row r="99" spans="1:29" x14ac:dyDescent="0.3">
      <c r="A99" s="132"/>
      <c r="B99" s="132"/>
      <c r="C99" s="162"/>
      <c r="D99" s="162"/>
      <c r="E99" s="132"/>
      <c r="F99" s="132"/>
      <c r="G99" s="162"/>
      <c r="H99" s="132"/>
      <c r="I99" s="132"/>
      <c r="J99" s="132"/>
      <c r="K99" s="162" t="s">
        <v>214</v>
      </c>
      <c r="L99" s="168">
        <f>C96-L98</f>
        <v>3586.9403490544819</v>
      </c>
      <c r="M99" s="132" t="s">
        <v>288</v>
      </c>
      <c r="N99" s="501"/>
      <c r="O99" s="501"/>
      <c r="P99" s="163" t="s">
        <v>374</v>
      </c>
      <c r="Q99" s="164"/>
      <c r="T99" s="167"/>
    </row>
    <row r="100" spans="1:29" x14ac:dyDescent="0.3">
      <c r="A100" s="169"/>
      <c r="B100" s="169"/>
      <c r="C100" s="145"/>
      <c r="D100" s="145"/>
      <c r="E100" s="169"/>
      <c r="F100" s="169"/>
      <c r="G100" s="145"/>
      <c r="H100" s="169"/>
      <c r="I100" s="169"/>
      <c r="J100" s="169"/>
      <c r="K100" s="145"/>
      <c r="L100" s="169"/>
      <c r="M100" s="169"/>
      <c r="N100" s="503"/>
      <c r="O100" s="503"/>
      <c r="P100" s="170"/>
      <c r="Q100" s="171"/>
    </row>
    <row r="101" spans="1:29" x14ac:dyDescent="0.3">
      <c r="A101" s="158" t="s">
        <v>429</v>
      </c>
      <c r="B101" s="320"/>
      <c r="C101" s="173"/>
      <c r="D101" s="173"/>
      <c r="E101" s="172"/>
      <c r="F101" s="173"/>
      <c r="G101" s="173"/>
      <c r="H101" s="172"/>
      <c r="I101" s="172"/>
      <c r="J101" s="172"/>
      <c r="K101" s="173"/>
      <c r="L101" s="172"/>
      <c r="M101" s="172"/>
      <c r="N101" s="506"/>
      <c r="O101" s="506"/>
      <c r="P101" s="321"/>
      <c r="Q101" s="322"/>
    </row>
    <row r="102" spans="1:29" x14ac:dyDescent="0.3">
      <c r="A102" s="169"/>
      <c r="B102" s="145" t="s">
        <v>375</v>
      </c>
      <c r="C102" s="145"/>
      <c r="D102" s="145"/>
      <c r="E102" s="323"/>
      <c r="F102" s="169"/>
      <c r="G102" s="145"/>
      <c r="H102" s="145"/>
      <c r="I102" s="145"/>
      <c r="J102" s="145"/>
      <c r="K102" s="145"/>
      <c r="L102" s="193"/>
      <c r="M102" s="145"/>
      <c r="N102" s="456"/>
      <c r="O102" s="456"/>
      <c r="P102" s="170"/>
      <c r="Q102" s="194"/>
    </row>
    <row r="103" spans="1:29" x14ac:dyDescent="0.3">
      <c r="L103" s="167"/>
      <c r="P103"/>
      <c r="Q103" s="286"/>
    </row>
    <row r="104" spans="1:29" x14ac:dyDescent="0.3">
      <c r="L104" s="249"/>
      <c r="P104"/>
      <c r="Q104" s="286"/>
    </row>
    <row r="105" spans="1:29" x14ac:dyDescent="0.3">
      <c r="A105" s="125"/>
    </row>
    <row r="106" spans="1:29" x14ac:dyDescent="0.3">
      <c r="B106" s="324"/>
    </row>
    <row r="107" spans="1:29" x14ac:dyDescent="0.3">
      <c r="S107" s="167"/>
      <c r="T107" s="183"/>
    </row>
    <row r="108" spans="1:29" ht="15" thickBot="1" x14ac:dyDescent="0.35">
      <c r="A108" s="184"/>
      <c r="B108" s="184"/>
      <c r="C108" s="184"/>
      <c r="D108" s="184"/>
      <c r="E108" s="185"/>
      <c r="F108" s="184"/>
      <c r="G108" s="184"/>
      <c r="H108" s="184"/>
      <c r="I108" s="184"/>
      <c r="J108" s="184"/>
      <c r="K108" s="184"/>
      <c r="L108" s="184"/>
      <c r="M108" s="184"/>
      <c r="N108" s="507"/>
      <c r="O108" s="507"/>
      <c r="P108" s="186"/>
      <c r="Q108" s="187"/>
      <c r="R108" s="184"/>
      <c r="S108" s="184"/>
      <c r="T108" s="184"/>
      <c r="U108" s="184"/>
      <c r="V108" s="184"/>
      <c r="W108" s="184"/>
      <c r="X108" s="184"/>
      <c r="Y108" s="184"/>
      <c r="Z108" s="184"/>
      <c r="AA108" s="184"/>
      <c r="AB108" s="184"/>
      <c r="AC108" s="184"/>
    </row>
    <row r="109" spans="1:29" ht="15" thickTop="1" x14ac:dyDescent="0.3"/>
    <row r="110" spans="1:29" ht="21.6" thickBot="1" x14ac:dyDescent="0.45">
      <c r="A110" s="188" t="s">
        <v>655</v>
      </c>
    </row>
    <row r="111" spans="1:29" ht="28.8" x14ac:dyDescent="0.3">
      <c r="A111" s="151" t="s">
        <v>281</v>
      </c>
      <c r="B111" s="98" t="s">
        <v>13</v>
      </c>
      <c r="C111" s="98" t="s">
        <v>251</v>
      </c>
      <c r="D111" s="98" t="s">
        <v>252</v>
      </c>
      <c r="E111" s="99" t="s">
        <v>656</v>
      </c>
      <c r="F111" s="99" t="s">
        <v>509</v>
      </c>
      <c r="G111" s="99" t="s">
        <v>252</v>
      </c>
      <c r="H111" s="101" t="s">
        <v>283</v>
      </c>
      <c r="I111" s="152" t="s">
        <v>251</v>
      </c>
      <c r="J111" s="152" t="s">
        <v>252</v>
      </c>
      <c r="K111" s="102" t="s">
        <v>330</v>
      </c>
      <c r="L111" s="153" t="s">
        <v>251</v>
      </c>
      <c r="M111" s="102" t="s">
        <v>252</v>
      </c>
      <c r="N111" s="518" t="s">
        <v>331</v>
      </c>
      <c r="O111" s="518"/>
      <c r="P111" s="97" t="s">
        <v>285</v>
      </c>
      <c r="Q111" s="154" t="s">
        <v>298</v>
      </c>
      <c r="S111" s="325" t="s">
        <v>13</v>
      </c>
      <c r="T111" s="326" t="s">
        <v>251</v>
      </c>
      <c r="U111" s="327" t="s">
        <v>252</v>
      </c>
    </row>
    <row r="112" spans="1:29" x14ac:dyDescent="0.3">
      <c r="A112" s="770" t="s">
        <v>204</v>
      </c>
      <c r="B112" s="157"/>
      <c r="C112" s="157"/>
      <c r="D112" s="157"/>
      <c r="E112" s="157"/>
      <c r="F112" s="157"/>
      <c r="G112" s="157"/>
      <c r="H112" s="157"/>
      <c r="I112" s="157"/>
      <c r="J112" s="157"/>
      <c r="K112" s="157"/>
      <c r="L112" s="157"/>
      <c r="M112" s="157"/>
      <c r="N112" s="508"/>
      <c r="O112" s="508"/>
      <c r="P112" s="189"/>
      <c r="Q112" s="190"/>
      <c r="S112" s="72" t="s">
        <v>325</v>
      </c>
      <c r="T112" s="77">
        <f>B5</f>
        <v>25000</v>
      </c>
      <c r="U112" s="74" t="s">
        <v>326</v>
      </c>
    </row>
    <row r="113" spans="1:22" ht="28.8" x14ac:dyDescent="0.3">
      <c r="A113" s="210" t="s">
        <v>657</v>
      </c>
      <c r="B113" s="162" t="s">
        <v>100</v>
      </c>
      <c r="C113" s="161">
        <f>T120</f>
        <v>0</v>
      </c>
      <c r="D113" s="162" t="s">
        <v>288</v>
      </c>
      <c r="E113" s="162"/>
      <c r="F113" s="162"/>
      <c r="G113" s="162"/>
      <c r="H113" s="162"/>
      <c r="I113" s="162"/>
      <c r="J113" s="162"/>
      <c r="K113" s="162"/>
      <c r="L113" s="162"/>
      <c r="M113" s="162"/>
      <c r="N113" s="492"/>
      <c r="O113" s="492"/>
      <c r="P113" s="163" t="s">
        <v>378</v>
      </c>
      <c r="Q113" s="191"/>
      <c r="S113" s="72"/>
      <c r="T113" s="73"/>
      <c r="U113" s="74"/>
    </row>
    <row r="114" spans="1:22" x14ac:dyDescent="0.3">
      <c r="A114" s="132" t="s">
        <v>334</v>
      </c>
      <c r="B114" s="162"/>
      <c r="C114" s="162"/>
      <c r="D114" s="162"/>
      <c r="E114" s="162" t="s">
        <v>70</v>
      </c>
      <c r="F114" s="161">
        <f>IF(Macro!D10=TRUE,Stoichiometry!G146,0)</f>
        <v>0</v>
      </c>
      <c r="G114" s="162" t="s">
        <v>288</v>
      </c>
      <c r="H114" s="162"/>
      <c r="I114" s="162"/>
      <c r="J114" s="162"/>
      <c r="K114" s="162"/>
      <c r="L114" s="162"/>
      <c r="M114" s="162"/>
      <c r="N114" s="492"/>
      <c r="P114" s="163"/>
      <c r="Q114" s="191"/>
      <c r="S114" s="72" t="s">
        <v>379</v>
      </c>
      <c r="T114" s="192">
        <f>T112*'R3_MEFA'!O6*Battery!E9</f>
        <v>6.6970288440685328</v>
      </c>
      <c r="U114" s="74" t="s">
        <v>326</v>
      </c>
    </row>
    <row r="115" spans="1:22" x14ac:dyDescent="0.3">
      <c r="A115" s="132"/>
      <c r="B115" s="162"/>
      <c r="C115" s="162"/>
      <c r="D115" s="162"/>
      <c r="E115" s="162"/>
      <c r="F115" s="161"/>
      <c r="G115" s="162"/>
      <c r="H115" s="162" t="s">
        <v>48</v>
      </c>
      <c r="I115" s="161">
        <f>IF(Macro!D10=TRUE,Energy!P113,0)</f>
        <v>0</v>
      </c>
      <c r="J115" s="162" t="s">
        <v>221</v>
      </c>
      <c r="K115" s="162"/>
      <c r="L115" s="162"/>
      <c r="M115" s="162"/>
      <c r="N115" s="492"/>
      <c r="P115" s="163" t="s">
        <v>380</v>
      </c>
      <c r="Q115" s="191"/>
      <c r="S115" s="72" t="s">
        <v>96</v>
      </c>
      <c r="T115" s="192">
        <f>T112*Battery!E12*Efficiencies!E75</f>
        <v>565.35421210149639</v>
      </c>
      <c r="U115" s="74" t="s">
        <v>326</v>
      </c>
    </row>
    <row r="116" spans="1:22" x14ac:dyDescent="0.3">
      <c r="A116" s="132"/>
      <c r="B116" s="162"/>
      <c r="C116" s="162"/>
      <c r="D116" s="162"/>
      <c r="E116" s="162"/>
      <c r="F116" s="162"/>
      <c r="G116" s="162"/>
      <c r="H116" s="162"/>
      <c r="I116" s="162"/>
      <c r="J116" s="162"/>
      <c r="K116" s="162" t="s">
        <v>336</v>
      </c>
      <c r="L116" s="161">
        <f>IF(Macro!D10=TRUE,Stoichiometry!G155,0)</f>
        <v>0</v>
      </c>
      <c r="M116" s="162" t="s">
        <v>288</v>
      </c>
      <c r="N116" s="492"/>
      <c r="O116" s="492"/>
      <c r="P116" s="163" t="s">
        <v>381</v>
      </c>
      <c r="Q116" s="191"/>
      <c r="S116" s="72" t="s">
        <v>95</v>
      </c>
      <c r="T116" s="192">
        <f>T112*Battery!E13*Efficiencies!E75*T124</f>
        <v>306.98634007373676</v>
      </c>
      <c r="U116" s="74" t="s">
        <v>326</v>
      </c>
      <c r="V116" s="579"/>
    </row>
    <row r="117" spans="1:22" x14ac:dyDescent="0.3">
      <c r="A117" s="132"/>
      <c r="B117" s="162"/>
      <c r="C117" s="162"/>
      <c r="D117" s="162"/>
      <c r="E117" s="162"/>
      <c r="F117" s="162"/>
      <c r="G117" s="162"/>
      <c r="H117" s="162"/>
      <c r="I117" s="162"/>
      <c r="J117" s="162"/>
      <c r="K117" s="162" t="s">
        <v>336</v>
      </c>
      <c r="L117" s="400">
        <f>L116/Stoichiometry!C155</f>
        <v>0</v>
      </c>
      <c r="M117" s="162" t="s">
        <v>301</v>
      </c>
      <c r="N117" s="492"/>
      <c r="O117" s="492"/>
      <c r="P117" s="163"/>
      <c r="Q117" s="191"/>
      <c r="S117" s="72" t="s">
        <v>45</v>
      </c>
      <c r="T117" s="195">
        <f>B5*T123*'R3_MEFA'!O7*Battery!E20</f>
        <v>0</v>
      </c>
      <c r="U117" s="74" t="s">
        <v>326</v>
      </c>
    </row>
    <row r="118" spans="1:22" ht="15.6" x14ac:dyDescent="0.3">
      <c r="A118" s="169"/>
      <c r="B118" s="193"/>
      <c r="C118" s="145"/>
      <c r="D118" s="145"/>
      <c r="E118" s="145"/>
      <c r="F118" s="145"/>
      <c r="G118" s="145"/>
      <c r="H118" s="145"/>
      <c r="I118" s="145"/>
      <c r="J118" s="145"/>
      <c r="K118" s="145"/>
      <c r="L118" s="145"/>
      <c r="M118" s="145"/>
      <c r="N118" s="456"/>
      <c r="O118" s="456"/>
      <c r="P118" s="170"/>
      <c r="Q118" s="194"/>
      <c r="S118" s="72" t="s">
        <v>658</v>
      </c>
      <c r="T118" s="195">
        <f>'R3_MEFA'!F89</f>
        <v>1416.2658915070524</v>
      </c>
      <c r="U118" s="74" t="s">
        <v>326</v>
      </c>
    </row>
    <row r="119" spans="1:22" x14ac:dyDescent="0.3">
      <c r="A119" s="155" t="s">
        <v>205</v>
      </c>
      <c r="B119" s="196"/>
      <c r="C119" s="162"/>
      <c r="D119" s="162"/>
      <c r="E119" s="162"/>
      <c r="F119" s="162"/>
      <c r="G119" s="162"/>
      <c r="H119" s="162"/>
      <c r="I119" s="162"/>
      <c r="J119" s="162"/>
      <c r="K119" s="162"/>
      <c r="L119" s="162"/>
      <c r="M119" s="162"/>
      <c r="N119" s="492"/>
      <c r="O119" s="492"/>
      <c r="P119" s="163"/>
      <c r="Q119" s="191"/>
      <c r="S119" s="329" t="s">
        <v>383</v>
      </c>
      <c r="T119" s="195">
        <f>'R3_MEFA'!F88</f>
        <v>2736.6942414835521</v>
      </c>
      <c r="U119" s="74" t="s">
        <v>326</v>
      </c>
    </row>
    <row r="120" spans="1:22" ht="15" thickBot="1" x14ac:dyDescent="0.35">
      <c r="A120" s="210" t="s">
        <v>338</v>
      </c>
      <c r="B120" s="162" t="s">
        <v>336</v>
      </c>
      <c r="C120" s="161">
        <f>L116</f>
        <v>0</v>
      </c>
      <c r="D120" s="162" t="s">
        <v>288</v>
      </c>
      <c r="E120" s="161"/>
      <c r="F120" s="162"/>
      <c r="G120" s="162"/>
      <c r="H120" s="162"/>
      <c r="I120" s="162"/>
      <c r="J120" s="162"/>
      <c r="K120" s="162"/>
      <c r="L120" s="162"/>
      <c r="M120" s="162"/>
      <c r="N120" s="492"/>
      <c r="O120" s="492"/>
      <c r="P120" s="163"/>
      <c r="Q120" s="191"/>
      <c r="S120" s="401" t="s">
        <v>659</v>
      </c>
      <c r="T120" s="330">
        <f>IF(Macro!D10=TRUE,SUM(T114:T119),0)</f>
        <v>0</v>
      </c>
      <c r="U120" s="79" t="s">
        <v>326</v>
      </c>
    </row>
    <row r="121" spans="1:22" ht="15" thickBot="1" x14ac:dyDescent="0.35">
      <c r="A121" s="132"/>
      <c r="B121" s="162"/>
      <c r="C121" s="162"/>
      <c r="D121" s="162"/>
      <c r="E121" s="197" t="s">
        <v>214</v>
      </c>
      <c r="F121" s="161">
        <f>IF(Macro!D10=TRUE,(Stoichiometry!G136/(Stoichiometry!J11/1000)+Stoichiometry!G137/(Stoichiometry!J7/1000)+Stoichiometry!G138/(Stoichiometry!J8/1000)+Stoichiometry!G139/(Stoichiometry!J10/1000))*Q121,0)</f>
        <v>0</v>
      </c>
      <c r="G121" s="162" t="s">
        <v>288</v>
      </c>
      <c r="H121" s="162"/>
      <c r="I121" s="162"/>
      <c r="J121" s="162"/>
      <c r="K121" s="162"/>
      <c r="L121" s="162"/>
      <c r="M121" s="162"/>
      <c r="N121" s="492"/>
      <c r="O121" s="492"/>
      <c r="P121" s="110" t="s">
        <v>339</v>
      </c>
      <c r="Q121" s="811">
        <v>1.2</v>
      </c>
    </row>
    <row r="122" spans="1:22" x14ac:dyDescent="0.3">
      <c r="A122" s="132"/>
      <c r="B122" s="162"/>
      <c r="C122" s="162"/>
      <c r="D122" s="162"/>
      <c r="E122" s="197"/>
      <c r="F122" s="181"/>
      <c r="G122" s="162"/>
      <c r="H122" s="162" t="s">
        <v>48</v>
      </c>
      <c r="I122" s="209">
        <f>IF(Macro!D10=TRUE,Energy!P114,0)</f>
        <v>0</v>
      </c>
      <c r="J122" s="162" t="s">
        <v>221</v>
      </c>
      <c r="K122" s="162"/>
      <c r="L122" s="162"/>
      <c r="M122" s="162"/>
      <c r="N122" s="492"/>
      <c r="O122" s="492"/>
      <c r="P122" s="178"/>
      <c r="Q122" s="468"/>
      <c r="S122" s="402" t="s">
        <v>249</v>
      </c>
      <c r="T122" s="268"/>
      <c r="U122" s="268"/>
      <c r="V122" s="403"/>
    </row>
    <row r="123" spans="1:22" x14ac:dyDescent="0.3">
      <c r="A123" s="132"/>
      <c r="B123" s="162"/>
      <c r="C123" s="162"/>
      <c r="D123" s="162"/>
      <c r="E123" s="162"/>
      <c r="F123" s="162"/>
      <c r="G123" s="162"/>
      <c r="H123" s="162"/>
      <c r="I123" s="162"/>
      <c r="J123" s="162"/>
      <c r="K123" s="162" t="s">
        <v>340</v>
      </c>
      <c r="L123" s="161">
        <f>C120+F121</f>
        <v>0</v>
      </c>
      <c r="M123" s="162" t="s">
        <v>288</v>
      </c>
      <c r="N123" s="161"/>
      <c r="O123" s="492"/>
      <c r="P123" s="163"/>
      <c r="Q123" s="191"/>
      <c r="S123" s="393" t="s">
        <v>385</v>
      </c>
      <c r="T123" s="526">
        <f>1-F5</f>
        <v>0.7</v>
      </c>
      <c r="U123" s="123" t="s">
        <v>386</v>
      </c>
      <c r="V123" s="404">
        <v>0.7</v>
      </c>
    </row>
    <row r="124" spans="1:22" ht="15" thickBot="1" x14ac:dyDescent="0.35">
      <c r="A124" s="155"/>
      <c r="B124" s="162"/>
      <c r="C124" s="162"/>
      <c r="D124" s="162"/>
      <c r="E124" s="162"/>
      <c r="F124" s="162"/>
      <c r="G124" s="162"/>
      <c r="H124" s="162"/>
      <c r="I124" s="162"/>
      <c r="J124" s="162"/>
      <c r="K124" s="162" t="s">
        <v>340</v>
      </c>
      <c r="L124" s="198">
        <f>IF(Macro!D10=TRUE,L123/N124,0)</f>
        <v>0</v>
      </c>
      <c r="M124" s="162" t="s">
        <v>301</v>
      </c>
      <c r="N124" s="161">
        <f>IF(Macro!D10=TRUE,Stoichiometry!C53*C120/L123+1*F121/L123,0)</f>
        <v>0</v>
      </c>
      <c r="O124" s="509"/>
      <c r="P124" s="204"/>
      <c r="Q124" s="191"/>
      <c r="S124" s="139" t="s">
        <v>387</v>
      </c>
      <c r="T124" s="814">
        <v>0.86</v>
      </c>
      <c r="U124" s="140" t="s">
        <v>388</v>
      </c>
      <c r="V124" s="405">
        <f>1-T124</f>
        <v>0.14000000000000001</v>
      </c>
    </row>
    <row r="125" spans="1:22" x14ac:dyDescent="0.3">
      <c r="A125" s="199"/>
      <c r="B125" s="200"/>
      <c r="C125" s="201"/>
      <c r="D125" s="201"/>
      <c r="E125" s="201"/>
      <c r="F125" s="201"/>
      <c r="G125" s="201"/>
      <c r="H125" s="201"/>
      <c r="I125" s="201"/>
      <c r="J125" s="201"/>
      <c r="K125" s="201"/>
      <c r="L125" s="201"/>
      <c r="M125" s="201"/>
      <c r="N125" s="510"/>
      <c r="O125" s="510"/>
      <c r="P125" s="202"/>
      <c r="Q125" s="203"/>
    </row>
    <row r="126" spans="1:22" x14ac:dyDescent="0.3">
      <c r="A126" s="155" t="s">
        <v>197</v>
      </c>
      <c r="B126" s="161"/>
      <c r="C126" s="162"/>
      <c r="D126" s="162"/>
      <c r="E126" s="162"/>
      <c r="F126" s="162"/>
      <c r="G126" s="162"/>
      <c r="H126" s="162"/>
      <c r="I126" s="162"/>
      <c r="J126" s="162"/>
      <c r="K126" s="162"/>
      <c r="L126" s="162"/>
      <c r="M126" s="162"/>
      <c r="N126" s="492"/>
      <c r="O126" s="492"/>
      <c r="P126" s="163"/>
      <c r="Q126" s="191"/>
      <c r="S126" s="70"/>
      <c r="T126" s="336"/>
      <c r="U126" s="70"/>
    </row>
    <row r="127" spans="1:22" x14ac:dyDescent="0.3">
      <c r="A127" s="132"/>
      <c r="B127" s="162" t="s">
        <v>340</v>
      </c>
      <c r="C127" s="161">
        <f>L123</f>
        <v>0</v>
      </c>
      <c r="D127" s="162" t="s">
        <v>288</v>
      </c>
      <c r="E127" s="161"/>
      <c r="F127" s="162"/>
      <c r="G127" s="162"/>
      <c r="H127" s="162"/>
      <c r="I127" s="162"/>
      <c r="J127" s="162"/>
      <c r="K127" s="162"/>
      <c r="L127" s="162"/>
      <c r="M127" s="162"/>
      <c r="N127" s="492"/>
      <c r="O127" s="492"/>
      <c r="P127" s="163"/>
      <c r="Q127" s="191"/>
      <c r="S127" s="70"/>
      <c r="T127" s="336"/>
      <c r="U127" s="70"/>
    </row>
    <row r="128" spans="1:22" x14ac:dyDescent="0.3">
      <c r="A128" s="132"/>
      <c r="B128" s="162"/>
      <c r="C128" s="161"/>
      <c r="D128" s="162"/>
      <c r="E128" s="161"/>
      <c r="F128" s="162"/>
      <c r="G128" s="162"/>
      <c r="H128" s="162" t="s">
        <v>48</v>
      </c>
      <c r="I128" s="209">
        <f>IF(Macro!D10=TRUE,Energy!P115,0)</f>
        <v>0</v>
      </c>
      <c r="J128" s="162" t="s">
        <v>221</v>
      </c>
      <c r="K128" s="162"/>
      <c r="L128" s="162"/>
      <c r="M128" s="162"/>
      <c r="N128" s="492"/>
      <c r="O128" s="492"/>
      <c r="P128" s="178"/>
      <c r="Q128" s="468"/>
      <c r="S128" s="70"/>
      <c r="T128" s="336"/>
      <c r="U128" s="70"/>
      <c r="V128" s="236"/>
    </row>
    <row r="129" spans="1:21" ht="28.8" x14ac:dyDescent="0.3">
      <c r="A129" s="132"/>
      <c r="B129" s="162"/>
      <c r="C129" s="161"/>
      <c r="D129" s="162"/>
      <c r="E129" s="161"/>
      <c r="F129" s="162"/>
      <c r="G129" s="162"/>
      <c r="H129" s="162"/>
      <c r="I129" s="162"/>
      <c r="J129" s="162"/>
      <c r="K129" s="162" t="s">
        <v>30</v>
      </c>
      <c r="L129" s="197">
        <f>IF(Macro!D10=TRUE,Stoichiometry!G152*Efficiencies!E110,0)</f>
        <v>0</v>
      </c>
      <c r="M129" s="162" t="s">
        <v>288</v>
      </c>
      <c r="N129" s="492"/>
      <c r="O129" s="492"/>
      <c r="P129" s="163" t="s">
        <v>389</v>
      </c>
      <c r="Q129" s="191"/>
      <c r="S129" s="246"/>
    </row>
    <row r="130" spans="1:21" x14ac:dyDescent="0.3">
      <c r="A130" s="132"/>
      <c r="B130" s="162"/>
      <c r="C130" s="162"/>
      <c r="D130" s="162"/>
      <c r="E130" s="162"/>
      <c r="F130" s="162"/>
      <c r="G130" s="162"/>
      <c r="H130" s="162"/>
      <c r="I130" s="162"/>
      <c r="J130" s="162"/>
      <c r="K130" s="162" t="s">
        <v>318</v>
      </c>
      <c r="L130" s="197">
        <f>IF(Macro!D10=TRUE,Stoichiometry!G142*Efficiencies!E111,0)</f>
        <v>0</v>
      </c>
      <c r="M130" s="162" t="s">
        <v>288</v>
      </c>
      <c r="N130" s="492"/>
      <c r="O130" s="492"/>
      <c r="P130" s="163" t="s">
        <v>660</v>
      </c>
      <c r="Q130" s="191"/>
      <c r="S130" s="70"/>
      <c r="T130" s="70"/>
      <c r="U130" s="70"/>
    </row>
    <row r="131" spans="1:21" x14ac:dyDescent="0.3">
      <c r="A131" s="155"/>
      <c r="B131" s="162"/>
      <c r="C131" s="162"/>
      <c r="D131" s="162"/>
      <c r="E131" s="162"/>
      <c r="F131" s="162"/>
      <c r="G131" s="162"/>
      <c r="H131" s="162"/>
      <c r="I131" s="162"/>
      <c r="J131" s="162"/>
      <c r="K131" s="162" t="s">
        <v>340</v>
      </c>
      <c r="L131" s="161">
        <f>C127-L129-L130</f>
        <v>0</v>
      </c>
      <c r="M131" s="162" t="s">
        <v>288</v>
      </c>
      <c r="N131" s="492"/>
      <c r="O131" s="492"/>
      <c r="P131" s="163"/>
      <c r="Q131" s="191"/>
      <c r="S131" s="91"/>
      <c r="T131" s="360"/>
      <c r="U131" s="70"/>
    </row>
    <row r="132" spans="1:21" x14ac:dyDescent="0.3">
      <c r="A132" s="132"/>
      <c r="B132" s="161"/>
      <c r="C132" s="162"/>
      <c r="D132" s="162"/>
      <c r="E132" s="162"/>
      <c r="F132" s="162"/>
      <c r="G132" s="162"/>
      <c r="H132" s="162"/>
      <c r="I132" s="162"/>
      <c r="J132" s="162"/>
      <c r="K132" s="162" t="s">
        <v>340</v>
      </c>
      <c r="L132" s="161">
        <f>L131/N132</f>
        <v>0</v>
      </c>
      <c r="M132" s="162" t="s">
        <v>301</v>
      </c>
      <c r="N132" s="511">
        <v>1</v>
      </c>
      <c r="O132" s="511"/>
      <c r="P132" s="399" t="s">
        <v>1145</v>
      </c>
      <c r="Q132" s="191"/>
    </row>
    <row r="133" spans="1:21" x14ac:dyDescent="0.3">
      <c r="A133" s="169"/>
      <c r="B133" s="205"/>
      <c r="C133" s="145"/>
      <c r="D133" s="145"/>
      <c r="E133" s="145"/>
      <c r="F133" s="145"/>
      <c r="G133" s="145"/>
      <c r="H133" s="145"/>
      <c r="I133" s="145"/>
      <c r="J133" s="145"/>
      <c r="K133" s="145"/>
      <c r="L133" s="205"/>
      <c r="M133" s="145"/>
      <c r="N133" s="456"/>
      <c r="O133" s="456"/>
      <c r="P133" s="206"/>
      <c r="Q133" s="194"/>
    </row>
    <row r="134" spans="1:21" x14ac:dyDescent="0.3">
      <c r="A134" s="155" t="s">
        <v>346</v>
      </c>
      <c r="B134" s="161"/>
      <c r="C134" s="162"/>
      <c r="D134" s="162"/>
      <c r="E134" s="162"/>
      <c r="F134" s="162"/>
      <c r="G134" s="162"/>
      <c r="H134" s="162"/>
      <c r="I134" s="162"/>
      <c r="J134" s="162"/>
      <c r="K134" s="162"/>
      <c r="L134" s="161"/>
      <c r="M134" s="162"/>
      <c r="N134" s="492"/>
      <c r="O134" s="492"/>
      <c r="P134" s="204"/>
      <c r="Q134" s="191"/>
    </row>
    <row r="135" spans="1:21" x14ac:dyDescent="0.3">
      <c r="A135" s="210" t="s">
        <v>338</v>
      </c>
      <c r="B135" s="161" t="s">
        <v>340</v>
      </c>
      <c r="C135" s="161">
        <f>L131</f>
        <v>0</v>
      </c>
      <c r="D135" s="162" t="s">
        <v>288</v>
      </c>
      <c r="E135" s="162"/>
      <c r="F135" s="162"/>
      <c r="G135" s="162"/>
      <c r="H135" s="162"/>
      <c r="I135" s="162"/>
      <c r="J135" s="162"/>
      <c r="K135" s="162"/>
      <c r="L135" s="161"/>
      <c r="M135" s="162"/>
      <c r="N135" s="492"/>
      <c r="O135" s="492"/>
      <c r="P135" s="204"/>
      <c r="Q135" s="191"/>
    </row>
    <row r="136" spans="1:21" x14ac:dyDescent="0.3">
      <c r="A136" s="132"/>
      <c r="B136" s="161"/>
      <c r="C136" s="162"/>
      <c r="D136" s="162"/>
      <c r="E136" s="162" t="s">
        <v>74</v>
      </c>
      <c r="F136" s="161">
        <f>C135*Q136</f>
        <v>0</v>
      </c>
      <c r="G136" s="162" t="s">
        <v>301</v>
      </c>
      <c r="H136" s="162"/>
      <c r="I136" s="162"/>
      <c r="J136" s="162"/>
      <c r="K136" s="162"/>
      <c r="L136" s="161"/>
      <c r="M136" s="162"/>
      <c r="N136" s="492"/>
      <c r="O136" s="492"/>
      <c r="P136" s="204" t="s">
        <v>347</v>
      </c>
      <c r="Q136" s="815">
        <v>0.04</v>
      </c>
    </row>
    <row r="137" spans="1:21" x14ac:dyDescent="0.3">
      <c r="A137" s="132"/>
      <c r="B137" s="161"/>
      <c r="C137" s="162"/>
      <c r="D137" s="162"/>
      <c r="E137" s="162" t="s">
        <v>74</v>
      </c>
      <c r="F137" s="161">
        <f>F136*Stoichiometry!C160</f>
        <v>0</v>
      </c>
      <c r="G137" s="162" t="s">
        <v>288</v>
      </c>
      <c r="H137" s="162"/>
      <c r="I137" s="162"/>
      <c r="J137" s="162"/>
      <c r="K137" s="162"/>
      <c r="L137" s="161"/>
      <c r="M137" s="162"/>
      <c r="N137" s="492"/>
      <c r="O137" s="492"/>
      <c r="P137" s="204"/>
      <c r="Q137" s="191"/>
    </row>
    <row r="138" spans="1:21" x14ac:dyDescent="0.3">
      <c r="A138" s="132"/>
      <c r="B138" s="161"/>
      <c r="C138" s="162"/>
      <c r="D138" s="162"/>
      <c r="E138" s="162"/>
      <c r="F138" s="161"/>
      <c r="G138" s="162"/>
      <c r="H138" s="162" t="s">
        <v>48</v>
      </c>
      <c r="I138" s="209">
        <f>IF(Macro!D10=TRUE,Energy!P116,0)</f>
        <v>0</v>
      </c>
      <c r="J138" s="162" t="s">
        <v>221</v>
      </c>
      <c r="K138" s="162"/>
      <c r="L138" s="161"/>
      <c r="M138" s="162"/>
      <c r="N138" s="492"/>
      <c r="O138" s="492"/>
      <c r="P138" s="178"/>
      <c r="Q138" s="468"/>
    </row>
    <row r="139" spans="1:21" x14ac:dyDescent="0.3">
      <c r="A139" s="132"/>
      <c r="B139" s="161"/>
      <c r="C139" s="162"/>
      <c r="D139" s="162"/>
      <c r="E139" s="162"/>
      <c r="F139" s="162"/>
      <c r="G139" s="162"/>
      <c r="H139" s="162"/>
      <c r="I139" s="162"/>
      <c r="J139" s="162"/>
      <c r="K139" s="162" t="s">
        <v>340</v>
      </c>
      <c r="L139" s="161">
        <f>C135+F137</f>
        <v>0</v>
      </c>
      <c r="M139" s="162" t="s">
        <v>288</v>
      </c>
      <c r="N139" s="492"/>
      <c r="O139" s="492"/>
      <c r="P139" s="204"/>
      <c r="Q139" s="191"/>
    </row>
    <row r="140" spans="1:21" x14ac:dyDescent="0.3">
      <c r="A140" s="132"/>
      <c r="B140" s="161"/>
      <c r="C140" s="162"/>
      <c r="D140" s="162"/>
      <c r="E140" s="162"/>
      <c r="F140" s="162"/>
      <c r="G140" s="162"/>
      <c r="H140" s="162"/>
      <c r="I140" s="162"/>
      <c r="J140" s="162"/>
      <c r="K140" s="162" t="s">
        <v>340</v>
      </c>
      <c r="L140" s="161">
        <f>L139/N140</f>
        <v>0</v>
      </c>
      <c r="M140" s="162" t="s">
        <v>301</v>
      </c>
      <c r="N140" s="511">
        <v>1</v>
      </c>
      <c r="O140" s="511"/>
      <c r="P140" s="204"/>
      <c r="Q140" s="191"/>
    </row>
    <row r="141" spans="1:21" x14ac:dyDescent="0.3">
      <c r="A141" s="169"/>
      <c r="B141" s="145"/>
      <c r="C141" s="145"/>
      <c r="D141" s="145"/>
      <c r="E141" s="205"/>
      <c r="F141" s="145"/>
      <c r="G141" s="145"/>
      <c r="H141" s="145"/>
      <c r="I141" s="145"/>
      <c r="J141" s="145"/>
      <c r="K141" s="145"/>
      <c r="L141" s="145"/>
      <c r="M141" s="145"/>
      <c r="N141" s="456"/>
      <c r="O141" s="456"/>
      <c r="P141" s="170"/>
      <c r="Q141" s="194"/>
    </row>
    <row r="142" spans="1:21" x14ac:dyDescent="0.3">
      <c r="A142" s="771" t="s">
        <v>391</v>
      </c>
      <c r="B142" s="162"/>
      <c r="C142" s="162"/>
      <c r="D142" s="162"/>
      <c r="E142" s="162"/>
      <c r="F142" s="162"/>
      <c r="G142" s="162"/>
      <c r="H142" s="162"/>
      <c r="I142" s="162"/>
      <c r="J142" s="162"/>
      <c r="K142" s="162"/>
      <c r="L142" s="162"/>
      <c r="M142" s="162"/>
      <c r="N142" s="492"/>
      <c r="O142" s="492"/>
      <c r="P142" s="163"/>
      <c r="Q142" s="191"/>
    </row>
    <row r="143" spans="1:21" x14ac:dyDescent="0.3">
      <c r="A143" s="132" t="s">
        <v>338</v>
      </c>
      <c r="B143" s="162" t="s">
        <v>340</v>
      </c>
      <c r="C143" s="161">
        <f>L139</f>
        <v>0</v>
      </c>
      <c r="D143" s="162" t="s">
        <v>288</v>
      </c>
      <c r="E143" s="162"/>
      <c r="F143" s="162"/>
      <c r="G143" s="162"/>
      <c r="H143" s="162"/>
      <c r="I143" s="162"/>
      <c r="J143" s="162"/>
      <c r="K143" s="162"/>
      <c r="L143" s="162"/>
      <c r="M143" s="162"/>
      <c r="N143" s="492"/>
      <c r="O143" s="492"/>
      <c r="P143" s="163"/>
      <c r="Q143" s="191"/>
    </row>
    <row r="144" spans="1:21" x14ac:dyDescent="0.3">
      <c r="A144" s="132"/>
      <c r="B144" s="161"/>
      <c r="C144" s="162"/>
      <c r="D144" s="162"/>
      <c r="E144" s="162" t="s">
        <v>66</v>
      </c>
      <c r="F144" s="161">
        <f>F114*Q144</f>
        <v>0</v>
      </c>
      <c r="G144" s="162" t="s">
        <v>288</v>
      </c>
      <c r="H144" s="162"/>
      <c r="I144" s="162"/>
      <c r="J144" s="162"/>
      <c r="K144" s="162"/>
      <c r="L144" s="162"/>
      <c r="M144" s="162"/>
      <c r="N144" s="492"/>
      <c r="O144" s="492"/>
      <c r="P144" s="110" t="s">
        <v>348</v>
      </c>
      <c r="Q144" s="811">
        <v>2</v>
      </c>
    </row>
    <row r="145" spans="1:17" x14ac:dyDescent="0.3">
      <c r="A145" s="132"/>
      <c r="B145" s="161"/>
      <c r="C145" s="162"/>
      <c r="D145" s="162"/>
      <c r="E145" s="162"/>
      <c r="F145" s="161"/>
      <c r="G145" s="162"/>
      <c r="H145" s="162" t="s">
        <v>48</v>
      </c>
      <c r="I145" s="209">
        <f>IF(Macro!D10=TRUE,Energy!P117,0)</f>
        <v>0</v>
      </c>
      <c r="J145" s="162" t="s">
        <v>221</v>
      </c>
      <c r="K145" s="162"/>
      <c r="L145" s="162"/>
      <c r="M145" s="162"/>
      <c r="N145" s="492"/>
      <c r="O145" s="492"/>
      <c r="P145" s="178"/>
      <c r="Q145" s="468"/>
    </row>
    <row r="146" spans="1:17" x14ac:dyDescent="0.3">
      <c r="A146" s="132"/>
      <c r="B146" s="161"/>
      <c r="C146" s="162"/>
      <c r="D146" s="162"/>
      <c r="E146" s="162"/>
      <c r="F146" s="162"/>
      <c r="G146" s="162"/>
      <c r="H146" s="162"/>
      <c r="I146" s="162"/>
      <c r="J146" s="162"/>
      <c r="K146" s="162" t="s">
        <v>340</v>
      </c>
      <c r="L146" s="161">
        <f>C143+F144</f>
        <v>0</v>
      </c>
      <c r="M146" s="162" t="s">
        <v>288</v>
      </c>
      <c r="N146" s="492"/>
      <c r="O146" s="492"/>
      <c r="P146" s="163"/>
      <c r="Q146" s="191"/>
    </row>
    <row r="147" spans="1:17" x14ac:dyDescent="0.3">
      <c r="A147" s="132"/>
      <c r="B147" s="162"/>
      <c r="C147" s="162"/>
      <c r="D147" s="162"/>
      <c r="E147" s="162"/>
      <c r="F147" s="162"/>
      <c r="G147" s="162"/>
      <c r="H147" s="162"/>
      <c r="I147" s="162"/>
      <c r="J147" s="162"/>
      <c r="K147" s="162" t="s">
        <v>340</v>
      </c>
      <c r="L147" s="161">
        <f>L146/N147</f>
        <v>0</v>
      </c>
      <c r="M147" s="162" t="s">
        <v>301</v>
      </c>
      <c r="N147" s="511">
        <v>1</v>
      </c>
      <c r="O147" s="511"/>
      <c r="P147" s="204"/>
      <c r="Q147" s="191"/>
    </row>
    <row r="148" spans="1:17" x14ac:dyDescent="0.3">
      <c r="A148" s="169"/>
      <c r="B148" s="145"/>
      <c r="C148" s="145"/>
      <c r="D148" s="145"/>
      <c r="E148" s="205"/>
      <c r="F148" s="145"/>
      <c r="G148" s="145"/>
      <c r="H148" s="145"/>
      <c r="I148" s="145"/>
      <c r="J148" s="145"/>
      <c r="K148" s="145"/>
      <c r="L148" s="145"/>
      <c r="M148" s="145"/>
      <c r="N148" s="456"/>
      <c r="O148" s="456"/>
      <c r="P148" s="170"/>
      <c r="Q148" s="194"/>
    </row>
    <row r="149" spans="1:17" x14ac:dyDescent="0.3">
      <c r="A149" s="155" t="s">
        <v>392</v>
      </c>
      <c r="B149" s="162"/>
      <c r="C149" s="162"/>
      <c r="D149" s="162"/>
      <c r="E149" s="162"/>
      <c r="F149" s="162"/>
      <c r="G149" s="162"/>
      <c r="H149" s="162"/>
      <c r="I149" s="162"/>
      <c r="J149" s="162"/>
      <c r="K149" s="162"/>
      <c r="L149" s="162"/>
      <c r="M149" s="162"/>
      <c r="N149" s="492"/>
      <c r="O149" s="492"/>
      <c r="P149" s="163"/>
      <c r="Q149" s="191"/>
    </row>
    <row r="150" spans="1:17" x14ac:dyDescent="0.3">
      <c r="A150" s="132" t="s">
        <v>350</v>
      </c>
      <c r="B150" s="162" t="s">
        <v>340</v>
      </c>
      <c r="C150" s="161">
        <f>L146</f>
        <v>0</v>
      </c>
      <c r="D150" s="162" t="s">
        <v>288</v>
      </c>
      <c r="E150" s="162"/>
      <c r="F150" s="162"/>
      <c r="G150" s="162"/>
      <c r="H150" s="162"/>
      <c r="I150" s="162"/>
      <c r="J150" s="162"/>
      <c r="K150" s="162"/>
      <c r="L150" s="162"/>
      <c r="M150" s="162"/>
      <c r="N150" s="492"/>
      <c r="O150" s="492"/>
      <c r="P150" s="163"/>
      <c r="Q150" s="191"/>
    </row>
    <row r="151" spans="1:17" x14ac:dyDescent="0.3">
      <c r="A151" s="155"/>
      <c r="B151" s="162"/>
      <c r="C151" s="161"/>
      <c r="D151" s="162"/>
      <c r="E151" s="162"/>
      <c r="F151" s="162"/>
      <c r="G151" s="162"/>
      <c r="H151" s="472" t="s">
        <v>48</v>
      </c>
      <c r="I151" s="474">
        <f>IF(Macro!D10=TRUE,Energy!P118,0)</f>
        <v>0</v>
      </c>
      <c r="J151" s="472" t="s">
        <v>221</v>
      </c>
      <c r="K151" s="472"/>
      <c r="L151" s="472"/>
      <c r="M151" s="472"/>
      <c r="N151" s="512"/>
      <c r="O151" s="512"/>
      <c r="P151" s="472"/>
      <c r="Q151" s="473"/>
    </row>
    <row r="152" spans="1:17" x14ac:dyDescent="0.3">
      <c r="A152" s="132"/>
      <c r="B152" s="162"/>
      <c r="C152" s="162"/>
      <c r="D152" s="162"/>
      <c r="E152" s="161"/>
      <c r="F152" s="162"/>
      <c r="G152" s="162"/>
      <c r="H152" s="162"/>
      <c r="I152" s="162"/>
      <c r="J152" s="162"/>
      <c r="K152" s="110" t="s">
        <v>46</v>
      </c>
      <c r="L152" s="714">
        <f>IF(Macro!D10=TRUE,Stoichiometry!G139*(Stoichiometry!D157/Stoichiometry!D139)*Efficiencies!E112,0)</f>
        <v>0</v>
      </c>
      <c r="M152" s="162" t="s">
        <v>288</v>
      </c>
      <c r="N152" s="492"/>
      <c r="O152" s="492"/>
      <c r="P152" s="163"/>
      <c r="Q152" s="191"/>
    </row>
    <row r="153" spans="1:17" x14ac:dyDescent="0.3">
      <c r="A153" s="132"/>
      <c r="B153" s="162"/>
      <c r="C153" s="162"/>
      <c r="D153" s="162"/>
      <c r="E153" s="161"/>
      <c r="F153" s="162"/>
      <c r="G153" s="162"/>
      <c r="H153" s="162"/>
      <c r="I153" s="162"/>
      <c r="J153" s="162"/>
      <c r="K153" s="162" t="s">
        <v>29</v>
      </c>
      <c r="L153" s="209">
        <f>IF(Macro!D10=TRUE,Stoichiometry!G136*(Stoichiometry!D158/Stoichiometry!D136)*Efficiencies!E113,0)</f>
        <v>0</v>
      </c>
      <c r="M153" s="162" t="s">
        <v>288</v>
      </c>
      <c r="N153" s="492"/>
      <c r="O153" s="492"/>
      <c r="P153" s="163"/>
      <c r="Q153" s="191"/>
    </row>
    <row r="154" spans="1:17" x14ac:dyDescent="0.3">
      <c r="A154" s="132"/>
      <c r="B154" s="162"/>
      <c r="C154" s="162"/>
      <c r="D154" s="162"/>
      <c r="E154" s="161"/>
      <c r="F154" s="162"/>
      <c r="G154" s="162"/>
      <c r="H154" s="162"/>
      <c r="I154" s="162"/>
      <c r="J154" s="162"/>
      <c r="K154" s="162" t="s">
        <v>340</v>
      </c>
      <c r="L154" s="161">
        <f>C150-L152-L153</f>
        <v>0</v>
      </c>
      <c r="M154" s="162" t="s">
        <v>288</v>
      </c>
      <c r="N154" s="492"/>
      <c r="O154" s="492"/>
      <c r="P154" s="163"/>
      <c r="Q154" s="191"/>
    </row>
    <row r="155" spans="1:17" x14ac:dyDescent="0.3">
      <c r="A155" s="132"/>
      <c r="B155" s="162"/>
      <c r="C155" s="162"/>
      <c r="D155" s="162"/>
      <c r="E155" s="162"/>
      <c r="F155" s="162"/>
      <c r="G155" s="162"/>
      <c r="H155" s="162"/>
      <c r="I155" s="162"/>
      <c r="J155" s="162"/>
      <c r="K155" s="162" t="s">
        <v>340</v>
      </c>
      <c r="L155" s="161">
        <f>L154/N155</f>
        <v>0</v>
      </c>
      <c r="M155" s="162" t="s">
        <v>301</v>
      </c>
      <c r="N155" s="511">
        <v>1</v>
      </c>
      <c r="O155" s="511"/>
      <c r="P155" s="204"/>
      <c r="Q155" s="191"/>
    </row>
    <row r="156" spans="1:17" x14ac:dyDescent="0.3">
      <c r="A156" s="169"/>
      <c r="B156" s="145"/>
      <c r="C156" s="145"/>
      <c r="D156" s="145"/>
      <c r="E156" s="145"/>
      <c r="F156" s="145"/>
      <c r="G156" s="145"/>
      <c r="H156" s="145"/>
      <c r="I156" s="145"/>
      <c r="J156" s="145"/>
      <c r="K156" s="145"/>
      <c r="L156" s="145"/>
      <c r="M156" s="145"/>
      <c r="N156" s="456"/>
      <c r="O156" s="456"/>
      <c r="P156" s="170"/>
      <c r="Q156" s="194"/>
    </row>
    <row r="157" spans="1:17" x14ac:dyDescent="0.3">
      <c r="A157" s="155" t="s">
        <v>394</v>
      </c>
      <c r="B157" s="162"/>
      <c r="C157" s="162"/>
      <c r="D157" s="162"/>
      <c r="E157" s="162"/>
      <c r="F157" s="162"/>
      <c r="G157" s="162"/>
      <c r="H157" s="162"/>
      <c r="I157" s="162"/>
      <c r="J157" s="162"/>
      <c r="K157" s="162"/>
      <c r="L157" s="162"/>
      <c r="M157" s="162"/>
      <c r="N157" s="492"/>
      <c r="O157" s="492"/>
      <c r="P157" s="163"/>
      <c r="Q157" s="191"/>
    </row>
    <row r="158" spans="1:17" x14ac:dyDescent="0.3">
      <c r="A158" s="132" t="s">
        <v>342</v>
      </c>
      <c r="B158" s="162" t="s">
        <v>340</v>
      </c>
      <c r="C158" s="161">
        <f>L154</f>
        <v>0</v>
      </c>
      <c r="D158" s="162" t="s">
        <v>288</v>
      </c>
      <c r="E158" s="162"/>
      <c r="F158" s="162"/>
      <c r="G158" s="162"/>
      <c r="H158" s="162"/>
      <c r="I158" s="162"/>
      <c r="J158" s="162"/>
      <c r="K158" s="162"/>
      <c r="L158" s="162"/>
      <c r="M158" s="162"/>
      <c r="N158" s="492"/>
      <c r="O158" s="492" t="e">
        <f>Energy!S119</f>
        <v>#DIV/0!</v>
      </c>
      <c r="P158" s="163" t="s">
        <v>266</v>
      </c>
      <c r="Q158" s="191"/>
    </row>
    <row r="159" spans="1:17" ht="28.8" x14ac:dyDescent="0.3">
      <c r="A159" s="132"/>
      <c r="B159" s="162"/>
      <c r="C159" s="162"/>
      <c r="D159" s="162"/>
      <c r="E159" s="162" t="s">
        <v>59</v>
      </c>
      <c r="F159" s="197">
        <f>IF(Macro!D10=TRUE,C158/3*1.3*0.7/O158,0)</f>
        <v>0</v>
      </c>
      <c r="G159" s="162" t="s">
        <v>288</v>
      </c>
      <c r="H159" s="162"/>
      <c r="I159" s="162"/>
      <c r="J159" s="162"/>
      <c r="K159" s="162"/>
      <c r="L159" s="162"/>
      <c r="M159" s="162"/>
      <c r="N159" s="492"/>
      <c r="O159" s="492"/>
      <c r="P159" s="843" t="s">
        <v>353</v>
      </c>
      <c r="Q159" s="191"/>
    </row>
    <row r="160" spans="1:17" ht="28.8" x14ac:dyDescent="0.3">
      <c r="A160" s="132"/>
      <c r="B160" s="162"/>
      <c r="C160" s="162"/>
      <c r="D160" s="162"/>
      <c r="E160" s="162" t="s">
        <v>395</v>
      </c>
      <c r="F160" s="715">
        <f>IF(Macro!D10=TRUE,C158/3*1.3*0.3/O158,0)</f>
        <v>0</v>
      </c>
      <c r="G160" s="162" t="s">
        <v>355</v>
      </c>
      <c r="H160" s="162"/>
      <c r="I160" s="162"/>
      <c r="J160" s="162"/>
      <c r="K160" s="162"/>
      <c r="L160" s="162"/>
      <c r="M160" s="162"/>
      <c r="N160" s="492"/>
      <c r="O160" s="492"/>
      <c r="P160" s="843" t="s">
        <v>396</v>
      </c>
      <c r="Q160" s="191"/>
    </row>
    <row r="161" spans="1:20" ht="28.8" x14ac:dyDescent="0.3">
      <c r="A161" s="132"/>
      <c r="B161" s="162"/>
      <c r="C161" s="162"/>
      <c r="D161" s="162"/>
      <c r="E161" s="163" t="s">
        <v>587</v>
      </c>
      <c r="F161" s="929">
        <f>F160*Q161</f>
        <v>0</v>
      </c>
      <c r="G161" s="162" t="s">
        <v>326</v>
      </c>
      <c r="H161" s="162"/>
      <c r="I161" s="132"/>
      <c r="J161" s="162"/>
      <c r="K161" s="162"/>
      <c r="L161" s="162"/>
      <c r="M161" s="162"/>
      <c r="N161" s="492"/>
      <c r="O161" s="492"/>
      <c r="P161" s="110" t="s">
        <v>358</v>
      </c>
      <c r="Q161" s="813">
        <v>0.05</v>
      </c>
    </row>
    <row r="162" spans="1:20" x14ac:dyDescent="0.3">
      <c r="A162" s="132"/>
      <c r="B162" s="162"/>
      <c r="C162" s="162"/>
      <c r="D162" s="162"/>
      <c r="E162" s="163"/>
      <c r="F162" s="196"/>
      <c r="G162" s="162"/>
      <c r="H162" s="162" t="s">
        <v>48</v>
      </c>
      <c r="I162" s="161">
        <f>IF(Macro!D10=TRUE,Energy!P119,0)</f>
        <v>0</v>
      </c>
      <c r="J162" s="162" t="s">
        <v>221</v>
      </c>
      <c r="K162" s="162"/>
      <c r="L162" s="162"/>
      <c r="M162" s="162"/>
      <c r="N162" s="492"/>
      <c r="O162" s="492"/>
      <c r="P162" s="110"/>
      <c r="Q162" s="244"/>
    </row>
    <row r="163" spans="1:20" ht="28.8" x14ac:dyDescent="0.3">
      <c r="A163" s="132"/>
      <c r="B163" s="162"/>
      <c r="C163" s="162"/>
      <c r="D163" s="162"/>
      <c r="E163" s="162"/>
      <c r="F163" s="162"/>
      <c r="G163" s="162"/>
      <c r="H163" s="162"/>
      <c r="I163" s="132"/>
      <c r="J163" s="162"/>
      <c r="K163" s="162" t="s">
        <v>398</v>
      </c>
      <c r="L163" s="161">
        <f>IF(Macro!D10=TRUE,F159+F160+Stoichiometry!G149+Stoichiometry!G149/(Stoichiometry!J7/1000),0)</f>
        <v>0</v>
      </c>
      <c r="M163" s="162" t="s">
        <v>288</v>
      </c>
      <c r="N163" s="492"/>
      <c r="O163" s="492"/>
      <c r="P163" s="163" t="s">
        <v>399</v>
      </c>
      <c r="Q163" s="191"/>
    </row>
    <row r="164" spans="1:20" x14ac:dyDescent="0.3">
      <c r="A164" s="132"/>
      <c r="B164" s="162"/>
      <c r="C164" s="162"/>
      <c r="D164" s="162"/>
      <c r="E164" s="162"/>
      <c r="F164" s="162"/>
      <c r="G164" s="162"/>
      <c r="H164" s="162"/>
      <c r="I164" s="132"/>
      <c r="J164" s="162"/>
      <c r="K164" s="162" t="s">
        <v>340</v>
      </c>
      <c r="L164" s="161">
        <f>C158-L163</f>
        <v>0</v>
      </c>
      <c r="M164" s="132" t="s">
        <v>288</v>
      </c>
      <c r="N164" s="501"/>
      <c r="O164" s="501"/>
      <c r="P164" s="204"/>
      <c r="Q164" s="164"/>
    </row>
    <row r="165" spans="1:20" x14ac:dyDescent="0.3">
      <c r="A165" s="132"/>
      <c r="B165" s="162"/>
      <c r="C165" s="162"/>
      <c r="D165" s="132"/>
      <c r="E165" s="162"/>
      <c r="F165" s="162"/>
      <c r="G165" s="162"/>
      <c r="H165" s="162"/>
      <c r="I165" s="132"/>
      <c r="J165" s="162"/>
      <c r="K165" s="162" t="s">
        <v>340</v>
      </c>
      <c r="L165" s="161">
        <f>L164/N165</f>
        <v>0</v>
      </c>
      <c r="M165" s="132" t="s">
        <v>301</v>
      </c>
      <c r="N165" s="505">
        <v>1</v>
      </c>
      <c r="O165" s="505"/>
      <c r="P165" s="399"/>
      <c r="Q165" s="527"/>
    </row>
    <row r="166" spans="1:20" x14ac:dyDescent="0.3">
      <c r="A166" s="169"/>
      <c r="B166" s="145"/>
      <c r="C166" s="145"/>
      <c r="D166" s="169"/>
      <c r="E166" s="145"/>
      <c r="F166" s="145"/>
      <c r="G166" s="145"/>
      <c r="H166" s="145"/>
      <c r="I166" s="145"/>
      <c r="J166" s="145"/>
      <c r="K166" s="145"/>
      <c r="L166" s="145"/>
      <c r="M166" s="145"/>
      <c r="N166" s="456"/>
      <c r="O166" s="456"/>
      <c r="P166" s="170"/>
      <c r="Q166" s="194"/>
    </row>
    <row r="167" spans="1:20" x14ac:dyDescent="0.3">
      <c r="A167" s="158" t="s">
        <v>400</v>
      </c>
      <c r="B167" s="173"/>
      <c r="C167" s="162"/>
      <c r="D167" s="173"/>
      <c r="E167" s="173"/>
      <c r="F167" s="162"/>
      <c r="G167" s="162"/>
      <c r="H167" s="162"/>
      <c r="I167" s="162"/>
      <c r="J167" s="162"/>
      <c r="K167" s="162"/>
      <c r="L167" s="162"/>
      <c r="M167" s="162"/>
      <c r="N167" s="492"/>
      <c r="O167" s="492"/>
      <c r="P167" s="163"/>
      <c r="Q167" s="191"/>
    </row>
    <row r="168" spans="1:20" x14ac:dyDescent="0.3">
      <c r="A168" s="132" t="s">
        <v>342</v>
      </c>
      <c r="B168" s="162" t="s">
        <v>398</v>
      </c>
      <c r="C168" s="161">
        <f>L163</f>
        <v>0</v>
      </c>
      <c r="D168" s="162" t="s">
        <v>288</v>
      </c>
      <c r="E168" s="162"/>
      <c r="F168" s="162"/>
      <c r="G168" s="162"/>
      <c r="H168" s="162"/>
      <c r="I168" s="162"/>
      <c r="J168" s="162"/>
      <c r="K168" s="162"/>
      <c r="L168" s="162"/>
      <c r="M168" s="162"/>
      <c r="N168" s="492"/>
      <c r="O168" s="492"/>
      <c r="P168" s="163"/>
      <c r="Q168" s="191"/>
    </row>
    <row r="169" spans="1:20" ht="28.95" customHeight="1" x14ac:dyDescent="0.3">
      <c r="A169" s="132"/>
      <c r="B169" s="162"/>
      <c r="C169" s="162"/>
      <c r="D169" s="162"/>
      <c r="E169" s="163" t="s">
        <v>402</v>
      </c>
      <c r="F169" s="163" t="s">
        <v>364</v>
      </c>
      <c r="G169" s="162"/>
      <c r="H169" s="162"/>
      <c r="I169" s="162"/>
      <c r="J169" s="162"/>
      <c r="K169" s="162"/>
      <c r="L169" s="162"/>
      <c r="M169" s="162"/>
      <c r="N169" s="492"/>
      <c r="O169" s="492"/>
      <c r="P169" s="163"/>
      <c r="Q169" s="191"/>
      <c r="T169" s="167"/>
    </row>
    <row r="170" spans="1:20" x14ac:dyDescent="0.3">
      <c r="A170" s="132"/>
      <c r="B170" s="162"/>
      <c r="C170" s="162"/>
      <c r="D170" s="162"/>
      <c r="E170" s="162"/>
      <c r="F170" s="162"/>
      <c r="G170" s="162"/>
      <c r="H170" s="162" t="s">
        <v>48</v>
      </c>
      <c r="I170" s="161">
        <f>IF(Macro!D10=TRUE,Energy!P120,0)</f>
        <v>0</v>
      </c>
      <c r="J170" s="162" t="s">
        <v>221</v>
      </c>
      <c r="K170" s="162"/>
      <c r="L170" s="162"/>
      <c r="M170" s="162"/>
      <c r="N170" s="492"/>
      <c r="O170" s="492"/>
      <c r="P170" s="163" t="s">
        <v>365</v>
      </c>
      <c r="Q170" s="191"/>
      <c r="T170" s="167"/>
    </row>
    <row r="171" spans="1:20" x14ac:dyDescent="0.3">
      <c r="A171" s="132"/>
      <c r="B171" s="162"/>
      <c r="C171" s="162"/>
      <c r="D171" s="162"/>
      <c r="E171" s="162"/>
      <c r="F171" s="162"/>
      <c r="G171" s="162"/>
      <c r="H171" s="162"/>
      <c r="I171" s="162"/>
      <c r="J171" s="162"/>
      <c r="K171" s="162" t="s">
        <v>398</v>
      </c>
      <c r="L171" s="161">
        <f>C168</f>
        <v>0</v>
      </c>
      <c r="M171" s="162" t="s">
        <v>288</v>
      </c>
      <c r="N171" s="492"/>
      <c r="O171" s="492"/>
      <c r="P171" s="163"/>
      <c r="Q171" s="191"/>
    </row>
    <row r="172" spans="1:20" x14ac:dyDescent="0.3">
      <c r="A172" s="169"/>
      <c r="B172" s="145"/>
      <c r="C172" s="145"/>
      <c r="D172" s="145"/>
      <c r="E172" s="145"/>
      <c r="F172" s="145"/>
      <c r="G172" s="145"/>
      <c r="H172" s="145"/>
      <c r="I172" s="145"/>
      <c r="J172" s="145"/>
      <c r="K172" s="145" t="s">
        <v>398</v>
      </c>
      <c r="L172" s="205">
        <f>L171/N172</f>
        <v>0</v>
      </c>
      <c r="M172" s="145" t="s">
        <v>301</v>
      </c>
      <c r="N172" s="456">
        <v>2</v>
      </c>
      <c r="O172" s="456"/>
      <c r="P172" s="170"/>
      <c r="Q172" s="194"/>
    </row>
    <row r="173" spans="1:20" x14ac:dyDescent="0.3">
      <c r="A173" s="155" t="s">
        <v>403</v>
      </c>
      <c r="B173" s="162"/>
      <c r="C173" s="162"/>
      <c r="D173" s="162"/>
      <c r="E173" s="162"/>
      <c r="F173" s="162"/>
      <c r="G173" s="162"/>
      <c r="H173" s="162"/>
      <c r="I173" s="162"/>
      <c r="J173" s="162"/>
      <c r="K173" s="162"/>
      <c r="L173" s="162"/>
      <c r="M173" s="162"/>
      <c r="N173" s="492"/>
      <c r="O173" s="492"/>
      <c r="P173" s="163"/>
      <c r="Q173" s="191"/>
    </row>
    <row r="174" spans="1:20" x14ac:dyDescent="0.3">
      <c r="A174" s="132" t="s">
        <v>342</v>
      </c>
      <c r="B174" s="162" t="s">
        <v>398</v>
      </c>
      <c r="C174" s="161">
        <f>L171</f>
        <v>0</v>
      </c>
      <c r="D174" s="162" t="s">
        <v>288</v>
      </c>
      <c r="E174" s="162"/>
      <c r="F174" s="162"/>
      <c r="G174" s="162"/>
      <c r="H174" s="162"/>
      <c r="I174" s="162"/>
      <c r="J174" s="162"/>
      <c r="K174" s="162"/>
      <c r="L174" s="162"/>
      <c r="M174" s="162"/>
      <c r="N174" s="492"/>
      <c r="O174" s="492"/>
      <c r="P174" s="111" t="s">
        <v>367</v>
      </c>
      <c r="Q174" s="811">
        <v>2</v>
      </c>
    </row>
    <row r="175" spans="1:20" x14ac:dyDescent="0.3">
      <c r="A175" s="132"/>
      <c r="B175" s="162"/>
      <c r="C175" s="162"/>
      <c r="D175" s="162"/>
      <c r="E175" s="162" t="s">
        <v>70</v>
      </c>
      <c r="F175" s="331">
        <f>Stoichiometry!E163*Q175/Q174*Stoichiometry!C146/1000</f>
        <v>0</v>
      </c>
      <c r="G175" s="162" t="s">
        <v>288</v>
      </c>
      <c r="H175" s="162"/>
      <c r="I175" s="162"/>
      <c r="J175" s="162"/>
      <c r="K175" s="162"/>
      <c r="L175" s="162"/>
      <c r="M175" s="162"/>
      <c r="N175" s="492"/>
      <c r="O175" s="492"/>
      <c r="P175" s="111" t="s">
        <v>368</v>
      </c>
      <c r="Q175" s="811">
        <v>3</v>
      </c>
    </row>
    <row r="176" spans="1:20" x14ac:dyDescent="0.3">
      <c r="A176" s="132"/>
      <c r="B176" s="162"/>
      <c r="C176" s="162"/>
      <c r="D176" s="162"/>
      <c r="E176" s="162"/>
      <c r="F176" s="331"/>
      <c r="G176" s="162"/>
      <c r="H176" s="162" t="s">
        <v>48</v>
      </c>
      <c r="I176" s="161">
        <f>IF(Macro!D10=TRUE,Energy!P121,0)</f>
        <v>0</v>
      </c>
      <c r="J176" s="162" t="s">
        <v>221</v>
      </c>
      <c r="K176" s="162"/>
      <c r="L176" s="161"/>
      <c r="M176" s="162"/>
      <c r="N176" s="492"/>
      <c r="O176" s="492"/>
      <c r="P176" s="163" t="s">
        <v>365</v>
      </c>
      <c r="Q176" s="191"/>
    </row>
    <row r="177" spans="1:20" x14ac:dyDescent="0.3">
      <c r="A177" s="132"/>
      <c r="B177" s="162"/>
      <c r="C177" s="162"/>
      <c r="D177" s="162"/>
      <c r="E177" s="162"/>
      <c r="F177" s="162"/>
      <c r="G177" s="162"/>
      <c r="H177" s="162"/>
      <c r="I177" s="162"/>
      <c r="J177" s="162"/>
      <c r="K177" s="162" t="s">
        <v>405</v>
      </c>
      <c r="L177" s="161">
        <f>C174+F175-L179-L180</f>
        <v>0</v>
      </c>
      <c r="M177" s="162" t="s">
        <v>288</v>
      </c>
      <c r="N177" s="492"/>
      <c r="O177" s="492"/>
      <c r="P177" s="163"/>
      <c r="Q177" s="191"/>
    </row>
    <row r="178" spans="1:20" x14ac:dyDescent="0.3">
      <c r="A178" s="132"/>
      <c r="B178" s="162"/>
      <c r="C178" s="162"/>
      <c r="D178" s="132"/>
      <c r="E178" s="162"/>
      <c r="F178" s="162"/>
      <c r="G178" s="162"/>
      <c r="H178" s="162"/>
      <c r="I178" s="162"/>
      <c r="J178" s="162"/>
      <c r="K178" s="162" t="s">
        <v>405</v>
      </c>
      <c r="L178" s="161">
        <f>L177/N178</f>
        <v>0</v>
      </c>
      <c r="M178" s="162" t="s">
        <v>301</v>
      </c>
      <c r="N178" s="511">
        <v>2</v>
      </c>
      <c r="O178" s="511"/>
      <c r="P178" s="163"/>
      <c r="Q178" s="527"/>
    </row>
    <row r="179" spans="1:20" x14ac:dyDescent="0.3">
      <c r="A179" s="132"/>
      <c r="B179" s="162"/>
      <c r="C179" s="162"/>
      <c r="D179" s="132"/>
      <c r="E179" s="162"/>
      <c r="F179" s="162"/>
      <c r="G179" s="162"/>
      <c r="H179" s="162"/>
      <c r="I179" s="162"/>
      <c r="J179" s="162"/>
      <c r="K179" s="162" t="s">
        <v>41</v>
      </c>
      <c r="L179" s="197">
        <f>F160</f>
        <v>0</v>
      </c>
      <c r="M179" s="162" t="s">
        <v>288</v>
      </c>
      <c r="N179" s="492"/>
      <c r="O179" s="492"/>
      <c r="P179" s="163" t="s">
        <v>370</v>
      </c>
      <c r="Q179" s="191"/>
    </row>
    <row r="180" spans="1:20" x14ac:dyDescent="0.3">
      <c r="A180" s="132"/>
      <c r="B180" s="162"/>
      <c r="C180" s="162"/>
      <c r="D180" s="132"/>
      <c r="E180" s="162"/>
      <c r="F180" s="132"/>
      <c r="G180" s="162"/>
      <c r="H180" s="162"/>
      <c r="I180" s="162"/>
      <c r="J180" s="162"/>
      <c r="K180" s="162" t="s">
        <v>59</v>
      </c>
      <c r="L180" s="197">
        <f>F159</f>
        <v>0</v>
      </c>
      <c r="M180" s="162" t="s">
        <v>288</v>
      </c>
      <c r="N180" s="492"/>
      <c r="O180" s="492"/>
      <c r="P180" s="163" t="s">
        <v>370</v>
      </c>
      <c r="Q180" s="191"/>
    </row>
    <row r="181" spans="1:20" x14ac:dyDescent="0.3">
      <c r="A181" s="169"/>
      <c r="B181" s="145"/>
      <c r="C181" s="145"/>
      <c r="D181" s="169"/>
      <c r="E181" s="145"/>
      <c r="F181" s="169"/>
      <c r="G181" s="145"/>
      <c r="H181" s="145"/>
      <c r="I181" s="145"/>
      <c r="J181" s="145"/>
      <c r="K181" s="145"/>
      <c r="L181" s="145"/>
      <c r="M181" s="145"/>
      <c r="N181" s="456"/>
      <c r="O181" s="456"/>
      <c r="P181" s="170"/>
      <c r="Q181" s="194"/>
    </row>
    <row r="182" spans="1:20" x14ac:dyDescent="0.3">
      <c r="A182" s="158" t="s">
        <v>617</v>
      </c>
      <c r="B182" s="162"/>
      <c r="C182" s="162"/>
      <c r="D182" s="173"/>
      <c r="E182" s="162"/>
      <c r="F182" s="173"/>
      <c r="G182" s="162"/>
      <c r="H182" s="162"/>
      <c r="I182" s="162"/>
      <c r="J182" s="162"/>
      <c r="K182" s="162"/>
      <c r="L182" s="162"/>
      <c r="M182" s="162"/>
      <c r="N182" s="492"/>
      <c r="O182" s="492"/>
      <c r="P182" s="163"/>
      <c r="Q182" s="191"/>
    </row>
    <row r="183" spans="1:20" ht="28.8" x14ac:dyDescent="0.3">
      <c r="A183" s="210" t="s">
        <v>371</v>
      </c>
      <c r="B183" s="178" t="s">
        <v>405</v>
      </c>
      <c r="C183" s="181">
        <f>L177</f>
        <v>0</v>
      </c>
      <c r="D183" s="162" t="s">
        <v>288</v>
      </c>
      <c r="E183" s="162"/>
      <c r="F183" s="162"/>
      <c r="G183" s="162"/>
      <c r="H183" s="162"/>
      <c r="I183" s="162"/>
      <c r="J183" s="162"/>
      <c r="K183" s="162"/>
      <c r="L183" s="162"/>
      <c r="M183" s="162"/>
      <c r="N183" s="492"/>
      <c r="O183" s="492"/>
      <c r="P183" s="163"/>
      <c r="Q183" s="191"/>
      <c r="T183" s="167"/>
    </row>
    <row r="184" spans="1:20" x14ac:dyDescent="0.3">
      <c r="A184" s="132"/>
      <c r="B184" s="162"/>
      <c r="C184" s="181"/>
      <c r="D184" s="162"/>
      <c r="E184" s="162"/>
      <c r="F184" s="162"/>
      <c r="G184" s="162"/>
      <c r="H184" s="162" t="s">
        <v>48</v>
      </c>
      <c r="I184" s="161">
        <f>IF(Macro!D10=TRUE,Energy!P122,0)</f>
        <v>0</v>
      </c>
      <c r="J184" s="162" t="s">
        <v>221</v>
      </c>
      <c r="K184" s="162"/>
      <c r="L184" s="162"/>
      <c r="M184" s="162"/>
      <c r="N184" s="492"/>
      <c r="O184" s="492"/>
      <c r="P184" s="163" t="s">
        <v>373</v>
      </c>
      <c r="Q184" s="191"/>
    </row>
    <row r="185" spans="1:20" x14ac:dyDescent="0.3">
      <c r="A185" s="132"/>
      <c r="B185" s="162"/>
      <c r="C185" s="162"/>
      <c r="D185" s="162"/>
      <c r="E185" s="162"/>
      <c r="F185" s="162"/>
      <c r="G185" s="162"/>
      <c r="H185" s="162"/>
      <c r="I185" s="162"/>
      <c r="J185" s="162"/>
      <c r="K185" s="162" t="s">
        <v>64</v>
      </c>
      <c r="L185" s="161">
        <f>IF(Macro!D10=TRUE,(Stoichiometry!G149+Stoichiometry!G164)*Efficiencies!E115,0)</f>
        <v>0</v>
      </c>
      <c r="M185" s="162" t="s">
        <v>288</v>
      </c>
      <c r="N185" s="492"/>
      <c r="O185" s="492"/>
      <c r="P185" s="163"/>
      <c r="Q185" s="191"/>
    </row>
    <row r="186" spans="1:20" x14ac:dyDescent="0.3">
      <c r="A186" s="132"/>
      <c r="B186" s="162"/>
      <c r="C186" s="162"/>
      <c r="D186" s="162"/>
      <c r="E186" s="162"/>
      <c r="F186" s="162"/>
      <c r="G186" s="162"/>
      <c r="H186" s="162"/>
      <c r="I186" s="162"/>
      <c r="J186" s="162"/>
      <c r="K186" s="162" t="s">
        <v>214</v>
      </c>
      <c r="L186" s="161">
        <f>C183-L185</f>
        <v>0</v>
      </c>
      <c r="M186" s="162" t="s">
        <v>288</v>
      </c>
      <c r="N186" s="492"/>
      <c r="O186" s="492"/>
      <c r="P186" s="163" t="s">
        <v>374</v>
      </c>
      <c r="Q186" s="191"/>
      <c r="T186" s="167"/>
    </row>
    <row r="187" spans="1:20" x14ac:dyDescent="0.3">
      <c r="A187" s="169"/>
      <c r="B187" s="145"/>
      <c r="C187" s="145"/>
      <c r="D187" s="145"/>
      <c r="E187" s="145"/>
      <c r="F187" s="145"/>
      <c r="G187" s="145"/>
      <c r="H187" s="145"/>
      <c r="I187" s="145"/>
      <c r="J187" s="145"/>
      <c r="K187" s="145"/>
      <c r="L187" s="145"/>
      <c r="M187" s="145"/>
      <c r="N187" s="456"/>
      <c r="O187" s="456"/>
      <c r="P187" s="170"/>
      <c r="Q187" s="194"/>
    </row>
    <row r="188" spans="1:20" x14ac:dyDescent="0.3">
      <c r="A188" s="771" t="s">
        <v>415</v>
      </c>
      <c r="B188" s="162"/>
      <c r="C188" s="162"/>
      <c r="D188" s="162"/>
      <c r="E188" s="162"/>
      <c r="F188" s="162"/>
      <c r="G188" s="162"/>
      <c r="H188" s="162"/>
      <c r="I188" s="162"/>
      <c r="J188" s="162"/>
      <c r="K188" s="162"/>
      <c r="L188" s="162"/>
      <c r="M188" s="162"/>
      <c r="N188" s="492"/>
      <c r="O188" s="492"/>
      <c r="P188" s="163"/>
      <c r="Q188" s="191"/>
    </row>
    <row r="189" spans="1:20" x14ac:dyDescent="0.3">
      <c r="A189" s="210" t="s">
        <v>338</v>
      </c>
      <c r="B189" s="162" t="s">
        <v>340</v>
      </c>
      <c r="C189" s="161">
        <f>L164</f>
        <v>0</v>
      </c>
      <c r="D189" s="162" t="s">
        <v>288</v>
      </c>
      <c r="E189" s="162"/>
      <c r="F189" s="162"/>
      <c r="G189" s="162"/>
      <c r="H189" s="162"/>
      <c r="I189" s="162"/>
      <c r="J189" s="162"/>
      <c r="K189" s="162"/>
      <c r="L189" s="162"/>
      <c r="M189" s="162"/>
      <c r="N189" s="492"/>
      <c r="O189" s="492"/>
      <c r="P189" s="163"/>
      <c r="Q189" s="191"/>
    </row>
    <row r="190" spans="1:20" x14ac:dyDescent="0.3">
      <c r="A190" s="132"/>
      <c r="B190" s="162"/>
      <c r="C190" s="162"/>
      <c r="D190" s="162"/>
      <c r="E190" s="162" t="s">
        <v>65</v>
      </c>
      <c r="F190" s="161">
        <f>IF(Macro!D10=TRUE,X203*Q192,0)</f>
        <v>0</v>
      </c>
      <c r="G190" s="162" t="s">
        <v>288</v>
      </c>
      <c r="H190" s="162"/>
      <c r="I190" s="162"/>
      <c r="J190" s="162"/>
      <c r="K190" s="162"/>
      <c r="L190" s="162"/>
      <c r="M190" s="162"/>
      <c r="N190" s="492"/>
      <c r="O190" s="492"/>
      <c r="P190" s="111"/>
      <c r="Q190" s="191"/>
    </row>
    <row r="191" spans="1:20" x14ac:dyDescent="0.3">
      <c r="A191" s="132"/>
      <c r="B191" s="162"/>
      <c r="C191" s="162"/>
      <c r="D191" s="162"/>
      <c r="E191" s="162"/>
      <c r="F191" s="161"/>
      <c r="G191" s="162"/>
      <c r="H191" s="162" t="s">
        <v>48</v>
      </c>
      <c r="I191" s="209">
        <f>IF(Macro!D10=TRUE,Energy!P123,0)</f>
        <v>0</v>
      </c>
      <c r="J191" s="162" t="s">
        <v>221</v>
      </c>
      <c r="K191" s="162"/>
      <c r="L191" s="162"/>
      <c r="M191" s="162"/>
      <c r="N191" s="492"/>
      <c r="O191" s="492"/>
      <c r="P191" s="111"/>
      <c r="Q191" s="468"/>
    </row>
    <row r="192" spans="1:20" x14ac:dyDescent="0.3">
      <c r="A192" s="132"/>
      <c r="B192" s="162"/>
      <c r="C192" s="162"/>
      <c r="D192" s="162"/>
      <c r="E192" s="162"/>
      <c r="F192" s="162"/>
      <c r="G192" s="162"/>
      <c r="H192" s="162"/>
      <c r="I192" s="162"/>
      <c r="J192" s="162"/>
      <c r="K192" s="162" t="s">
        <v>340</v>
      </c>
      <c r="L192" s="161">
        <f>C189+F190</f>
        <v>0</v>
      </c>
      <c r="M192" s="162" t="s">
        <v>288</v>
      </c>
      <c r="N192" s="492"/>
      <c r="O192" s="492"/>
      <c r="P192" s="111" t="s">
        <v>419</v>
      </c>
      <c r="Q192" s="811">
        <v>1.1000000000000001</v>
      </c>
    </row>
    <row r="193" spans="1:28" x14ac:dyDescent="0.3">
      <c r="A193" s="132"/>
      <c r="B193" s="162"/>
      <c r="C193" s="162"/>
      <c r="D193" s="162"/>
      <c r="E193" s="162"/>
      <c r="F193" s="162"/>
      <c r="G193" s="162"/>
      <c r="H193" s="162"/>
      <c r="I193" s="162"/>
      <c r="J193" s="162"/>
      <c r="K193" s="162" t="s">
        <v>340</v>
      </c>
      <c r="L193" s="161">
        <f>L192/N193</f>
        <v>0</v>
      </c>
      <c r="M193" s="162" t="s">
        <v>301</v>
      </c>
      <c r="N193" s="511">
        <v>1</v>
      </c>
      <c r="O193" s="511"/>
      <c r="P193" s="204"/>
      <c r="Q193" s="191"/>
    </row>
    <row r="194" spans="1:28" x14ac:dyDescent="0.3">
      <c r="A194" s="169"/>
      <c r="B194" s="145"/>
      <c r="C194" s="145"/>
      <c r="D194" s="145"/>
      <c r="E194" s="145"/>
      <c r="F194" s="145"/>
      <c r="G194" s="145"/>
      <c r="H194" s="145"/>
      <c r="I194" s="145"/>
      <c r="J194" s="145"/>
      <c r="K194" s="145"/>
      <c r="L194" s="145"/>
      <c r="M194" s="145"/>
      <c r="N194" s="456"/>
      <c r="O194" s="456"/>
      <c r="P194" s="170"/>
      <c r="Q194" s="194"/>
    </row>
    <row r="195" spans="1:28" x14ac:dyDescent="0.3">
      <c r="A195" s="155" t="s">
        <v>426</v>
      </c>
      <c r="B195" s="162"/>
      <c r="C195" s="162"/>
      <c r="D195" s="162"/>
      <c r="E195" s="162"/>
      <c r="F195" s="162"/>
      <c r="G195" s="162"/>
      <c r="H195" s="162"/>
      <c r="I195" s="162"/>
      <c r="J195" s="162"/>
      <c r="K195" s="162"/>
      <c r="L195" s="162"/>
      <c r="M195" s="162"/>
      <c r="N195" s="492"/>
      <c r="O195" s="492"/>
      <c r="P195" s="163"/>
      <c r="Q195" s="191"/>
    </row>
    <row r="196" spans="1:28" x14ac:dyDescent="0.3">
      <c r="A196" s="132" t="s">
        <v>427</v>
      </c>
      <c r="B196" s="162" t="s">
        <v>340</v>
      </c>
      <c r="C196" s="161">
        <f>L192</f>
        <v>0</v>
      </c>
      <c r="D196" s="162" t="s">
        <v>288</v>
      </c>
      <c r="E196" s="162"/>
      <c r="F196" s="162"/>
      <c r="G196" s="162"/>
      <c r="H196" s="162"/>
      <c r="I196" s="162"/>
      <c r="J196" s="162"/>
      <c r="K196" s="162"/>
      <c r="L196" s="162"/>
      <c r="M196" s="162"/>
      <c r="N196" s="492"/>
      <c r="O196" s="492"/>
      <c r="P196" s="163"/>
      <c r="Q196" s="191"/>
      <c r="T196" t="s">
        <v>416</v>
      </c>
    </row>
    <row r="197" spans="1:28" x14ac:dyDescent="0.3">
      <c r="A197" s="132"/>
      <c r="B197" s="162"/>
      <c r="C197" s="161"/>
      <c r="D197" s="162"/>
      <c r="E197" s="162"/>
      <c r="F197" s="162"/>
      <c r="G197" s="162"/>
      <c r="H197" s="162" t="s">
        <v>48</v>
      </c>
      <c r="I197" s="209">
        <f>IF(Macro!D10=TRUE,Energy!P124,0)</f>
        <v>0</v>
      </c>
      <c r="J197" s="162" t="s">
        <v>221</v>
      </c>
      <c r="K197" s="132"/>
      <c r="L197" s="162"/>
      <c r="M197" s="162"/>
      <c r="N197" s="492"/>
      <c r="O197" s="492"/>
      <c r="P197" s="163"/>
      <c r="Q197" s="468"/>
      <c r="T197" s="1132" t="s">
        <v>95</v>
      </c>
      <c r="U197" s="1133"/>
      <c r="V197" s="1133"/>
      <c r="W197" s="1134"/>
      <c r="X197" s="1132" t="s">
        <v>417</v>
      </c>
      <c r="Y197" s="1133"/>
      <c r="Z197" s="1134"/>
      <c r="AA197" s="1135" t="s">
        <v>418</v>
      </c>
      <c r="AB197" s="1135"/>
    </row>
    <row r="198" spans="1:28" ht="43.2" x14ac:dyDescent="0.3">
      <c r="A198" s="132"/>
      <c r="B198" s="162"/>
      <c r="C198" s="162"/>
      <c r="D198" s="162"/>
      <c r="E198" s="162"/>
      <c r="F198" s="162"/>
      <c r="G198" s="162"/>
      <c r="H198" s="162"/>
      <c r="I198" s="162"/>
      <c r="J198" s="162"/>
      <c r="K198" s="108" t="s">
        <v>541</v>
      </c>
      <c r="L198" s="161">
        <f>IF(Macro!D10=TRUE,AB200,0)</f>
        <v>0</v>
      </c>
      <c r="M198" s="162" t="s">
        <v>288</v>
      </c>
      <c r="N198" s="492"/>
      <c r="O198" s="492"/>
      <c r="P198" s="163" t="s">
        <v>428</v>
      </c>
      <c r="Q198" s="191"/>
      <c r="S198" s="123"/>
      <c r="T198" s="123" t="s">
        <v>420</v>
      </c>
      <c r="U198" s="698" t="s">
        <v>593</v>
      </c>
      <c r="V198" s="123" t="s">
        <v>422</v>
      </c>
      <c r="W198" s="698" t="s">
        <v>661</v>
      </c>
      <c r="X198" s="123" t="s">
        <v>422</v>
      </c>
      <c r="Y198" s="123" t="s">
        <v>593</v>
      </c>
      <c r="Z198" s="123" t="s">
        <v>662</v>
      </c>
      <c r="AA198" s="123" t="s">
        <v>420</v>
      </c>
      <c r="AB198" s="123" t="s">
        <v>593</v>
      </c>
    </row>
    <row r="199" spans="1:28" x14ac:dyDescent="0.3">
      <c r="A199" s="132"/>
      <c r="B199" s="162"/>
      <c r="C199" s="162"/>
      <c r="D199" s="162"/>
      <c r="E199" s="162"/>
      <c r="F199" s="162"/>
      <c r="G199" s="162"/>
      <c r="H199" s="162"/>
      <c r="I199" s="162"/>
      <c r="J199" s="162"/>
      <c r="K199" s="108"/>
      <c r="L199" s="161"/>
      <c r="M199" s="162"/>
      <c r="N199" s="492"/>
      <c r="O199" s="492"/>
      <c r="P199" s="163"/>
      <c r="Q199" s="191"/>
      <c r="S199" s="123" t="s">
        <v>424</v>
      </c>
      <c r="T199" s="522">
        <f>T116</f>
        <v>306.98634007373676</v>
      </c>
      <c r="U199" s="496">
        <v>6.94</v>
      </c>
      <c r="V199" s="522">
        <f>T199*1000000/U199</f>
        <v>44234342.950106151</v>
      </c>
      <c r="W199" s="700">
        <v>0.5</v>
      </c>
      <c r="X199" s="394">
        <f>V199*W199</f>
        <v>22117171.475053076</v>
      </c>
      <c r="Y199" s="699">
        <v>60.01</v>
      </c>
      <c r="Z199" s="394">
        <f>X199*Y199/1000000</f>
        <v>1327.2514602179351</v>
      </c>
      <c r="AA199" s="135">
        <f>Z199+T199</f>
        <v>1634.2378002916719</v>
      </c>
      <c r="AB199" s="123">
        <v>73.89</v>
      </c>
    </row>
    <row r="200" spans="1:28" ht="15.45" customHeight="1" x14ac:dyDescent="0.3">
      <c r="A200" s="132"/>
      <c r="B200" s="162"/>
      <c r="C200" s="162"/>
      <c r="D200" s="162"/>
      <c r="E200" s="162"/>
      <c r="F200" s="162"/>
      <c r="G200" s="162"/>
      <c r="H200" s="162"/>
      <c r="I200" s="162"/>
      <c r="J200" s="162"/>
      <c r="K200" s="162" t="s">
        <v>22</v>
      </c>
      <c r="L200" s="161">
        <f>C196-L198</f>
        <v>0</v>
      </c>
      <c r="M200" s="162" t="s">
        <v>288</v>
      </c>
      <c r="N200" s="492"/>
      <c r="O200" s="492"/>
      <c r="P200" s="163"/>
      <c r="Q200" s="191"/>
      <c r="AA200" s="1142" t="s">
        <v>663</v>
      </c>
      <c r="AB200" s="844">
        <f>AA199*Efficiencies!E116</f>
        <v>1015.4336572112303</v>
      </c>
    </row>
    <row r="201" spans="1:28" x14ac:dyDescent="0.3">
      <c r="A201" s="323"/>
      <c r="B201" s="332"/>
      <c r="C201" s="332"/>
      <c r="D201" s="332"/>
      <c r="E201" s="332"/>
      <c r="F201" s="332"/>
      <c r="G201" s="332"/>
      <c r="H201" s="332"/>
      <c r="I201" s="332"/>
      <c r="J201" s="332"/>
      <c r="K201" s="332"/>
      <c r="L201" s="332"/>
      <c r="M201" s="332"/>
      <c r="N201" s="513"/>
      <c r="O201" s="513"/>
      <c r="P201" s="333"/>
      <c r="Q201" s="194"/>
      <c r="T201" s="1135" t="s">
        <v>95</v>
      </c>
      <c r="U201" s="1135"/>
      <c r="V201" s="1135"/>
      <c r="W201" s="1132" t="s">
        <v>65</v>
      </c>
      <c r="X201" s="1134"/>
      <c r="AA201" s="1142"/>
    </row>
    <row r="202" spans="1:28" x14ac:dyDescent="0.3">
      <c r="A202" s="158" t="s">
        <v>429</v>
      </c>
      <c r="B202" s="173"/>
      <c r="C202" s="173"/>
      <c r="D202" s="173"/>
      <c r="E202" s="173"/>
      <c r="F202" s="173"/>
      <c r="G202" s="173"/>
      <c r="H202" s="173"/>
      <c r="I202" s="173"/>
      <c r="J202" s="173"/>
      <c r="K202" s="173"/>
      <c r="L202" s="173"/>
      <c r="M202" s="173"/>
      <c r="N202" s="514"/>
      <c r="O202" s="514"/>
      <c r="P202" s="321"/>
      <c r="Q202" s="397"/>
      <c r="S202" s="123"/>
      <c r="T202" s="123" t="s">
        <v>420</v>
      </c>
      <c r="U202" s="123" t="s">
        <v>593</v>
      </c>
      <c r="V202" s="123" t="s">
        <v>422</v>
      </c>
      <c r="W202" s="123" t="s">
        <v>593</v>
      </c>
      <c r="X202" s="123" t="s">
        <v>662</v>
      </c>
    </row>
    <row r="203" spans="1:28" x14ac:dyDescent="0.3">
      <c r="A203" s="132" t="s">
        <v>406</v>
      </c>
      <c r="B203" s="162" t="s">
        <v>22</v>
      </c>
      <c r="C203" s="161">
        <f>IF(Macro!D22=TRUE,L200,0)</f>
        <v>0</v>
      </c>
      <c r="D203" s="162" t="s">
        <v>288</v>
      </c>
      <c r="E203" s="162"/>
      <c r="F203" s="162"/>
      <c r="G203" s="162"/>
      <c r="H203" s="162"/>
      <c r="I203" s="162"/>
      <c r="J203" s="162"/>
      <c r="K203" s="162"/>
      <c r="L203" s="162"/>
      <c r="M203" s="162"/>
      <c r="N203" s="492"/>
      <c r="O203" s="492"/>
      <c r="P203" s="163"/>
      <c r="Q203" s="191"/>
      <c r="S203" s="123" t="s">
        <v>424</v>
      </c>
      <c r="T203" s="522">
        <f>T116</f>
        <v>306.98634007373676</v>
      </c>
      <c r="U203" s="496">
        <v>6.94</v>
      </c>
      <c r="V203" s="522">
        <f>T203*1000000/U203</f>
        <v>44234342.950106151</v>
      </c>
      <c r="W203" s="699">
        <v>105.99</v>
      </c>
      <c r="X203" s="394">
        <f>AA199/AB199*W203</f>
        <v>2344.1990046408755</v>
      </c>
    </row>
    <row r="204" spans="1:28" x14ac:dyDescent="0.3">
      <c r="A204" s="132"/>
      <c r="B204" s="162" t="s">
        <v>22</v>
      </c>
      <c r="C204" s="209">
        <f>C203/N204</f>
        <v>0</v>
      </c>
      <c r="D204" s="162" t="s">
        <v>301</v>
      </c>
      <c r="E204" s="162"/>
      <c r="F204" s="162"/>
      <c r="G204" s="162"/>
      <c r="H204" s="162"/>
      <c r="I204" s="162"/>
      <c r="J204" s="162"/>
      <c r="K204" s="162"/>
      <c r="L204" s="162"/>
      <c r="M204" s="162"/>
      <c r="N204" s="511">
        <v>1</v>
      </c>
      <c r="O204" s="511"/>
      <c r="P204" s="204"/>
      <c r="Q204" s="191"/>
      <c r="T204" s="701"/>
      <c r="U204" s="356"/>
      <c r="V204" s="356"/>
      <c r="W204" s="356"/>
    </row>
    <row r="205" spans="1:28" x14ac:dyDescent="0.3">
      <c r="A205" s="132"/>
      <c r="B205" s="162"/>
      <c r="C205" s="197">
        <f>C204/Macro!$D$16/Q205</f>
        <v>0</v>
      </c>
      <c r="D205" s="162" t="s">
        <v>430</v>
      </c>
      <c r="E205" s="162"/>
      <c r="F205" s="162"/>
      <c r="G205" s="162"/>
      <c r="H205" s="162"/>
      <c r="I205" s="162"/>
      <c r="J205" s="162"/>
      <c r="K205" s="162"/>
      <c r="L205" s="162"/>
      <c r="M205" s="162"/>
      <c r="N205" s="492"/>
      <c r="O205" s="492"/>
      <c r="P205" s="110" t="s">
        <v>431</v>
      </c>
      <c r="Q205" s="811">
        <v>24</v>
      </c>
      <c r="T205" s="702"/>
      <c r="U205" s="356"/>
      <c r="V205" s="356"/>
      <c r="W205" s="356"/>
    </row>
    <row r="206" spans="1:28" x14ac:dyDescent="0.3">
      <c r="A206" s="132"/>
      <c r="B206" s="162"/>
      <c r="C206" s="161">
        <f>C205*1000/60</f>
        <v>0</v>
      </c>
      <c r="D206" s="162" t="s">
        <v>432</v>
      </c>
      <c r="E206" s="162"/>
      <c r="F206" s="162"/>
      <c r="G206" s="162"/>
      <c r="H206" s="162"/>
      <c r="I206" s="162"/>
      <c r="J206" s="162"/>
      <c r="K206" s="162"/>
      <c r="L206" s="162"/>
      <c r="M206" s="162"/>
      <c r="N206" s="492"/>
      <c r="O206" s="492"/>
      <c r="P206" s="110"/>
      <c r="Q206" s="191"/>
      <c r="T206" s="701"/>
      <c r="U206" s="356"/>
      <c r="V206" s="356"/>
      <c r="W206" s="356"/>
    </row>
    <row r="207" spans="1:28" x14ac:dyDescent="0.3">
      <c r="A207" s="132"/>
      <c r="B207" s="162"/>
      <c r="C207" s="162"/>
      <c r="D207" s="162"/>
      <c r="E207" s="162"/>
      <c r="F207" s="162"/>
      <c r="G207" s="162"/>
      <c r="H207" s="162" t="s">
        <v>48</v>
      </c>
      <c r="I207" s="161">
        <f>Energy!P125</f>
        <v>0</v>
      </c>
      <c r="J207" s="162" t="s">
        <v>221</v>
      </c>
      <c r="K207" s="162"/>
      <c r="L207" s="162"/>
      <c r="M207" s="162"/>
      <c r="N207" s="492"/>
      <c r="O207" s="492"/>
      <c r="P207" s="163" t="s">
        <v>373</v>
      </c>
      <c r="Q207" s="191"/>
    </row>
    <row r="208" spans="1:28" x14ac:dyDescent="0.3">
      <c r="A208" s="132"/>
      <c r="B208" s="162"/>
      <c r="C208" s="162"/>
      <c r="D208" s="162"/>
      <c r="E208" s="162"/>
      <c r="F208" s="162"/>
      <c r="G208" s="162"/>
      <c r="H208" s="162"/>
      <c r="I208" s="162"/>
      <c r="J208" s="162"/>
      <c r="K208" s="162" t="s">
        <v>214</v>
      </c>
      <c r="L208" s="161">
        <f>C203-L209</f>
        <v>0</v>
      </c>
      <c r="M208" s="162" t="s">
        <v>288</v>
      </c>
      <c r="N208" s="492"/>
      <c r="O208" s="492"/>
      <c r="P208" s="162" t="s">
        <v>433</v>
      </c>
      <c r="Q208" s="191"/>
      <c r="R208" s="297"/>
    </row>
    <row r="209" spans="1:20" ht="28.8" x14ac:dyDescent="0.3">
      <c r="A209" s="132"/>
      <c r="B209" s="162"/>
      <c r="C209" s="162"/>
      <c r="D209" s="162"/>
      <c r="E209" s="162"/>
      <c r="F209" s="162"/>
      <c r="G209" s="162"/>
      <c r="H209" s="162"/>
      <c r="I209" s="162"/>
      <c r="J209" s="162"/>
      <c r="K209" s="162" t="s">
        <v>60</v>
      </c>
      <c r="L209" s="161">
        <f>C203/Q209</f>
        <v>0</v>
      </c>
      <c r="M209" s="161" t="s">
        <v>288</v>
      </c>
      <c r="N209" s="515"/>
      <c r="O209" s="515"/>
      <c r="P209" s="163" t="s">
        <v>434</v>
      </c>
      <c r="Q209" s="811">
        <v>10</v>
      </c>
    </row>
    <row r="210" spans="1:20" x14ac:dyDescent="0.3">
      <c r="A210" s="169"/>
      <c r="B210" s="145"/>
      <c r="C210" s="145"/>
      <c r="D210" s="145"/>
      <c r="E210" s="145"/>
      <c r="F210" s="145"/>
      <c r="G210" s="145"/>
      <c r="H210" s="145"/>
      <c r="I210" s="145"/>
      <c r="J210" s="145"/>
      <c r="K210" s="145"/>
      <c r="L210" s="145"/>
      <c r="M210" s="398"/>
      <c r="N210" s="516"/>
      <c r="O210" s="516"/>
      <c r="P210" s="145"/>
      <c r="Q210" s="194"/>
      <c r="T210" s="167"/>
    </row>
    <row r="211" spans="1:20" x14ac:dyDescent="0.3">
      <c r="P211"/>
    </row>
    <row r="213" spans="1:20" x14ac:dyDescent="0.3">
      <c r="T213" s="167"/>
    </row>
  </sheetData>
  <mergeCells count="6">
    <mergeCell ref="T197:W197"/>
    <mergeCell ref="X197:Z197"/>
    <mergeCell ref="AA197:AB197"/>
    <mergeCell ref="T201:V201"/>
    <mergeCell ref="W201:X201"/>
    <mergeCell ref="AA200:AA201"/>
  </mergeCells>
  <pageMargins left="0.7" right="0.7" top="0.78740157499999996" bottom="0.78740157499999996"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5">
    <tabColor theme="0" tint="-0.499984740745262"/>
  </sheetPr>
  <dimension ref="A1:T64"/>
  <sheetViews>
    <sheetView zoomScale="85" zoomScaleNormal="85" workbookViewId="0">
      <selection activeCell="G7" sqref="G7"/>
    </sheetView>
  </sheetViews>
  <sheetFormatPr baseColWidth="10" defaultColWidth="11.44140625" defaultRowHeight="14.4" x14ac:dyDescent="0.3"/>
  <cols>
    <col min="1" max="1" width="14.109375" customWidth="1"/>
    <col min="2" max="2" width="28.77734375" bestFit="1" customWidth="1"/>
    <col min="3" max="3" width="51.33203125" bestFit="1" customWidth="1"/>
    <col min="4" max="4" width="15.44140625" bestFit="1" customWidth="1"/>
    <col min="5" max="5" width="9.109375" bestFit="1" customWidth="1"/>
    <col min="6" max="6" width="14" customWidth="1"/>
    <col min="7" max="7" width="14.6640625" customWidth="1"/>
    <col min="8" max="8" width="14.44140625" customWidth="1"/>
    <col min="9" max="9" width="22.44140625" bestFit="1" customWidth="1"/>
    <col min="10" max="10" width="17.44140625" customWidth="1"/>
    <col min="11" max="11" width="13.77734375" bestFit="1" customWidth="1"/>
    <col min="12" max="12" width="13.44140625" bestFit="1" customWidth="1"/>
    <col min="13" max="14" width="13.44140625" customWidth="1"/>
    <col min="15" max="15" width="17.33203125" customWidth="1"/>
    <col min="16" max="16" width="20.5546875" customWidth="1"/>
    <col min="17" max="17" width="14.44140625" customWidth="1"/>
    <col min="18" max="25" width="20.6640625" customWidth="1"/>
  </cols>
  <sheetData>
    <row r="1" spans="1:20" ht="21.6" thickBot="1" x14ac:dyDescent="0.35">
      <c r="A1" s="63" t="s">
        <v>664</v>
      </c>
    </row>
    <row r="2" spans="1:20" ht="15" customHeight="1" x14ac:dyDescent="0.3">
      <c r="A2" s="63"/>
      <c r="C2" s="841" t="s">
        <v>247</v>
      </c>
      <c r="D2" s="67" t="s">
        <v>248</v>
      </c>
      <c r="E2" s="68"/>
      <c r="F2" s="69"/>
    </row>
    <row r="3" spans="1:20" ht="15" customHeight="1" x14ac:dyDescent="0.3">
      <c r="A3" s="63"/>
      <c r="C3" s="70"/>
      <c r="D3" s="72" t="s">
        <v>250</v>
      </c>
      <c r="E3" s="73" t="s">
        <v>251</v>
      </c>
      <c r="F3" s="74" t="s">
        <v>252</v>
      </c>
    </row>
    <row r="4" spans="1:20" ht="15" customHeight="1" x14ac:dyDescent="0.3">
      <c r="A4" s="63"/>
      <c r="C4" s="70"/>
      <c r="D4" s="85"/>
      <c r="E4" s="86"/>
      <c r="F4" s="87"/>
    </row>
    <row r="5" spans="1:20" ht="15" customHeight="1" x14ac:dyDescent="0.3">
      <c r="A5" s="63"/>
      <c r="C5" s="70"/>
      <c r="D5" s="85" t="s">
        <v>436</v>
      </c>
      <c r="E5" s="475">
        <f>IF(Macro!$D$8=1,2500,IF(Macro!$D$8=2,25000,75000))</f>
        <v>25000</v>
      </c>
      <c r="F5" s="87" t="s">
        <v>263</v>
      </c>
    </row>
    <row r="6" spans="1:20" ht="15" customHeight="1" x14ac:dyDescent="0.3">
      <c r="A6" s="63"/>
      <c r="C6" s="70"/>
      <c r="D6" s="85" t="s">
        <v>257</v>
      </c>
      <c r="E6" s="475">
        <f>E5/Battery!C3*1000</f>
        <v>43374.539145521579</v>
      </c>
      <c r="F6" s="87" t="s">
        <v>600</v>
      </c>
    </row>
    <row r="7" spans="1:20" ht="15" customHeight="1" x14ac:dyDescent="0.3">
      <c r="A7" s="63"/>
      <c r="C7" s="70"/>
      <c r="D7" s="85" t="s">
        <v>248</v>
      </c>
      <c r="E7" s="817">
        <f>E6/Macro!D16/Macro!D18/8</f>
        <v>8.2148748381669652</v>
      </c>
      <c r="F7" s="87" t="s">
        <v>438</v>
      </c>
    </row>
    <row r="8" spans="1:20" ht="15" customHeight="1" x14ac:dyDescent="0.3">
      <c r="A8" s="63"/>
      <c r="C8" s="70"/>
      <c r="D8" s="85" t="s">
        <v>439</v>
      </c>
      <c r="E8" s="817">
        <f>E6/Macro!D16/Macro!D20/8</f>
        <v>5.4765832254446432</v>
      </c>
      <c r="F8" s="87" t="s">
        <v>438</v>
      </c>
    </row>
    <row r="9" spans="1:20" ht="15" customHeight="1" thickBot="1" x14ac:dyDescent="0.35">
      <c r="A9" s="63"/>
      <c r="C9" s="70"/>
      <c r="D9" s="78" t="s">
        <v>504</v>
      </c>
      <c r="E9" s="840">
        <f>Macro!D16-1+1</f>
        <v>330</v>
      </c>
      <c r="F9" s="79" t="s">
        <v>601</v>
      </c>
    </row>
    <row r="10" spans="1:20" ht="15" customHeight="1" thickBot="1" x14ac:dyDescent="0.35"/>
    <row r="11" spans="1:20" ht="87" thickBot="1" x14ac:dyDescent="0.35">
      <c r="A11" s="773" t="s">
        <v>80</v>
      </c>
      <c r="B11" s="379" t="s">
        <v>281</v>
      </c>
      <c r="C11" s="285" t="s">
        <v>442</v>
      </c>
      <c r="D11" s="379" t="s">
        <v>602</v>
      </c>
      <c r="E11" s="285" t="s">
        <v>436</v>
      </c>
      <c r="F11" s="285" t="s">
        <v>603</v>
      </c>
      <c r="G11" s="379" t="s">
        <v>445</v>
      </c>
      <c r="H11" s="379" t="s">
        <v>1142</v>
      </c>
      <c r="I11" s="285" t="s">
        <v>1140</v>
      </c>
      <c r="J11" s="379" t="s">
        <v>1141</v>
      </c>
      <c r="K11" s="379" t="s">
        <v>446</v>
      </c>
      <c r="L11" s="379" t="s">
        <v>1143</v>
      </c>
      <c r="M11" s="379" t="s">
        <v>1141</v>
      </c>
      <c r="N11" s="379" t="s">
        <v>604</v>
      </c>
      <c r="O11" s="379" t="s">
        <v>447</v>
      </c>
      <c r="P11" s="285" t="s">
        <v>605</v>
      </c>
      <c r="Q11" s="379" t="s">
        <v>448</v>
      </c>
      <c r="R11" s="379" t="s">
        <v>665</v>
      </c>
      <c r="S11" s="285" t="s">
        <v>606</v>
      </c>
      <c r="T11" s="288" t="s">
        <v>666</v>
      </c>
    </row>
    <row r="12" spans="1:20" x14ac:dyDescent="0.3">
      <c r="A12" s="1136" t="s">
        <v>248</v>
      </c>
      <c r="B12" s="286" t="s">
        <v>164</v>
      </c>
      <c r="C12" s="286" t="s">
        <v>451</v>
      </c>
      <c r="D12" s="286" t="s">
        <v>1040</v>
      </c>
      <c r="E12" s="825">
        <v>0.33333333333333331</v>
      </c>
      <c r="F12" s="819">
        <f>(107.7/100.6)*14500</f>
        <v>15523.359840954276</v>
      </c>
      <c r="G12" s="822">
        <v>0</v>
      </c>
      <c r="H12" s="282">
        <f t="shared" ref="H12:H15" si="0">(1+G12)*F12</f>
        <v>15523.359840954276</v>
      </c>
      <c r="I12" s="1050">
        <v>42370</v>
      </c>
      <c r="J12" s="1056">
        <v>86.1</v>
      </c>
      <c r="K12" s="809">
        <v>1</v>
      </c>
      <c r="L12" s="1050">
        <v>45261</v>
      </c>
      <c r="M12" s="1056">
        <v>127.3</v>
      </c>
      <c r="N12" s="282">
        <f>(M12/J12)*H12*(E7/E12)^K12</f>
        <v>565630.97295920795</v>
      </c>
      <c r="O12" s="822">
        <v>0</v>
      </c>
      <c r="P12" s="272">
        <f t="shared" ref="P12:P15" si="1">O12*N12</f>
        <v>0</v>
      </c>
      <c r="Q12" s="654">
        <f>IF(IF(Macro!$H$14=1,5,Macro!T42)=0,5,IF(Macro!$H$14=1,5,Macro!T81))</f>
        <v>5</v>
      </c>
      <c r="R12" s="272">
        <f>N12/Q12</f>
        <v>113126.19459184159</v>
      </c>
      <c r="S12" t="s">
        <v>452</v>
      </c>
      <c r="T12" s="262" t="s">
        <v>1043</v>
      </c>
    </row>
    <row r="13" spans="1:20" x14ac:dyDescent="0.3">
      <c r="A13" s="1137"/>
      <c r="B13" s="286" t="s">
        <v>667</v>
      </c>
      <c r="C13" s="286" t="s">
        <v>453</v>
      </c>
      <c r="D13" s="286" t="s">
        <v>1041</v>
      </c>
      <c r="E13" s="825">
        <v>6</v>
      </c>
      <c r="F13" s="819">
        <f>(107.7/100.6)*29000</f>
        <v>31046.719681908551</v>
      </c>
      <c r="G13" s="822">
        <v>0</v>
      </c>
      <c r="H13" s="282">
        <f t="shared" si="0"/>
        <v>31046.719681908551</v>
      </c>
      <c r="I13" s="1050">
        <v>42370</v>
      </c>
      <c r="J13" s="1056">
        <v>86.1</v>
      </c>
      <c r="K13" s="809">
        <v>1</v>
      </c>
      <c r="L13" s="1050">
        <v>45261</v>
      </c>
      <c r="M13" s="1056">
        <v>127.3</v>
      </c>
      <c r="N13" s="282">
        <f>(M13/J13)*H13</f>
        <v>45902.989727142376</v>
      </c>
      <c r="O13" s="822">
        <v>0</v>
      </c>
      <c r="P13" s="272">
        <f t="shared" si="1"/>
        <v>0</v>
      </c>
      <c r="Q13" s="654">
        <f>IF(IF(Macro!$H$14=1,5,Macro!T43)=0,5,IF(Macro!$H$14=1,5,Macro!T82))</f>
        <v>5</v>
      </c>
      <c r="R13" s="272">
        <f t="shared" ref="R13:R15" si="2">N13/Q13</f>
        <v>9180.5979454284752</v>
      </c>
      <c r="S13" t="s">
        <v>454</v>
      </c>
      <c r="T13" s="262" t="s">
        <v>455</v>
      </c>
    </row>
    <row r="14" spans="1:20" x14ac:dyDescent="0.3">
      <c r="A14" s="1137"/>
      <c r="B14" s="286" t="s">
        <v>286</v>
      </c>
      <c r="C14" s="286" t="s">
        <v>456</v>
      </c>
      <c r="D14" s="286" t="s">
        <v>1040</v>
      </c>
      <c r="E14" s="825">
        <f>8/'R3_MEFA'!C7</f>
        <v>1.6</v>
      </c>
      <c r="F14" s="819">
        <f>(107.7/100.6)*12000</f>
        <v>12846.918489065607</v>
      </c>
      <c r="G14" s="822">
        <v>0</v>
      </c>
      <c r="H14" s="282">
        <f t="shared" si="0"/>
        <v>12846.918489065607</v>
      </c>
      <c r="I14" s="1050">
        <v>42370</v>
      </c>
      <c r="J14" s="1056">
        <v>86.1</v>
      </c>
      <c r="K14" s="809">
        <v>1</v>
      </c>
      <c r="L14" s="1050">
        <v>45261</v>
      </c>
      <c r="M14" s="1056">
        <v>127.3</v>
      </c>
      <c r="N14" s="282">
        <f>(M14/J14)*H14*(E7/E14)^K14</f>
        <v>97522.581544691013</v>
      </c>
      <c r="O14" s="822">
        <v>0.02</v>
      </c>
      <c r="P14" s="272">
        <f t="shared" si="1"/>
        <v>1950.4516308938203</v>
      </c>
      <c r="Q14" s="654">
        <f>IF(IF(Macro!$H$14=1,5,Macro!T44)=0,5,IF(Macro!$H$14=1,5,Macro!T83))</f>
        <v>5</v>
      </c>
      <c r="R14" s="272">
        <f>N14/Q14</f>
        <v>19504.516308938204</v>
      </c>
      <c r="S14" t="s">
        <v>454</v>
      </c>
      <c r="T14" s="262" t="s">
        <v>457</v>
      </c>
    </row>
    <row r="15" spans="1:20" ht="15" thickBot="1" x14ac:dyDescent="0.35">
      <c r="A15" s="1138"/>
      <c r="B15" s="286" t="s">
        <v>248</v>
      </c>
      <c r="C15" s="286" t="s">
        <v>458</v>
      </c>
      <c r="D15" s="286" t="s">
        <v>1040</v>
      </c>
      <c r="E15" s="825">
        <f>1/'R3_MEFA'!C8</f>
        <v>0.33333333333333331</v>
      </c>
      <c r="F15" s="819">
        <f>(107.7/100.6)*3000</f>
        <v>3211.7296222664017</v>
      </c>
      <c r="G15" s="822">
        <v>0</v>
      </c>
      <c r="H15" s="282">
        <f t="shared" si="0"/>
        <v>3211.7296222664017</v>
      </c>
      <c r="I15" s="1053">
        <v>42370</v>
      </c>
      <c r="J15" s="1057">
        <v>86.1</v>
      </c>
      <c r="K15" s="809">
        <v>1</v>
      </c>
      <c r="L15" s="1053">
        <v>45261</v>
      </c>
      <c r="M15" s="1056">
        <v>127.3</v>
      </c>
      <c r="N15" s="282">
        <f>(M15/J15)*H15*(E7/E15)^K15</f>
        <v>117027.09785362924</v>
      </c>
      <c r="O15" s="822">
        <v>0.02</v>
      </c>
      <c r="P15" s="272">
        <f t="shared" si="1"/>
        <v>2340.5419570725849</v>
      </c>
      <c r="Q15" s="655">
        <f>IF(IF(Macro!$H$14=1,5,Macro!T45)=0,5,IF(Macro!$H$14=1,5,Macro!T84))</f>
        <v>5</v>
      </c>
      <c r="R15" s="274">
        <f t="shared" si="2"/>
        <v>23405.419570725848</v>
      </c>
      <c r="S15" t="s">
        <v>454</v>
      </c>
      <c r="T15" s="262"/>
    </row>
    <row r="16" spans="1:20" ht="16.2" x14ac:dyDescent="0.3">
      <c r="A16" s="1139" t="s">
        <v>1051</v>
      </c>
      <c r="B16" s="268" t="s">
        <v>183</v>
      </c>
      <c r="C16" s="777" t="s">
        <v>333</v>
      </c>
      <c r="D16" s="267" t="s">
        <v>465</v>
      </c>
      <c r="E16" s="827">
        <v>2</v>
      </c>
      <c r="F16" s="821">
        <v>420000</v>
      </c>
      <c r="G16" s="824">
        <v>1</v>
      </c>
      <c r="H16" s="585">
        <f t="shared" ref="H16:H29" si="3">(1+G16)*F16</f>
        <v>840000</v>
      </c>
      <c r="I16" s="1050">
        <v>43678</v>
      </c>
      <c r="J16" s="1056">
        <v>97.3</v>
      </c>
      <c r="K16" s="827">
        <v>0.6</v>
      </c>
      <c r="L16" s="1050">
        <v>45261</v>
      </c>
      <c r="M16" s="827">
        <v>127.3</v>
      </c>
      <c r="N16" s="585">
        <f>H16*(('R3_Hydro_MEFA'!L19/Macro!$D$16/Macro!$D$20/8/E16)^K16)</f>
        <v>241107.94654274845</v>
      </c>
      <c r="O16" s="824">
        <v>0.05</v>
      </c>
      <c r="P16" s="585">
        <f t="shared" ref="P16:P17" si="4">O16*N16</f>
        <v>12055.397327137423</v>
      </c>
      <c r="Q16" s="656">
        <f>IF(IF(Macro!$H$14=1,5,Macro!T46)=0,5,IF(Macro!$H$14=1,5,Macro!T85))</f>
        <v>5</v>
      </c>
      <c r="R16" s="269">
        <f t="shared" ref="R16:R17" si="5">N16/Q16</f>
        <v>48221.589308549694</v>
      </c>
      <c r="S16" s="268" t="s">
        <v>140</v>
      </c>
      <c r="T16" s="271"/>
    </row>
    <row r="17" spans="1:20" ht="15" thickBot="1" x14ac:dyDescent="0.35">
      <c r="A17" s="1138"/>
      <c r="B17" s="741" t="s">
        <v>185</v>
      </c>
      <c r="C17" s="741" t="s">
        <v>460</v>
      </c>
      <c r="D17" s="287" t="s">
        <v>1042</v>
      </c>
      <c r="E17" s="828">
        <v>1.5</v>
      </c>
      <c r="F17" s="820">
        <v>420000</v>
      </c>
      <c r="G17" s="823">
        <v>0.6</v>
      </c>
      <c r="H17" s="584">
        <f t="shared" si="3"/>
        <v>672000</v>
      </c>
      <c r="I17" s="1053">
        <v>42370</v>
      </c>
      <c r="J17" s="828">
        <v>86.1</v>
      </c>
      <c r="K17" s="828">
        <v>0.8</v>
      </c>
      <c r="L17" s="1053">
        <v>45261</v>
      </c>
      <c r="M17" s="828">
        <v>127.3</v>
      </c>
      <c r="N17" s="584">
        <f>(M17/J17)*H17*($E$5/(Macro!$D$16*Macro!$D$20*8)/(E17))^K17</f>
        <v>1801745.2246395454</v>
      </c>
      <c r="O17" s="823">
        <v>0.05</v>
      </c>
      <c r="P17" s="274">
        <f t="shared" si="4"/>
        <v>90087.261231977274</v>
      </c>
      <c r="Q17" s="655">
        <f>IF(IF(Macro!$H$14=1,5,Macro!T47)=0,5,IF(Macro!$H$14=1,5,Macro!T86))</f>
        <v>5</v>
      </c>
      <c r="R17" s="274">
        <f t="shared" si="5"/>
        <v>360349.0449279091</v>
      </c>
      <c r="S17" s="273" t="s">
        <v>454</v>
      </c>
      <c r="T17" s="276"/>
    </row>
    <row r="18" spans="1:20" x14ac:dyDescent="0.3">
      <c r="A18" s="1140" t="s">
        <v>625</v>
      </c>
      <c r="B18" t="s">
        <v>187</v>
      </c>
      <c r="C18" s="121" t="s">
        <v>611</v>
      </c>
      <c r="D18" s="286" t="s">
        <v>1042</v>
      </c>
      <c r="E18" s="827">
        <v>1.5</v>
      </c>
      <c r="F18" s="821">
        <v>420000</v>
      </c>
      <c r="G18" s="824">
        <v>0.6</v>
      </c>
      <c r="H18" s="585">
        <f t="shared" si="3"/>
        <v>672000</v>
      </c>
      <c r="I18" s="1058">
        <v>42370</v>
      </c>
      <c r="J18" s="1059">
        <v>86.1</v>
      </c>
      <c r="K18" s="809">
        <v>0.8</v>
      </c>
      <c r="L18" s="1050">
        <v>45261</v>
      </c>
      <c r="M18" s="809">
        <v>127.3</v>
      </c>
      <c r="N18" s="282">
        <f>(M18/J18)*H18*($E$5/(Macro!$D$16*Macro!$D$20*8)/(E18))^K18</f>
        <v>1801745.2246395454</v>
      </c>
      <c r="O18" s="822">
        <v>0.05</v>
      </c>
      <c r="P18" s="272">
        <f t="shared" ref="P18:P21" si="6">O18*N18</f>
        <v>90087.261231977274</v>
      </c>
      <c r="Q18" s="654">
        <f>IF(IF(Macro!$H$14=1,5,Macro!T48)=0,5,IF(Macro!$H$14=1,5,Macro!T87))</f>
        <v>5</v>
      </c>
      <c r="R18" s="272">
        <f t="shared" ref="R18:R21" si="7">N18/Q18</f>
        <v>360349.0449279091</v>
      </c>
      <c r="S18" t="s">
        <v>454</v>
      </c>
      <c r="T18" s="262"/>
    </row>
    <row r="19" spans="1:20" x14ac:dyDescent="0.3">
      <c r="A19" s="1140"/>
      <c r="B19" t="s">
        <v>669</v>
      </c>
      <c r="C19" s="744" t="s">
        <v>609</v>
      </c>
      <c r="D19" s="286" t="s">
        <v>1042</v>
      </c>
      <c r="E19" s="839">
        <v>1.5</v>
      </c>
      <c r="F19" s="819">
        <v>50000</v>
      </c>
      <c r="G19" s="822">
        <v>0.6</v>
      </c>
      <c r="H19" s="282">
        <f t="shared" si="3"/>
        <v>80000</v>
      </c>
      <c r="I19" s="1050">
        <v>42370</v>
      </c>
      <c r="J19" s="1056">
        <v>86.1</v>
      </c>
      <c r="K19" s="809">
        <v>0.6</v>
      </c>
      <c r="L19" s="1050">
        <v>45261</v>
      </c>
      <c r="M19" s="809">
        <v>127.3</v>
      </c>
      <c r="N19" s="282">
        <f>(M19/J19)*H19*($E$5/(Macro!$D$16*Macro!$D$20*8)/(E19))^K19</f>
        <v>184837.19957723311</v>
      </c>
      <c r="O19" s="822">
        <v>0.05</v>
      </c>
      <c r="P19" s="272">
        <f t="shared" si="6"/>
        <v>9241.8599788616557</v>
      </c>
      <c r="Q19" s="654">
        <f>IF(IF(Macro!$H$14=1,5,Macro!T49)=0,5,IF(Macro!$H$14=1,5,Macro!T88))</f>
        <v>5</v>
      </c>
      <c r="R19" s="272">
        <f t="shared" si="7"/>
        <v>36967.439915446623</v>
      </c>
      <c r="S19" t="s">
        <v>454</v>
      </c>
      <c r="T19" s="262"/>
    </row>
    <row r="20" spans="1:20" x14ac:dyDescent="0.3">
      <c r="A20" s="1140"/>
      <c r="B20" t="s">
        <v>1015</v>
      </c>
      <c r="C20" s="286" t="s">
        <v>1035</v>
      </c>
      <c r="D20" s="286" t="s">
        <v>1042</v>
      </c>
      <c r="E20" s="839">
        <v>1.5</v>
      </c>
      <c r="F20" s="819">
        <v>40000</v>
      </c>
      <c r="G20" s="822">
        <v>0.6</v>
      </c>
      <c r="H20" s="282">
        <f t="shared" si="3"/>
        <v>64000</v>
      </c>
      <c r="I20" s="1050">
        <v>42370</v>
      </c>
      <c r="J20" s="1056">
        <v>86.1</v>
      </c>
      <c r="K20" s="809">
        <v>0.6</v>
      </c>
      <c r="L20" s="1050">
        <v>45261</v>
      </c>
      <c r="M20" s="809">
        <v>127.3</v>
      </c>
      <c r="N20" s="282">
        <f>(M20/J20)*H20*($E$5/(Macro!$D$16*Macro!$D$20*8)/(E20))^K20</f>
        <v>147869.75966178649</v>
      </c>
      <c r="O20" s="822">
        <v>0.05</v>
      </c>
      <c r="P20" s="272">
        <f t="shared" si="6"/>
        <v>7393.4879830893251</v>
      </c>
      <c r="Q20" s="654">
        <f>IF(IF(Macro!$H$14=1,5,Macro!T50)=0,5,IF(Macro!$H$14=1,5,Macro!T89))</f>
        <v>5</v>
      </c>
      <c r="R20" s="272">
        <f t="shared" si="7"/>
        <v>29573.951932357297</v>
      </c>
      <c r="S20" t="s">
        <v>454</v>
      </c>
      <c r="T20" s="262"/>
    </row>
    <row r="21" spans="1:20" ht="15" thickBot="1" x14ac:dyDescent="0.35">
      <c r="A21" s="1141"/>
      <c r="B21" s="273" t="s">
        <v>188</v>
      </c>
      <c r="C21" s="741" t="s">
        <v>610</v>
      </c>
      <c r="D21" s="286" t="s">
        <v>1042</v>
      </c>
      <c r="E21" s="839">
        <v>1.5</v>
      </c>
      <c r="F21" s="819">
        <v>40000</v>
      </c>
      <c r="G21" s="822">
        <v>0.6</v>
      </c>
      <c r="H21" s="282">
        <f t="shared" si="3"/>
        <v>64000</v>
      </c>
      <c r="I21" s="1053">
        <v>42370</v>
      </c>
      <c r="J21" s="809">
        <v>86.1</v>
      </c>
      <c r="K21" s="809">
        <v>0.6</v>
      </c>
      <c r="L21" s="1053">
        <v>45261</v>
      </c>
      <c r="M21" s="809">
        <v>127.3</v>
      </c>
      <c r="N21" s="282">
        <f>(M21/J21)*H21*($E$5/(Macro!$D$16*Macro!$D$20*8)/(E21))^K21</f>
        <v>147869.75966178649</v>
      </c>
      <c r="O21" s="822">
        <v>0.05</v>
      </c>
      <c r="P21" s="282">
        <f t="shared" si="6"/>
        <v>7393.4879830893251</v>
      </c>
      <c r="Q21" s="654">
        <f>IF(IF(Macro!$H$14=1,5,Macro!T51)=0,5,IF(Macro!$H$14=1,5,Macro!T90))</f>
        <v>5</v>
      </c>
      <c r="R21" s="272">
        <f t="shared" si="7"/>
        <v>29573.951932357297</v>
      </c>
      <c r="S21" t="s">
        <v>454</v>
      </c>
      <c r="T21" s="262"/>
    </row>
    <row r="22" spans="1:20" x14ac:dyDescent="0.3">
      <c r="A22" s="1139" t="s">
        <v>249</v>
      </c>
      <c r="B22" s="775" t="s">
        <v>170</v>
      </c>
      <c r="C22" s="775" t="s">
        <v>300</v>
      </c>
      <c r="D22" s="267" t="s">
        <v>1042</v>
      </c>
      <c r="E22" s="827">
        <v>1.5</v>
      </c>
      <c r="F22" s="821">
        <v>240000</v>
      </c>
      <c r="G22" s="824">
        <v>0.6</v>
      </c>
      <c r="H22" s="585">
        <f t="shared" si="3"/>
        <v>384000</v>
      </c>
      <c r="I22" s="1050">
        <v>43678</v>
      </c>
      <c r="J22" s="827">
        <v>97.3</v>
      </c>
      <c r="K22" s="827">
        <v>0.6</v>
      </c>
      <c r="L22" s="1050">
        <v>45261</v>
      </c>
      <c r="M22" s="827">
        <v>127.3</v>
      </c>
      <c r="N22" s="585">
        <f>(M22/J22)*H22*(('R3_MEFA'!C87+'R3_MEFA'!F88+'R3_MEFA'!F89)/(Macro!$D$16*Macro!$D$20*8)/(E22))^K22</f>
        <v>470470.95434772951</v>
      </c>
      <c r="O22" s="824">
        <v>0.05</v>
      </c>
      <c r="P22" s="269">
        <f t="shared" ref="P22:P48" si="8">O22*N22</f>
        <v>23523.547717386478</v>
      </c>
      <c r="Q22" s="656">
        <f>IF(IF(Macro!$H$14=1,5,Macro!T52)=0,5,IF(Macro!$H$14=1,5,Macro!T91))</f>
        <v>5</v>
      </c>
      <c r="R22" s="269">
        <f t="shared" ref="R22:R50" si="9">N22/Q22</f>
        <v>94094.190869545899</v>
      </c>
      <c r="S22" s="268" t="s">
        <v>140</v>
      </c>
      <c r="T22" s="271"/>
    </row>
    <row r="23" spans="1:20" x14ac:dyDescent="0.3">
      <c r="A23" s="1137"/>
      <c r="B23" s="286" t="s">
        <v>185</v>
      </c>
      <c r="C23" s="744" t="s">
        <v>671</v>
      </c>
      <c r="D23" s="286" t="s">
        <v>1042</v>
      </c>
      <c r="E23" s="809">
        <v>1.5</v>
      </c>
      <c r="F23" s="819">
        <v>420000</v>
      </c>
      <c r="G23" s="822">
        <v>0.6</v>
      </c>
      <c r="H23" s="282">
        <f t="shared" si="3"/>
        <v>672000</v>
      </c>
      <c r="I23" s="1050">
        <v>42370</v>
      </c>
      <c r="J23" s="809">
        <v>86.1</v>
      </c>
      <c r="K23" s="809">
        <v>0.8</v>
      </c>
      <c r="L23" s="1050">
        <v>45261</v>
      </c>
      <c r="M23" s="809">
        <v>127.3</v>
      </c>
      <c r="N23" s="282">
        <f>(M23/J23)*H23*($E$5/(Macro!$D$16*Macro!$D$20*8)/(E23))^K23</f>
        <v>1801745.2246395454</v>
      </c>
      <c r="O23" s="822">
        <v>0.05</v>
      </c>
      <c r="P23" s="272">
        <f t="shared" si="8"/>
        <v>90087.261231977274</v>
      </c>
      <c r="Q23" s="654">
        <f>IF(IF(Macro!$H$14=1,5,Macro!T53)=0,5,IF(Macro!$H$14=1,5,Macro!T92))</f>
        <v>5</v>
      </c>
      <c r="R23" s="272">
        <f t="shared" si="9"/>
        <v>360349.0449279091</v>
      </c>
      <c r="S23" t="s">
        <v>454</v>
      </c>
      <c r="T23" s="262"/>
    </row>
    <row r="24" spans="1:20" x14ac:dyDescent="0.3">
      <c r="A24" s="1137"/>
      <c r="B24" s="286" t="s">
        <v>173</v>
      </c>
      <c r="C24" s="286" t="s">
        <v>673</v>
      </c>
      <c r="D24" s="286" t="s">
        <v>1042</v>
      </c>
      <c r="E24" s="809">
        <v>1.5</v>
      </c>
      <c r="F24" s="819">
        <v>100000</v>
      </c>
      <c r="G24" s="822">
        <v>0.6</v>
      </c>
      <c r="H24" s="282">
        <f t="shared" si="3"/>
        <v>160000</v>
      </c>
      <c r="I24" s="1050">
        <v>42370</v>
      </c>
      <c r="J24" s="809">
        <v>86.1</v>
      </c>
      <c r="K24" s="809">
        <v>0.8</v>
      </c>
      <c r="L24" s="1050">
        <v>45261</v>
      </c>
      <c r="M24" s="809">
        <v>127.3</v>
      </c>
      <c r="N24" s="282">
        <f>(M24/J24)*H24*($E$5/(Macro!$D$16*Macro!$D$20*8)/(E24))^K24</f>
        <v>428986.95824751077</v>
      </c>
      <c r="O24" s="822">
        <v>0.05</v>
      </c>
      <c r="P24" s="272">
        <f t="shared" si="8"/>
        <v>21449.347912375539</v>
      </c>
      <c r="Q24" s="654">
        <f>IF(IF(Macro!$H$14=1,5,Macro!T54)=0,5,IF(Macro!$H$14=1,5,Macro!T93))</f>
        <v>5</v>
      </c>
      <c r="R24" s="272">
        <f t="shared" si="9"/>
        <v>85797.391649502155</v>
      </c>
      <c r="S24" t="s">
        <v>454</v>
      </c>
      <c r="T24" s="262"/>
    </row>
    <row r="25" spans="1:20" ht="15" thickBot="1" x14ac:dyDescent="0.35">
      <c r="A25" s="1138"/>
      <c r="B25" s="287" t="s">
        <v>174</v>
      </c>
      <c r="C25" s="287" t="s">
        <v>674</v>
      </c>
      <c r="D25" s="287" t="s">
        <v>1042</v>
      </c>
      <c r="E25" s="828">
        <v>1.5</v>
      </c>
      <c r="F25" s="820">
        <v>100000</v>
      </c>
      <c r="G25" s="823">
        <v>0.6</v>
      </c>
      <c r="H25" s="584">
        <f t="shared" si="3"/>
        <v>160000</v>
      </c>
      <c r="I25" s="1053">
        <v>42370</v>
      </c>
      <c r="J25" s="828">
        <v>86.1</v>
      </c>
      <c r="K25" s="828">
        <v>0.8</v>
      </c>
      <c r="L25" s="1053">
        <v>45261</v>
      </c>
      <c r="M25" s="828">
        <v>127.3</v>
      </c>
      <c r="N25" s="584">
        <f>(M25/J25)*H25*($E$5/(Macro!$D$16*Macro!$D$20*8)/(E25))^K25</f>
        <v>428986.95824751077</v>
      </c>
      <c r="O25" s="823">
        <v>0.05</v>
      </c>
      <c r="P25" s="274">
        <f t="shared" si="8"/>
        <v>21449.347912375539</v>
      </c>
      <c r="Q25" s="655">
        <f>IF(IF(Macro!$H$14=1,5,Macro!T55)=0,5,IF(Macro!$H$14=1,5,Macro!T94))</f>
        <v>5</v>
      </c>
      <c r="R25" s="274">
        <f t="shared" si="9"/>
        <v>85797.391649502155</v>
      </c>
      <c r="S25" s="273" t="s">
        <v>454</v>
      </c>
      <c r="T25" s="276"/>
    </row>
    <row r="26" spans="1:20" ht="16.2" x14ac:dyDescent="0.3">
      <c r="A26" s="1139" t="s">
        <v>495</v>
      </c>
      <c r="B26" s="777" t="s">
        <v>204</v>
      </c>
      <c r="C26" s="268" t="s">
        <v>333</v>
      </c>
      <c r="D26" s="267" t="s">
        <v>465</v>
      </c>
      <c r="E26" s="827">
        <v>2</v>
      </c>
      <c r="F26" s="821">
        <v>420000</v>
      </c>
      <c r="G26" s="824">
        <v>1</v>
      </c>
      <c r="H26" s="585">
        <f t="shared" si="3"/>
        <v>840000</v>
      </c>
      <c r="I26" s="1050">
        <v>43678</v>
      </c>
      <c r="J26" s="827">
        <v>97.3</v>
      </c>
      <c r="K26" s="827">
        <v>0.6</v>
      </c>
      <c r="L26" s="1050">
        <v>45261</v>
      </c>
      <c r="M26" s="827">
        <v>127.3</v>
      </c>
      <c r="N26" s="585">
        <f>(M26/J26)*H26*('R3_Hydro_MEFA'!L19/(Macro!$D$16*Macro!$D$20*8)/(E26))^K26</f>
        <v>315447.49840587744</v>
      </c>
      <c r="O26" s="824">
        <v>0.05</v>
      </c>
      <c r="P26" s="269">
        <f t="shared" si="8"/>
        <v>15772.374920293872</v>
      </c>
      <c r="Q26" s="656">
        <f>IF(IF(Macro!$H$14=1,5,Macro!T56)=0,5,IF(Macro!$H$14=1,5,Macro!T95))</f>
        <v>5</v>
      </c>
      <c r="R26" s="269">
        <f t="shared" si="9"/>
        <v>63089.49968117549</v>
      </c>
      <c r="S26" s="268" t="s">
        <v>140</v>
      </c>
      <c r="T26" s="271"/>
    </row>
    <row r="27" spans="1:20" ht="16.2" x14ac:dyDescent="0.3">
      <c r="A27" s="1140"/>
      <c r="B27" t="s">
        <v>205</v>
      </c>
      <c r="C27" t="s">
        <v>466</v>
      </c>
      <c r="D27" s="286" t="s">
        <v>465</v>
      </c>
      <c r="E27" s="809">
        <v>10</v>
      </c>
      <c r="F27" s="819">
        <v>175000</v>
      </c>
      <c r="G27" s="822">
        <v>1</v>
      </c>
      <c r="H27" s="282">
        <f t="shared" si="3"/>
        <v>350000</v>
      </c>
      <c r="I27" s="1050">
        <v>43678</v>
      </c>
      <c r="J27" s="809">
        <v>97.3</v>
      </c>
      <c r="K27" s="809">
        <v>0.52</v>
      </c>
      <c r="L27" s="1050">
        <v>45261</v>
      </c>
      <c r="M27" s="809">
        <v>127.3</v>
      </c>
      <c r="N27" s="282">
        <f>(M27/J27)*H27*('R3_Hydro_MEFA'!L26/(Macro!$D$16*Macro!$D$20*8)/(E27))^K27</f>
        <v>179607.71255908796</v>
      </c>
      <c r="O27" s="822">
        <v>0.05</v>
      </c>
      <c r="P27" s="272">
        <f t="shared" si="8"/>
        <v>8980.3856279543979</v>
      </c>
      <c r="Q27" s="654">
        <f>IF(IF(Macro!$H$14=1,5,Macro!T57)=0,5,IF(Macro!$H$14=1,5,Macro!T96))</f>
        <v>5</v>
      </c>
      <c r="R27" s="272">
        <f t="shared" si="9"/>
        <v>35921.542511817592</v>
      </c>
      <c r="S27" t="s">
        <v>140</v>
      </c>
      <c r="T27" s="262"/>
    </row>
    <row r="28" spans="1:20" ht="16.2" x14ac:dyDescent="0.3">
      <c r="A28" s="1140"/>
      <c r="B28" t="s">
        <v>211</v>
      </c>
      <c r="C28" t="s">
        <v>472</v>
      </c>
      <c r="D28" s="286" t="s">
        <v>465</v>
      </c>
      <c r="E28" s="809">
        <v>10</v>
      </c>
      <c r="F28" s="819">
        <v>175000</v>
      </c>
      <c r="G28" s="822">
        <v>1</v>
      </c>
      <c r="H28" s="282">
        <f t="shared" si="3"/>
        <v>350000</v>
      </c>
      <c r="I28" s="1050">
        <v>43678</v>
      </c>
      <c r="J28" s="809">
        <v>97.3</v>
      </c>
      <c r="K28" s="809">
        <v>0.52</v>
      </c>
      <c r="L28" s="1050">
        <v>45261</v>
      </c>
      <c r="M28" s="809">
        <v>127.3</v>
      </c>
      <c r="N28" s="282">
        <f>(M28/J28)*H28*('R3_Hydro_MEFA'!L33/(Macro!$D$16*Macro!$D$20*8)/(E28))^K28</f>
        <v>179673.66390370642</v>
      </c>
      <c r="O28" s="822">
        <v>0.05</v>
      </c>
      <c r="P28" s="272">
        <f t="shared" si="8"/>
        <v>8983.6831951853219</v>
      </c>
      <c r="Q28" s="654">
        <f>IF(IF(Macro!$H$14=1,5,Macro!T58)=0,5,IF(Macro!$H$14=1,5,Macro!T97))</f>
        <v>5</v>
      </c>
      <c r="R28" s="272">
        <f t="shared" si="9"/>
        <v>35934.73278074128</v>
      </c>
      <c r="S28" t="s">
        <v>140</v>
      </c>
      <c r="T28" s="262"/>
    </row>
    <row r="29" spans="1:20" ht="16.2" x14ac:dyDescent="0.3">
      <c r="A29" s="1140"/>
      <c r="B29" t="s">
        <v>212</v>
      </c>
      <c r="C29" t="s">
        <v>467</v>
      </c>
      <c r="D29" s="286" t="s">
        <v>465</v>
      </c>
      <c r="E29" s="809">
        <v>10</v>
      </c>
      <c r="F29" s="819">
        <v>35000</v>
      </c>
      <c r="G29" s="822">
        <v>1</v>
      </c>
      <c r="H29" s="282">
        <f t="shared" si="3"/>
        <v>70000</v>
      </c>
      <c r="I29" s="1050">
        <v>43678</v>
      </c>
      <c r="J29" s="809">
        <v>97.3</v>
      </c>
      <c r="K29" s="809">
        <v>0.75</v>
      </c>
      <c r="L29" s="1050">
        <v>45261</v>
      </c>
      <c r="M29" s="809">
        <v>127.3</v>
      </c>
      <c r="N29" s="282">
        <f>(M29/J29)*H29*('R3_Hydro_MEFA'!L33/(Macro!$D$16*Macro!$D$20*8)/(E29))^K29</f>
        <v>23757.74219712941</v>
      </c>
      <c r="O29" s="822">
        <v>0.05</v>
      </c>
      <c r="P29" s="272">
        <f t="shared" si="8"/>
        <v>1187.8871098564705</v>
      </c>
      <c r="Q29" s="654">
        <f>IF(IF(Macro!$H$14=1,5,Macro!T59)=0,5,IF(Macro!$H$14=1,5,Macro!T98))</f>
        <v>5</v>
      </c>
      <c r="R29" s="272">
        <f t="shared" si="9"/>
        <v>4751.548439425882</v>
      </c>
      <c r="S29" t="s">
        <v>140</v>
      </c>
      <c r="T29" s="262"/>
    </row>
    <row r="30" spans="1:20" ht="16.2" x14ac:dyDescent="0.3">
      <c r="A30" s="1140"/>
      <c r="B30" t="s">
        <v>346</v>
      </c>
      <c r="C30" t="s">
        <v>466</v>
      </c>
      <c r="D30" s="286" t="s">
        <v>465</v>
      </c>
      <c r="E30" s="809">
        <v>10</v>
      </c>
      <c r="F30" s="819">
        <v>175000</v>
      </c>
      <c r="G30" s="822">
        <v>1</v>
      </c>
      <c r="H30" s="282">
        <f t="shared" ref="H30:H39" si="10">(1+G30)*F30</f>
        <v>350000</v>
      </c>
      <c r="I30" s="1050">
        <v>43678</v>
      </c>
      <c r="J30" s="809">
        <v>97.3</v>
      </c>
      <c r="K30" s="809">
        <v>0.52</v>
      </c>
      <c r="L30" s="1050">
        <v>45261</v>
      </c>
      <c r="M30" s="809">
        <v>127.3</v>
      </c>
      <c r="N30" s="282">
        <f>(M30/J30)*H30*('R3_Hydro_MEFA'!L48/(Macro!$D$16*Macro!$D$20*8)/(E30))^K30</f>
        <v>183322.33889123387</v>
      </c>
      <c r="O30" s="822">
        <v>0.05</v>
      </c>
      <c r="P30" s="272">
        <f t="shared" si="8"/>
        <v>9166.1169445616943</v>
      </c>
      <c r="Q30" s="654">
        <f>IF(IF(Macro!$H$14=1,5,Macro!T60)=0,5,IF(Macro!$H$14=1,5,Macro!T99))</f>
        <v>5</v>
      </c>
      <c r="R30" s="272">
        <f t="shared" si="9"/>
        <v>36664.467778246777</v>
      </c>
      <c r="S30" t="s">
        <v>140</v>
      </c>
      <c r="T30" s="262"/>
    </row>
    <row r="31" spans="1:20" ht="16.2" x14ac:dyDescent="0.3">
      <c r="A31" s="1140"/>
      <c r="B31" s="121" t="s">
        <v>468</v>
      </c>
      <c r="C31" t="s">
        <v>466</v>
      </c>
      <c r="D31" s="286" t="s">
        <v>465</v>
      </c>
      <c r="E31" s="809">
        <v>10</v>
      </c>
      <c r="F31" s="819">
        <v>175000</v>
      </c>
      <c r="G31" s="822">
        <v>1</v>
      </c>
      <c r="H31" s="282">
        <f t="shared" si="10"/>
        <v>350000</v>
      </c>
      <c r="I31" s="1050">
        <v>43678</v>
      </c>
      <c r="J31" s="809">
        <v>97.3</v>
      </c>
      <c r="K31" s="809">
        <v>0.52</v>
      </c>
      <c r="L31" s="1050">
        <v>45261</v>
      </c>
      <c r="M31" s="809">
        <v>127.3</v>
      </c>
      <c r="N31" s="282">
        <f>(M31/J31)*H31*('R3_Hydro_MEFA'!L55/(Macro!$D$16*Macro!$D$20*8)/(E31))^K31</f>
        <v>210445.87133929713</v>
      </c>
      <c r="O31" s="822">
        <v>0.05</v>
      </c>
      <c r="P31" s="272">
        <f t="shared" si="8"/>
        <v>10522.293566964858</v>
      </c>
      <c r="Q31" s="654">
        <f>IF(IF(Macro!$H$14=1,5,Macro!T61)=0,5,IF(Macro!$H$14=1,5,Macro!T100))</f>
        <v>5</v>
      </c>
      <c r="R31" s="272">
        <f t="shared" si="9"/>
        <v>42089.174267859424</v>
      </c>
      <c r="S31" t="s">
        <v>140</v>
      </c>
      <c r="T31" s="262"/>
    </row>
    <row r="32" spans="1:20" ht="16.2" x14ac:dyDescent="0.3">
      <c r="A32" s="1140"/>
      <c r="B32" t="s">
        <v>349</v>
      </c>
      <c r="C32" t="s">
        <v>675</v>
      </c>
      <c r="D32" s="286" t="s">
        <v>465</v>
      </c>
      <c r="E32" s="809">
        <v>10</v>
      </c>
      <c r="F32" s="819">
        <v>35000</v>
      </c>
      <c r="G32" s="822">
        <v>1</v>
      </c>
      <c r="H32" s="282">
        <f t="shared" si="10"/>
        <v>70000</v>
      </c>
      <c r="I32" s="1050">
        <v>43678</v>
      </c>
      <c r="J32" s="809">
        <v>97.3</v>
      </c>
      <c r="K32" s="809">
        <v>0.75</v>
      </c>
      <c r="L32" s="1050">
        <v>45261</v>
      </c>
      <c r="M32" s="809">
        <v>127.3</v>
      </c>
      <c r="N32" s="282">
        <f>(M32/J32)*H32*('R3_Hydro_MEFA'!L55/(Macro!$D$16*Macro!$D$20*8)/(E32))^K32</f>
        <v>29842.020330719293</v>
      </c>
      <c r="O32" s="822">
        <v>0.05</v>
      </c>
      <c r="P32" s="272">
        <f t="shared" si="8"/>
        <v>1492.1010165359648</v>
      </c>
      <c r="Q32" s="654">
        <f>IF(IF(Macro!$H$14=1,5,Macro!T62)=0,5,IF(Macro!$H$14=1,5,Macro!T101))</f>
        <v>5</v>
      </c>
      <c r="R32" s="272">
        <f t="shared" si="9"/>
        <v>5968.4040661438585</v>
      </c>
      <c r="S32" t="s">
        <v>140</v>
      </c>
      <c r="T32" s="262"/>
    </row>
    <row r="33" spans="1:20" ht="16.2" x14ac:dyDescent="0.3">
      <c r="A33" s="1140"/>
      <c r="B33" t="s">
        <v>471</v>
      </c>
      <c r="C33" t="s">
        <v>472</v>
      </c>
      <c r="D33" s="286" t="s">
        <v>465</v>
      </c>
      <c r="E33" s="809">
        <v>10</v>
      </c>
      <c r="F33" s="819">
        <v>175000</v>
      </c>
      <c r="G33" s="822">
        <v>1</v>
      </c>
      <c r="H33" s="282">
        <f t="shared" si="10"/>
        <v>350000</v>
      </c>
      <c r="I33" s="1050">
        <v>43678</v>
      </c>
      <c r="J33" s="809">
        <v>97.3</v>
      </c>
      <c r="K33" s="809">
        <v>0.52</v>
      </c>
      <c r="L33" s="1050">
        <v>45261</v>
      </c>
      <c r="M33" s="809">
        <v>127.3</v>
      </c>
      <c r="N33" s="282">
        <f>(M33/J33)*H33*('R3_Hydro_MEFA'!L61/(Macro!$D$16*Macro!$D$20*8)/(E33))^K33</f>
        <v>204573.66317724565</v>
      </c>
      <c r="O33" s="822">
        <v>0.05</v>
      </c>
      <c r="P33" s="272">
        <f t="shared" si="8"/>
        <v>10228.683158862283</v>
      </c>
      <c r="Q33" s="654">
        <f>IF(IF(Macro!$H$14=1,5,Macro!T63)=0,5,IF(Macro!$H$14=1,5,Macro!T102))</f>
        <v>5</v>
      </c>
      <c r="R33" s="272">
        <f t="shared" si="9"/>
        <v>40914.732635449131</v>
      </c>
      <c r="S33" t="s">
        <v>140</v>
      </c>
      <c r="T33" s="262"/>
    </row>
    <row r="34" spans="1:20" ht="16.2" x14ac:dyDescent="0.3">
      <c r="A34" s="1140"/>
      <c r="B34" t="s">
        <v>362</v>
      </c>
      <c r="C34" t="s">
        <v>466</v>
      </c>
      <c r="D34" s="286" t="s">
        <v>465</v>
      </c>
      <c r="E34" s="809">
        <v>10</v>
      </c>
      <c r="F34" s="819">
        <v>175000</v>
      </c>
      <c r="G34" s="822">
        <v>1</v>
      </c>
      <c r="H34" s="282">
        <f t="shared" si="10"/>
        <v>350000</v>
      </c>
      <c r="I34" s="1050">
        <v>43678</v>
      </c>
      <c r="J34" s="809">
        <v>97.3</v>
      </c>
      <c r="K34" s="809">
        <v>0.52</v>
      </c>
      <c r="L34" s="1050">
        <v>45261</v>
      </c>
      <c r="M34" s="809">
        <v>127.3</v>
      </c>
      <c r="N34" s="282">
        <f>(M34/J34)*H34*('R3_Hydro_MEFA'!L79/(Macro!$D$16*Macro!$D$20*8)/(E34))^K34</f>
        <v>87051.960361603458</v>
      </c>
      <c r="O34" s="822">
        <v>0.05</v>
      </c>
      <c r="P34" s="272">
        <f t="shared" si="8"/>
        <v>4352.5980180801735</v>
      </c>
      <c r="Q34" s="654">
        <f>IF(IF(Macro!$H$14=1,5,Macro!T64)=0,5,IF(Macro!$H$14=1,5,Macro!T103))</f>
        <v>5</v>
      </c>
      <c r="R34" s="272">
        <f t="shared" si="9"/>
        <v>17410.39207232069</v>
      </c>
      <c r="S34" t="s">
        <v>140</v>
      </c>
      <c r="T34" s="262"/>
    </row>
    <row r="35" spans="1:20" ht="16.2" x14ac:dyDescent="0.3">
      <c r="A35" s="1140"/>
      <c r="B35" t="s">
        <v>366</v>
      </c>
      <c r="C35" t="s">
        <v>466</v>
      </c>
      <c r="D35" s="286" t="s">
        <v>465</v>
      </c>
      <c r="E35" s="809">
        <v>10</v>
      </c>
      <c r="F35" s="819">
        <v>175000</v>
      </c>
      <c r="G35" s="822">
        <v>1</v>
      </c>
      <c r="H35" s="282">
        <f t="shared" si="10"/>
        <v>350000</v>
      </c>
      <c r="I35" s="1050">
        <v>43678</v>
      </c>
      <c r="J35" s="809">
        <v>97.3</v>
      </c>
      <c r="K35" s="809">
        <v>0.52</v>
      </c>
      <c r="L35" s="1050">
        <v>45261</v>
      </c>
      <c r="M35" s="809">
        <v>127.3</v>
      </c>
      <c r="N35" s="282">
        <f>(M35/J35)*H35*('R3_Hydro_MEFA'!L85/(Macro!$D$16*Macro!$D$20*8)/(E35))^K35</f>
        <v>87075.718192638888</v>
      </c>
      <c r="O35" s="822">
        <v>0.05</v>
      </c>
      <c r="P35" s="272">
        <f t="shared" si="8"/>
        <v>4353.7859096319444</v>
      </c>
      <c r="Q35" s="654">
        <f>IF(IF(Macro!$H$14=1,5,Macro!T65)=0,5,IF(Macro!$H$14=1,5,Macro!T104))</f>
        <v>5</v>
      </c>
      <c r="R35" s="272">
        <f t="shared" si="9"/>
        <v>17415.143638527778</v>
      </c>
      <c r="S35" t="s">
        <v>140</v>
      </c>
      <c r="T35" s="262"/>
    </row>
    <row r="36" spans="1:20" x14ac:dyDescent="0.3">
      <c r="A36" s="1140"/>
      <c r="B36" t="s">
        <v>615</v>
      </c>
      <c r="C36" t="s">
        <v>474</v>
      </c>
      <c r="D36" s="286" t="s">
        <v>475</v>
      </c>
      <c r="E36" s="809">
        <v>1</v>
      </c>
      <c r="F36" s="819">
        <v>1500000</v>
      </c>
      <c r="G36" s="822">
        <v>1</v>
      </c>
      <c r="H36" s="282">
        <f t="shared" si="10"/>
        <v>3000000</v>
      </c>
      <c r="I36" s="1050">
        <v>43678</v>
      </c>
      <c r="J36" s="809">
        <v>97.3</v>
      </c>
      <c r="K36" s="809">
        <v>0.65</v>
      </c>
      <c r="L36" s="1050">
        <v>45261</v>
      </c>
      <c r="M36" s="809">
        <v>127.3</v>
      </c>
      <c r="N36" s="282">
        <f>(M36/J36)*H36*('R3_Hydro_MEFA'!C90/(Macro!$D$16*Macro!$D$20*8)/(E36))^K36</f>
        <v>8738653.0543715395</v>
      </c>
      <c r="O36" s="822">
        <v>0.05</v>
      </c>
      <c r="P36" s="282">
        <f t="shared" si="8"/>
        <v>436932.65271857701</v>
      </c>
      <c r="Q36" s="657">
        <f>IF(IF(Macro!$H$14=1,5,Macro!T66)=0,5,IF(Macro!$H$14=1,5,Macro!T105))</f>
        <v>5</v>
      </c>
      <c r="R36" s="282">
        <f t="shared" si="9"/>
        <v>1747730.6108743078</v>
      </c>
      <c r="S36" t="s">
        <v>140</v>
      </c>
      <c r="T36" s="262"/>
    </row>
    <row r="37" spans="1:20" ht="15" thickBot="1" x14ac:dyDescent="0.35">
      <c r="A37" s="1141"/>
      <c r="B37" s="273" t="s">
        <v>616</v>
      </c>
      <c r="C37" s="273" t="s">
        <v>474</v>
      </c>
      <c r="D37" s="286" t="s">
        <v>475</v>
      </c>
      <c r="E37" s="809">
        <v>1</v>
      </c>
      <c r="F37" s="819">
        <v>1500000</v>
      </c>
      <c r="G37" s="822">
        <v>1</v>
      </c>
      <c r="H37" s="282">
        <f t="shared" si="10"/>
        <v>3000000</v>
      </c>
      <c r="I37" s="1053">
        <v>43678</v>
      </c>
      <c r="J37" s="809">
        <v>97.3</v>
      </c>
      <c r="K37" s="809">
        <v>0.65</v>
      </c>
      <c r="L37" s="1053">
        <v>45261</v>
      </c>
      <c r="M37" s="809">
        <v>127.3</v>
      </c>
      <c r="N37" s="282">
        <f>(M37/J37)*H37*('R3_Hydro_MEFA'!C96/(Macro!$D$16*Macro!$D$20*8)/(E37))^K37</f>
        <v>3454602.9303601393</v>
      </c>
      <c r="O37" s="822">
        <v>0.05</v>
      </c>
      <c r="P37" s="282">
        <f t="shared" si="8"/>
        <v>172730.14651800698</v>
      </c>
      <c r="Q37" s="657">
        <f>IF(IF(Macro!$H$14=1,5,Macro!T67)=0,5,IF(Macro!$H$14=1,5,Macro!T106))</f>
        <v>5</v>
      </c>
      <c r="R37" s="282">
        <f t="shared" si="9"/>
        <v>690920.58607202792</v>
      </c>
      <c r="S37" t="s">
        <v>140</v>
      </c>
      <c r="T37" s="262"/>
    </row>
    <row r="38" spans="1:20" ht="17.25" customHeight="1" x14ac:dyDescent="0.3">
      <c r="A38" s="1139" t="s">
        <v>496</v>
      </c>
      <c r="B38" s="267" t="s">
        <v>1016</v>
      </c>
      <c r="C38" s="267" t="s">
        <v>333</v>
      </c>
      <c r="D38" s="267" t="s">
        <v>465</v>
      </c>
      <c r="E38" s="827">
        <v>2</v>
      </c>
      <c r="F38" s="821">
        <v>420000</v>
      </c>
      <c r="G38" s="824">
        <v>1</v>
      </c>
      <c r="H38" s="585">
        <f t="shared" si="10"/>
        <v>840000</v>
      </c>
      <c r="I38" s="1050">
        <v>43678</v>
      </c>
      <c r="J38" s="827">
        <v>97.3</v>
      </c>
      <c r="K38" s="827">
        <v>0.6</v>
      </c>
      <c r="L38" s="1050">
        <v>45261</v>
      </c>
      <c r="M38" s="827">
        <v>127.3</v>
      </c>
      <c r="N38" s="585">
        <f>(M38/J38)*H38*('R3_Hydro_MEFA'!L117/(Macro!$D$16*Macro!$D$20*8)/(E38))^K38</f>
        <v>0</v>
      </c>
      <c r="O38" s="824">
        <v>0.05</v>
      </c>
      <c r="P38" s="585">
        <f t="shared" si="8"/>
        <v>0</v>
      </c>
      <c r="Q38" s="658">
        <f>IF(IF(Macro!$H$14=1,5,Macro!T68)=0,5,IF(Macro!$H$14=1,5,Macro!T107))</f>
        <v>5</v>
      </c>
      <c r="R38" s="585">
        <f t="shared" si="9"/>
        <v>0</v>
      </c>
      <c r="S38" s="268" t="s">
        <v>140</v>
      </c>
      <c r="T38" s="271"/>
    </row>
    <row r="39" spans="1:20" ht="16.2" x14ac:dyDescent="0.3">
      <c r="A39" s="1140"/>
      <c r="B39" s="286" t="s">
        <v>1017</v>
      </c>
      <c r="C39" s="286" t="s">
        <v>472</v>
      </c>
      <c r="D39" s="286" t="s">
        <v>465</v>
      </c>
      <c r="E39" s="809">
        <v>10</v>
      </c>
      <c r="F39" s="819">
        <v>175000</v>
      </c>
      <c r="G39" s="822">
        <v>1</v>
      </c>
      <c r="H39" s="282">
        <f t="shared" si="10"/>
        <v>350000</v>
      </c>
      <c r="I39" s="1050">
        <v>43678</v>
      </c>
      <c r="J39" s="809">
        <v>97.3</v>
      </c>
      <c r="K39" s="809">
        <v>0.52</v>
      </c>
      <c r="L39" s="1050">
        <v>45261</v>
      </c>
      <c r="M39" s="809">
        <v>127.3</v>
      </c>
      <c r="N39" s="282">
        <f>(M39/J39)*H39*('R3_Hydro_MEFA'!L124/(Macro!$D$16*Macro!$D$20*8)/(E39))^K39</f>
        <v>0</v>
      </c>
      <c r="O39" s="822">
        <v>0.05</v>
      </c>
      <c r="P39" s="282">
        <f t="shared" si="8"/>
        <v>0</v>
      </c>
      <c r="Q39" s="657">
        <f>IF(IF(Macro!$H$14=1,5,Macro!T69)=0,5,IF(Macro!$H$14=1,5,Macro!T108))</f>
        <v>5</v>
      </c>
      <c r="R39" s="282">
        <f t="shared" si="9"/>
        <v>0</v>
      </c>
      <c r="S39" t="s">
        <v>140</v>
      </c>
      <c r="T39" s="262"/>
    </row>
    <row r="40" spans="1:20" ht="16.2" x14ac:dyDescent="0.3">
      <c r="A40" s="1140"/>
      <c r="B40" s="286" t="s">
        <v>1018</v>
      </c>
      <c r="C40" s="744" t="s">
        <v>477</v>
      </c>
      <c r="D40" s="286" t="s">
        <v>465</v>
      </c>
      <c r="E40" s="809">
        <v>10</v>
      </c>
      <c r="F40" s="819">
        <v>100000</v>
      </c>
      <c r="G40" s="822">
        <v>1</v>
      </c>
      <c r="H40" s="282">
        <v>200000</v>
      </c>
      <c r="I40" s="1050">
        <v>43678</v>
      </c>
      <c r="J40" s="809">
        <v>97.3</v>
      </c>
      <c r="K40" s="809">
        <v>0.75</v>
      </c>
      <c r="L40" s="1050">
        <v>45261</v>
      </c>
      <c r="M40" s="809">
        <v>127.3</v>
      </c>
      <c r="N40" s="282">
        <f>(M40/J40)*H40*('R3_Hydro_MEFA'!L124/(Macro!$D$16*Macro!$D$20*8)/(E40))^K40</f>
        <v>0</v>
      </c>
      <c r="O40" s="822">
        <v>0.05</v>
      </c>
      <c r="P40" s="282">
        <f t="shared" si="8"/>
        <v>0</v>
      </c>
      <c r="Q40" s="657">
        <f>IF(IF(Macro!$H$14=1,5,Macro!T70)=0,5,IF(Macro!$H$14=1,5,Macro!T109))</f>
        <v>5</v>
      </c>
      <c r="R40" s="282">
        <f t="shared" si="9"/>
        <v>0</v>
      </c>
      <c r="S40" t="s">
        <v>140</v>
      </c>
      <c r="T40" s="262"/>
    </row>
    <row r="41" spans="1:20" ht="16.2" x14ac:dyDescent="0.3">
      <c r="A41" s="1140"/>
      <c r="B41" s="286" t="s">
        <v>198</v>
      </c>
      <c r="C41" s="286" t="s">
        <v>472</v>
      </c>
      <c r="D41" s="286" t="s">
        <v>465</v>
      </c>
      <c r="E41" s="809">
        <v>10</v>
      </c>
      <c r="F41" s="819">
        <v>175000</v>
      </c>
      <c r="G41" s="822">
        <v>1</v>
      </c>
      <c r="H41" s="282">
        <f t="shared" ref="H41:H43" si="11">(1+G41)*F41</f>
        <v>350000</v>
      </c>
      <c r="I41" s="1050">
        <v>43678</v>
      </c>
      <c r="J41" s="809">
        <v>97.3</v>
      </c>
      <c r="K41" s="809">
        <v>0.52</v>
      </c>
      <c r="L41" s="1050">
        <v>45261</v>
      </c>
      <c r="M41" s="809">
        <v>127.3</v>
      </c>
      <c r="N41" s="282">
        <f>(M41/J41)*H41*('R3_Hydro_MEFA'!L140/(Macro!$D$16*Macro!$D$20*8)/(E41))^K41</f>
        <v>0</v>
      </c>
      <c r="O41" s="822">
        <v>0.05</v>
      </c>
      <c r="P41" s="282">
        <f t="shared" si="8"/>
        <v>0</v>
      </c>
      <c r="Q41" s="657">
        <f>IF(IF(Macro!$H$14=1,5,Macro!T36)=0,5,IF(Macro!$H$14=1,5,Macro!T36))</f>
        <v>5</v>
      </c>
      <c r="R41" s="282">
        <f t="shared" si="9"/>
        <v>0</v>
      </c>
      <c r="S41" t="s">
        <v>140</v>
      </c>
      <c r="T41" s="262"/>
    </row>
    <row r="42" spans="1:20" ht="16.2" x14ac:dyDescent="0.3">
      <c r="A42" s="1140"/>
      <c r="B42" s="744" t="s">
        <v>1019</v>
      </c>
      <c r="C42" s="286" t="s">
        <v>472</v>
      </c>
      <c r="D42" s="286" t="s">
        <v>465</v>
      </c>
      <c r="E42" s="809">
        <v>10</v>
      </c>
      <c r="F42" s="819">
        <v>175000</v>
      </c>
      <c r="G42" s="822">
        <v>1</v>
      </c>
      <c r="H42" s="282">
        <f t="shared" si="11"/>
        <v>350000</v>
      </c>
      <c r="I42" s="1050">
        <v>43678</v>
      </c>
      <c r="J42" s="809">
        <v>97.3</v>
      </c>
      <c r="K42" s="809">
        <v>0.52</v>
      </c>
      <c r="L42" s="1050">
        <v>45261</v>
      </c>
      <c r="M42" s="809">
        <v>127.3</v>
      </c>
      <c r="N42" s="282">
        <f>(M42/J42)*H42*('R3_Hydro_MEFA'!L147/(Macro!$D$16*Macro!$D$20*8)/(E42))^K42</f>
        <v>0</v>
      </c>
      <c r="O42" s="822">
        <v>0.05</v>
      </c>
      <c r="P42" s="282">
        <f t="shared" si="8"/>
        <v>0</v>
      </c>
      <c r="Q42" s="657">
        <f>IF(IF(Macro!$H$14=1,5,Macro!T37)=0,5,IF(Macro!$H$14=1,5,Macro!T37))</f>
        <v>5</v>
      </c>
      <c r="R42" s="282">
        <f t="shared" si="9"/>
        <v>0</v>
      </c>
      <c r="S42" t="s">
        <v>140</v>
      </c>
      <c r="T42" s="262"/>
    </row>
    <row r="43" spans="1:20" ht="16.2" x14ac:dyDescent="0.3">
      <c r="A43" s="1140"/>
      <c r="B43" s="286" t="s">
        <v>1020</v>
      </c>
      <c r="C43" s="286" t="s">
        <v>478</v>
      </c>
      <c r="D43" s="286" t="s">
        <v>465</v>
      </c>
      <c r="E43" s="809">
        <v>10</v>
      </c>
      <c r="F43" s="819">
        <v>35000</v>
      </c>
      <c r="G43" s="822">
        <v>1</v>
      </c>
      <c r="H43" s="282">
        <f t="shared" si="11"/>
        <v>70000</v>
      </c>
      <c r="I43" s="1050">
        <v>43678</v>
      </c>
      <c r="J43" s="809">
        <v>97.3</v>
      </c>
      <c r="K43" s="809">
        <v>0.75</v>
      </c>
      <c r="L43" s="1050">
        <v>45261</v>
      </c>
      <c r="M43" s="809">
        <v>127.3</v>
      </c>
      <c r="N43" s="282">
        <f>(M43/J43)*H43*('R3_Hydro_MEFA'!L147/(Macro!$D$16*Macro!$D$20*8)/(E43))^K43</f>
        <v>0</v>
      </c>
      <c r="O43" s="822">
        <v>0.05</v>
      </c>
      <c r="P43" s="282">
        <f t="shared" si="8"/>
        <v>0</v>
      </c>
      <c r="Q43" s="657">
        <f>IF(IF(Macro!$H$14=1,5,Macro!T38)=0,5,IF(Macro!$H$14=1,5,Macro!T38))</f>
        <v>5</v>
      </c>
      <c r="R43" s="282">
        <f t="shared" si="9"/>
        <v>0</v>
      </c>
      <c r="S43" t="s">
        <v>140</v>
      </c>
      <c r="T43" s="262"/>
    </row>
    <row r="44" spans="1:20" ht="16.2" x14ac:dyDescent="0.3">
      <c r="A44" s="1140"/>
      <c r="B44" s="286" t="s">
        <v>1021</v>
      </c>
      <c r="C44" s="286" t="s">
        <v>472</v>
      </c>
      <c r="D44" s="286" t="s">
        <v>465</v>
      </c>
      <c r="E44" s="809">
        <v>10</v>
      </c>
      <c r="F44" s="819">
        <v>175000</v>
      </c>
      <c r="G44" s="822">
        <v>1</v>
      </c>
      <c r="H44" s="282">
        <f t="shared" ref="H44:H50" si="12">(1+G44)*F44</f>
        <v>350000</v>
      </c>
      <c r="I44" s="1050">
        <v>43678</v>
      </c>
      <c r="J44" s="809">
        <v>97.3</v>
      </c>
      <c r="K44" s="809">
        <v>0.52</v>
      </c>
      <c r="L44" s="1050">
        <v>45261</v>
      </c>
      <c r="M44" s="809">
        <v>127.3</v>
      </c>
      <c r="N44" s="282">
        <f>(M44/J44)*H44*('R3_Hydro_MEFA'!L155/(Macro!$D$16*Macro!$D$20*8)/(E44))^K44</f>
        <v>0</v>
      </c>
      <c r="O44" s="822">
        <v>0.05</v>
      </c>
      <c r="P44" s="282">
        <f t="shared" si="8"/>
        <v>0</v>
      </c>
      <c r="Q44" s="657">
        <f>IF(IF(Macro!$H$14=1,5,Macro!T71)=0,5,IF(Macro!$H$14=1,5,Macro!T110))</f>
        <v>5</v>
      </c>
      <c r="R44" s="282">
        <f t="shared" si="9"/>
        <v>0</v>
      </c>
      <c r="S44" t="s">
        <v>140</v>
      </c>
      <c r="T44" s="262"/>
    </row>
    <row r="45" spans="1:20" ht="16.2" x14ac:dyDescent="0.3">
      <c r="A45" s="1140"/>
      <c r="B45" s="286" t="s">
        <v>1022</v>
      </c>
      <c r="C45" s="286" t="s">
        <v>472</v>
      </c>
      <c r="D45" s="286" t="s">
        <v>465</v>
      </c>
      <c r="E45" s="809">
        <v>10</v>
      </c>
      <c r="F45" s="819">
        <v>175000</v>
      </c>
      <c r="G45" s="822">
        <v>1</v>
      </c>
      <c r="H45" s="282">
        <f t="shared" si="12"/>
        <v>350000</v>
      </c>
      <c r="I45" s="1050">
        <v>43678</v>
      </c>
      <c r="J45" s="809">
        <v>97.3</v>
      </c>
      <c r="K45" s="809">
        <v>0.52</v>
      </c>
      <c r="L45" s="1050">
        <v>45261</v>
      </c>
      <c r="M45" s="809">
        <v>127.3</v>
      </c>
      <c r="N45" s="282">
        <f>(M45/J45)*H45*('R3_Hydro_MEFA'!L172/(Macro!$D$16*Macro!$D$20*8)/(E45))^K45</f>
        <v>0</v>
      </c>
      <c r="O45" s="822">
        <v>0.05</v>
      </c>
      <c r="P45" s="282">
        <f t="shared" si="8"/>
        <v>0</v>
      </c>
      <c r="Q45" s="657">
        <f>IF(IF(Macro!$H$14=1,5,Macro!T72)=0,5,IF(Macro!$H$14=1,5,Macro!T111))</f>
        <v>5</v>
      </c>
      <c r="R45" s="282">
        <f t="shared" si="9"/>
        <v>0</v>
      </c>
      <c r="S45" t="s">
        <v>140</v>
      </c>
      <c r="T45" s="262"/>
    </row>
    <row r="46" spans="1:20" ht="16.2" x14ac:dyDescent="0.3">
      <c r="A46" s="1140"/>
      <c r="B46" s="286" t="s">
        <v>1023</v>
      </c>
      <c r="C46" s="286" t="s">
        <v>472</v>
      </c>
      <c r="D46" s="286" t="s">
        <v>465</v>
      </c>
      <c r="E46" s="809">
        <v>10</v>
      </c>
      <c r="F46" s="819">
        <v>175000</v>
      </c>
      <c r="G46" s="822">
        <v>1</v>
      </c>
      <c r="H46" s="282">
        <f t="shared" si="12"/>
        <v>350000</v>
      </c>
      <c r="I46" s="1050">
        <v>43678</v>
      </c>
      <c r="J46" s="809">
        <v>97.3</v>
      </c>
      <c r="K46" s="809">
        <v>0.52</v>
      </c>
      <c r="L46" s="1050">
        <v>45261</v>
      </c>
      <c r="M46" s="809">
        <v>127.3</v>
      </c>
      <c r="N46" s="282">
        <f>(M46/J46)*H46*('R3_Hydro_MEFA'!L178/(Macro!$D$16*Macro!$D$20*8)/(E46))^K46</f>
        <v>0</v>
      </c>
      <c r="O46" s="822">
        <v>0.05</v>
      </c>
      <c r="P46" s="282">
        <f t="shared" si="8"/>
        <v>0</v>
      </c>
      <c r="Q46" s="657">
        <f>IF(IF(Macro!$H$14=1,5,Macro!T73)=0,5,IF(Macro!$H$14=1,5,Macro!T112))</f>
        <v>5</v>
      </c>
      <c r="R46" s="282">
        <f t="shared" si="9"/>
        <v>0</v>
      </c>
      <c r="S46" t="s">
        <v>140</v>
      </c>
      <c r="T46" s="262"/>
    </row>
    <row r="47" spans="1:20" x14ac:dyDescent="0.3">
      <c r="A47" s="1140"/>
      <c r="B47" s="286" t="s">
        <v>1024</v>
      </c>
      <c r="C47" s="286" t="s">
        <v>474</v>
      </c>
      <c r="D47" s="286" t="s">
        <v>475</v>
      </c>
      <c r="E47" s="809">
        <v>1</v>
      </c>
      <c r="F47" s="819">
        <v>1500000</v>
      </c>
      <c r="G47" s="822">
        <v>1</v>
      </c>
      <c r="H47" s="282">
        <f t="shared" si="12"/>
        <v>3000000</v>
      </c>
      <c r="I47" s="1050">
        <v>43678</v>
      </c>
      <c r="J47" s="809">
        <v>97.3</v>
      </c>
      <c r="K47" s="809">
        <v>0.65</v>
      </c>
      <c r="L47" s="1050">
        <v>45261</v>
      </c>
      <c r="M47" s="809">
        <v>127.3</v>
      </c>
      <c r="N47" s="282">
        <f>(M47/J47)*H47*('R3_Hydro_MEFA'!C183/(Macro!$D$16*Macro!$D$20*8)/(E47))^K47</f>
        <v>0</v>
      </c>
      <c r="O47" s="822">
        <v>0.05</v>
      </c>
      <c r="P47" s="282">
        <f t="shared" si="8"/>
        <v>0</v>
      </c>
      <c r="Q47" s="657">
        <f>IF(IF(Macro!$H$14=1,5,Macro!T74)=0,5,IF(Macro!$H$14=1,5,Macro!T113))</f>
        <v>5</v>
      </c>
      <c r="R47" s="282">
        <f t="shared" si="9"/>
        <v>0</v>
      </c>
      <c r="S47" t="s">
        <v>140</v>
      </c>
      <c r="T47" s="262"/>
    </row>
    <row r="48" spans="1:20" ht="16.2" x14ac:dyDescent="0.3">
      <c r="A48" s="1140"/>
      <c r="B48" s="286" t="s">
        <v>1025</v>
      </c>
      <c r="C48" s="286" t="s">
        <v>472</v>
      </c>
      <c r="D48" s="286" t="s">
        <v>465</v>
      </c>
      <c r="E48" s="809">
        <v>10</v>
      </c>
      <c r="F48" s="819">
        <v>175000</v>
      </c>
      <c r="G48" s="822">
        <v>1</v>
      </c>
      <c r="H48" s="282">
        <f t="shared" si="12"/>
        <v>350000</v>
      </c>
      <c r="I48" s="1050">
        <v>43678</v>
      </c>
      <c r="J48" s="809">
        <v>97.3</v>
      </c>
      <c r="K48" s="809">
        <v>0.52</v>
      </c>
      <c r="L48" s="1050">
        <v>45261</v>
      </c>
      <c r="M48" s="809">
        <v>127.3</v>
      </c>
      <c r="N48" s="282">
        <f>(M48/J48)*H48*('R3_Hydro_MEFA'!L193/(Macro!$D$16*Macro!$D$20*8)/(E48))^K48</f>
        <v>0</v>
      </c>
      <c r="O48" s="822">
        <v>0.05</v>
      </c>
      <c r="P48" s="282">
        <f t="shared" si="8"/>
        <v>0</v>
      </c>
      <c r="Q48" s="657">
        <f>IF(IF(Macro!$H$14=1,5,Macro!T75)=0,5,IF(Macro!$H$14=1,5,Macro!T114))</f>
        <v>5</v>
      </c>
      <c r="R48" s="282">
        <f t="shared" si="9"/>
        <v>0</v>
      </c>
      <c r="S48" t="s">
        <v>140</v>
      </c>
      <c r="T48" s="262"/>
    </row>
    <row r="49" spans="1:20" ht="16.2" x14ac:dyDescent="0.3">
      <c r="A49" s="1140"/>
      <c r="B49" s="286" t="s">
        <v>1026</v>
      </c>
      <c r="C49" s="286" t="s">
        <v>478</v>
      </c>
      <c r="D49" s="286" t="s">
        <v>465</v>
      </c>
      <c r="E49" s="809">
        <v>10</v>
      </c>
      <c r="F49" s="819">
        <v>35000</v>
      </c>
      <c r="G49" s="822">
        <v>1</v>
      </c>
      <c r="H49" s="282">
        <f t="shared" si="12"/>
        <v>70000</v>
      </c>
      <c r="I49" s="1050">
        <v>43678</v>
      </c>
      <c r="J49" s="809">
        <v>97.3</v>
      </c>
      <c r="K49" s="809">
        <v>0.75</v>
      </c>
      <c r="L49" s="1050">
        <v>45261</v>
      </c>
      <c r="M49" s="809">
        <v>127.3</v>
      </c>
      <c r="N49" s="282">
        <f>(M49/J49)*H49*('R3_Hydro_MEFA'!L193/(Macro!$D$16*Macro!$D$20*8)/(E49))^K49</f>
        <v>0</v>
      </c>
      <c r="O49" s="822">
        <v>0.05</v>
      </c>
      <c r="P49" s="282">
        <f>O49*N49</f>
        <v>0</v>
      </c>
      <c r="Q49" s="657">
        <f>IF(IF(Macro!$H$14=1,5,Macro!T76)=0,5,IF(Macro!$H$14=1,5,Macro!T115))</f>
        <v>5</v>
      </c>
      <c r="R49" s="282">
        <f t="shared" si="9"/>
        <v>0</v>
      </c>
      <c r="S49" t="s">
        <v>140</v>
      </c>
      <c r="T49" s="262"/>
    </row>
    <row r="50" spans="1:20" ht="15" thickBot="1" x14ac:dyDescent="0.35">
      <c r="A50" s="1141"/>
      <c r="B50" s="273" t="s">
        <v>22</v>
      </c>
      <c r="C50" s="742" t="s">
        <v>406</v>
      </c>
      <c r="D50" s="273" t="s">
        <v>475</v>
      </c>
      <c r="E50" s="828">
        <v>5</v>
      </c>
      <c r="F50" s="820">
        <v>1500000</v>
      </c>
      <c r="G50" s="823">
        <v>1</v>
      </c>
      <c r="H50" s="584">
        <f t="shared" si="12"/>
        <v>3000000</v>
      </c>
      <c r="I50" s="1053">
        <v>43678</v>
      </c>
      <c r="J50" s="828">
        <v>97.3</v>
      </c>
      <c r="K50" s="828">
        <v>0.65</v>
      </c>
      <c r="L50" s="1053">
        <v>45261</v>
      </c>
      <c r="M50" s="828">
        <v>127.3</v>
      </c>
      <c r="N50" s="1037">
        <f>(M50/J50)*H50*('R3_Hydro_MEFA'!C203/(Macro!$D$16*Macro!$D$20*8)/(E50))^K50</f>
        <v>0</v>
      </c>
      <c r="O50" s="823">
        <v>0.05</v>
      </c>
      <c r="P50" s="619">
        <f>O50*N50</f>
        <v>0</v>
      </c>
      <c r="Q50" s="659">
        <f>IF(IF(Macro!$H$14=1,5,Macro!T77)=0,5,IF(Macro!$H$14=1,5,Macro!T116))</f>
        <v>5</v>
      </c>
      <c r="R50" s="619">
        <f t="shared" si="9"/>
        <v>0</v>
      </c>
      <c r="S50" s="273" t="s">
        <v>140</v>
      </c>
      <c r="T50" s="276"/>
    </row>
    <row r="51" spans="1:20" x14ac:dyDescent="0.3">
      <c r="N51" s="283">
        <f>SUM(N12:N50)</f>
        <v>21975503.026379831</v>
      </c>
      <c r="P51" s="283">
        <f>SUM(P12:P50)</f>
        <v>1061761.9628027244</v>
      </c>
      <c r="Q51" s="283"/>
      <c r="R51" s="283">
        <f>SUM(R12:R50)</f>
        <v>4395100.6052759653</v>
      </c>
    </row>
    <row r="52" spans="1:20" ht="21.6" thickBot="1" x14ac:dyDescent="0.35">
      <c r="A52" s="63" t="s">
        <v>680</v>
      </c>
    </row>
    <row r="53" spans="1:20" ht="72.599999999999994" thickBot="1" x14ac:dyDescent="0.35">
      <c r="A53" s="284" t="s">
        <v>80</v>
      </c>
      <c r="B53" s="379" t="s">
        <v>481</v>
      </c>
      <c r="C53" s="379" t="s">
        <v>681</v>
      </c>
      <c r="D53" s="379" t="s">
        <v>682</v>
      </c>
      <c r="E53" s="379" t="s">
        <v>620</v>
      </c>
      <c r="F53" s="379" t="s">
        <v>485</v>
      </c>
      <c r="G53" s="379" t="s">
        <v>486</v>
      </c>
      <c r="H53" s="379" t="s">
        <v>621</v>
      </c>
      <c r="I53" s="379" t="s">
        <v>622</v>
      </c>
      <c r="J53" s="379" t="s">
        <v>623</v>
      </c>
      <c r="K53" s="380" t="s">
        <v>490</v>
      </c>
    </row>
    <row r="54" spans="1:20" x14ac:dyDescent="0.3">
      <c r="A54" s="1136" t="s">
        <v>248</v>
      </c>
      <c r="B54" s="68" t="s">
        <v>491</v>
      </c>
      <c r="C54" s="660">
        <f>ROUNDUP(E6/(210*8*E15)+E6/(210*8*2),0)</f>
        <v>91</v>
      </c>
      <c r="D54" s="898">
        <v>40000</v>
      </c>
      <c r="E54" s="824">
        <v>0.2</v>
      </c>
      <c r="F54" s="824">
        <v>0.5</v>
      </c>
      <c r="G54" s="270">
        <f>IF($E$9&gt;250,($E$9-250)/$E$9*0.5,0)</f>
        <v>0.12121212121212122</v>
      </c>
      <c r="H54" s="901">
        <f>(1+F54+E54+G54)*D54</f>
        <v>72848.484848484848</v>
      </c>
      <c r="I54" s="381">
        <f>H54/Macro!$D$16/8</f>
        <v>27.594123048668504</v>
      </c>
      <c r="J54" s="901">
        <f>H54*C54*(1+IF(Macro!D18=3,1/3,0))</f>
        <v>6629212.1212121211</v>
      </c>
      <c r="K54" s="271"/>
    </row>
    <row r="55" spans="1:20" ht="15" thickBot="1" x14ac:dyDescent="0.35">
      <c r="A55" s="1138"/>
      <c r="B55" s="776" t="s">
        <v>492</v>
      </c>
      <c r="C55">
        <f>ROUNDUP(E6/(210*8*E15)+E6/(210*8*2),0)</f>
        <v>91</v>
      </c>
      <c r="D55" s="899">
        <v>60000</v>
      </c>
      <c r="E55" s="823">
        <v>0.2</v>
      </c>
      <c r="F55" s="823">
        <v>0.5</v>
      </c>
      <c r="G55" s="275">
        <f t="shared" ref="G55:G63" si="13">IF($E$9&gt;250,($E$9-250)/$E$9*0.5,0)</f>
        <v>0.12121212121212122</v>
      </c>
      <c r="H55" s="902">
        <f t="shared" ref="H55:H63" si="14">(1+F55+E55+G55)*D55</f>
        <v>109272.72727272728</v>
      </c>
      <c r="I55" s="383">
        <f>H55/Macro!$D$16/8</f>
        <v>41.391184573002761</v>
      </c>
      <c r="J55" s="902">
        <f>H55*C55*(1+IF(Macro!D18=3,1/3,0))</f>
        <v>9943818.1818181816</v>
      </c>
      <c r="K55" s="276"/>
    </row>
    <row r="56" spans="1:20" x14ac:dyDescent="0.3">
      <c r="A56" s="1139" t="s">
        <v>1052</v>
      </c>
      <c r="B56" s="777" t="s">
        <v>493</v>
      </c>
      <c r="C56" s="268">
        <f>2*ROUNDUP(Macro!D16/210,0)*Macro!D20</f>
        <v>12</v>
      </c>
      <c r="D56" s="898">
        <v>40000</v>
      </c>
      <c r="E56" s="824">
        <v>0.2</v>
      </c>
      <c r="F56" s="824">
        <v>0.5</v>
      </c>
      <c r="G56" s="270">
        <f t="shared" si="13"/>
        <v>0.12121212121212122</v>
      </c>
      <c r="H56" s="895">
        <f t="shared" si="14"/>
        <v>72848.484848484848</v>
      </c>
      <c r="I56" s="381">
        <f>H56/Macro!$D$16/8</f>
        <v>27.594123048668504</v>
      </c>
      <c r="J56" s="895">
        <f>H56*C56*(1+IF(Macro!D25=3,1/3,0))</f>
        <v>874181.81818181812</v>
      </c>
      <c r="K56" s="271"/>
    </row>
    <row r="57" spans="1:20" ht="15" thickBot="1" x14ac:dyDescent="0.35">
      <c r="A57" s="1140"/>
      <c r="B57" s="121" t="s">
        <v>494</v>
      </c>
      <c r="C57">
        <f>ROUNDUP(Macro!D16/210,0)*Macro!D20</f>
        <v>6</v>
      </c>
      <c r="D57" s="899">
        <v>60000</v>
      </c>
      <c r="E57" s="822">
        <v>0.2</v>
      </c>
      <c r="F57" s="822">
        <v>0.5</v>
      </c>
      <c r="G57" s="256">
        <f t="shared" si="13"/>
        <v>0.12121212121212122</v>
      </c>
      <c r="H57" s="897">
        <f t="shared" si="14"/>
        <v>109272.72727272728</v>
      </c>
      <c r="I57" s="382">
        <f>H57/Macro!$D$16/8</f>
        <v>41.391184573002761</v>
      </c>
      <c r="J57" s="897">
        <f>H57*C57*(1+IF(Macro!D25=3,1/3,0))</f>
        <v>655636.36363636365</v>
      </c>
      <c r="K57" s="262"/>
    </row>
    <row r="58" spans="1:20" x14ac:dyDescent="0.3">
      <c r="A58" s="1139" t="s">
        <v>625</v>
      </c>
      <c r="B58" s="777" t="s">
        <v>493</v>
      </c>
      <c r="C58" s="268">
        <f>IF(Macro!D8=1,1,2)*ROUNDUP(Macro!D16/210,0)*Macro!D20</f>
        <v>12</v>
      </c>
      <c r="D58" s="898">
        <v>40000</v>
      </c>
      <c r="E58" s="824">
        <v>0.2</v>
      </c>
      <c r="F58" s="824">
        <v>0.5</v>
      </c>
      <c r="G58" s="270">
        <f t="shared" si="13"/>
        <v>0.12121212121212122</v>
      </c>
      <c r="H58" s="901">
        <f t="shared" si="14"/>
        <v>72848.484848484848</v>
      </c>
      <c r="I58" s="381">
        <f>H58/Macro!$D$16/8</f>
        <v>27.594123048668504</v>
      </c>
      <c r="J58" s="901">
        <f>H58*C58*(1+IF(Macro!D20=3,1/3,0))</f>
        <v>1165575.7575757573</v>
      </c>
      <c r="K58" s="271"/>
    </row>
    <row r="59" spans="1:20" ht="15" thickBot="1" x14ac:dyDescent="0.35">
      <c r="A59" s="1140"/>
      <c r="B59" t="s">
        <v>494</v>
      </c>
      <c r="C59">
        <f>ROUNDUP(Macro!D16/210,0)*Macro!D20</f>
        <v>6</v>
      </c>
      <c r="D59" s="899">
        <v>60000</v>
      </c>
      <c r="E59" s="822">
        <v>0.2</v>
      </c>
      <c r="F59" s="822">
        <v>0.5</v>
      </c>
      <c r="G59" s="256">
        <f t="shared" si="13"/>
        <v>0.12121212121212122</v>
      </c>
      <c r="H59" s="903">
        <f t="shared" si="14"/>
        <v>109272.72727272728</v>
      </c>
      <c r="I59" s="382">
        <f>H59/Macro!$D$16/8</f>
        <v>41.391184573002761</v>
      </c>
      <c r="J59" s="903">
        <f>H59*C59*(1+IF(Macro!D20=3,1/3,0))</f>
        <v>874181.81818181812</v>
      </c>
      <c r="K59" s="262"/>
    </row>
    <row r="60" spans="1:20" x14ac:dyDescent="0.3">
      <c r="A60" s="1136" t="s">
        <v>495</v>
      </c>
      <c r="B60" s="777" t="s">
        <v>493</v>
      </c>
      <c r="C60" s="268">
        <f>IF(Macro!D8=1,1,2)*ROUNDUP(Macro!D16/210,0)*Macro!D20</f>
        <v>12</v>
      </c>
      <c r="D60" s="898">
        <v>40000</v>
      </c>
      <c r="E60" s="824">
        <v>0.2</v>
      </c>
      <c r="F60" s="824">
        <v>0.5</v>
      </c>
      <c r="G60" s="270">
        <f t="shared" si="13"/>
        <v>0.12121212121212122</v>
      </c>
      <c r="H60" s="901">
        <f t="shared" ref="H60:H61" si="15">(1+F60+E60+G60)*D60</f>
        <v>72848.484848484848</v>
      </c>
      <c r="I60" s="381">
        <f>H60/Macro!$D$16/8</f>
        <v>27.594123048668504</v>
      </c>
      <c r="J60" s="901">
        <f>H60*C60*(1+IF(Macro!D18=3,1/3,0))</f>
        <v>874181.81818181812</v>
      </c>
      <c r="K60" s="271"/>
    </row>
    <row r="61" spans="1:20" ht="15" thickBot="1" x14ac:dyDescent="0.35">
      <c r="A61" s="1138"/>
      <c r="B61" s="273" t="s">
        <v>494</v>
      </c>
      <c r="C61" s="273">
        <f>ROUNDUP(Macro!D16/210,0)*Macro!D20</f>
        <v>6</v>
      </c>
      <c r="D61" s="899">
        <v>60000</v>
      </c>
      <c r="E61" s="823">
        <v>0.2</v>
      </c>
      <c r="F61" s="823">
        <v>0.5</v>
      </c>
      <c r="G61" s="275">
        <f t="shared" si="13"/>
        <v>0.12121212121212122</v>
      </c>
      <c r="H61" s="902">
        <f t="shared" si="15"/>
        <v>109272.72727272728</v>
      </c>
      <c r="I61" s="383">
        <f>H61/Macro!$D$16/8</f>
        <v>41.391184573002761</v>
      </c>
      <c r="J61" s="902">
        <f>H61*C61*(1+IF(Macro!D18=3,1/3,0))</f>
        <v>655636.36363636365</v>
      </c>
      <c r="K61" s="276"/>
    </row>
    <row r="62" spans="1:20" x14ac:dyDescent="0.3">
      <c r="A62" s="1136" t="s">
        <v>496</v>
      </c>
      <c r="B62" s="777" t="s">
        <v>493</v>
      </c>
      <c r="C62" s="268">
        <f>IF(Macro!D8=1,1,2)*ROUNDUP(Macro!D16/210,0)*Macro!D20</f>
        <v>12</v>
      </c>
      <c r="D62" s="898">
        <v>40000</v>
      </c>
      <c r="E62" s="824">
        <v>0.2</v>
      </c>
      <c r="F62" s="824">
        <v>0.5</v>
      </c>
      <c r="G62" s="270">
        <f t="shared" si="13"/>
        <v>0.12121212121212122</v>
      </c>
      <c r="H62" s="901">
        <f t="shared" si="14"/>
        <v>72848.484848484848</v>
      </c>
      <c r="I62" s="381">
        <f>H62/Macro!$D$16/8</f>
        <v>27.594123048668504</v>
      </c>
      <c r="J62" s="901">
        <f>H62*C62*(1+IF(Macro!D20=3,1/3,0))</f>
        <v>1165575.7575757573</v>
      </c>
      <c r="K62" s="271"/>
    </row>
    <row r="63" spans="1:20" ht="15" thickBot="1" x14ac:dyDescent="0.35">
      <c r="A63" s="1138"/>
      <c r="B63" s="273" t="s">
        <v>494</v>
      </c>
      <c r="C63" s="273">
        <f>ROUNDUP(Macro!D16/210,0)*Macro!D20</f>
        <v>6</v>
      </c>
      <c r="D63" s="899">
        <v>60000</v>
      </c>
      <c r="E63" s="823">
        <v>0.2</v>
      </c>
      <c r="F63" s="823">
        <v>0.5</v>
      </c>
      <c r="G63" s="275">
        <f t="shared" si="13"/>
        <v>0.12121212121212122</v>
      </c>
      <c r="H63" s="902">
        <f t="shared" si="14"/>
        <v>109272.72727272728</v>
      </c>
      <c r="I63" s="383">
        <f>H63/Macro!$D$16/8</f>
        <v>41.391184573002761</v>
      </c>
      <c r="J63" s="902">
        <f>H63*C63*(1+IF(Macro!D20=3,1/3,0))</f>
        <v>874181.81818181812</v>
      </c>
      <c r="K63" s="276"/>
    </row>
    <row r="64" spans="1:20" x14ac:dyDescent="0.3">
      <c r="J64" s="903">
        <f>SUM(J54:J63)</f>
        <v>23712181.818181813</v>
      </c>
    </row>
  </sheetData>
  <mergeCells count="11">
    <mergeCell ref="A12:A15"/>
    <mergeCell ref="A62:A63"/>
    <mergeCell ref="A16:A17"/>
    <mergeCell ref="A54:A55"/>
    <mergeCell ref="A58:A59"/>
    <mergeCell ref="A18:A21"/>
    <mergeCell ref="A22:A25"/>
    <mergeCell ref="A26:A37"/>
    <mergeCell ref="A38:A50"/>
    <mergeCell ref="A56:A57"/>
    <mergeCell ref="A60:A61"/>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3">
    <tabColor theme="0" tint="-0.499984740745262"/>
  </sheetPr>
  <dimension ref="A1:X179"/>
  <sheetViews>
    <sheetView zoomScale="70" zoomScaleNormal="70" workbookViewId="0">
      <selection activeCell="C2" sqref="C2"/>
    </sheetView>
  </sheetViews>
  <sheetFormatPr baseColWidth="10" defaultColWidth="11.44140625" defaultRowHeight="14.4" x14ac:dyDescent="0.3"/>
  <cols>
    <col min="1" max="1" width="61.44140625" bestFit="1" customWidth="1"/>
    <col min="2" max="2" width="46.77734375" bestFit="1" customWidth="1"/>
    <col min="3" max="3" width="48.44140625" bestFit="1" customWidth="1"/>
    <col min="4" max="4" width="12.44140625" bestFit="1" customWidth="1"/>
    <col min="5" max="5" width="12.44140625" customWidth="1"/>
    <col min="6" max="6" width="31.6640625" bestFit="1" customWidth="1"/>
    <col min="7" max="7" width="22.44140625" bestFit="1" customWidth="1"/>
    <col min="8" max="8" width="20.109375" bestFit="1" customWidth="1"/>
    <col min="9" max="10" width="15.109375" customWidth="1"/>
    <col min="11" max="11" width="17.44140625" customWidth="1"/>
    <col min="12" max="12" width="25" style="180" bestFit="1" customWidth="1"/>
    <col min="13" max="13" width="31.77734375" style="180" customWidth="1"/>
    <col min="14" max="19" width="20.6640625" customWidth="1"/>
    <col min="20" max="20" width="45.44140625" bestFit="1" customWidth="1"/>
    <col min="21" max="21" width="44.77734375" bestFit="1" customWidth="1"/>
    <col min="22" max="22" width="21.109375" customWidth="1"/>
  </cols>
  <sheetData>
    <row r="1" spans="1:24" ht="21" x14ac:dyDescent="0.4">
      <c r="A1" s="188" t="s">
        <v>683</v>
      </c>
    </row>
    <row r="2" spans="1:24" ht="18" x14ac:dyDescent="0.35">
      <c r="A2" s="290"/>
    </row>
    <row r="3" spans="1:24" ht="21.6" thickBot="1" x14ac:dyDescent="0.45">
      <c r="A3" s="188" t="s">
        <v>101</v>
      </c>
    </row>
    <row r="4" spans="1:24" s="545" customFormat="1" ht="58.2" thickBot="1" x14ac:dyDescent="0.35">
      <c r="A4" s="646" t="s">
        <v>480</v>
      </c>
      <c r="B4" s="646" t="s">
        <v>281</v>
      </c>
      <c r="C4" s="646" t="s">
        <v>684</v>
      </c>
      <c r="D4" s="646" t="s">
        <v>1054</v>
      </c>
      <c r="E4" s="646" t="s">
        <v>1055</v>
      </c>
      <c r="F4" s="646" t="s">
        <v>252</v>
      </c>
      <c r="G4" s="646" t="s">
        <v>685</v>
      </c>
      <c r="H4" s="646" t="s">
        <v>686</v>
      </c>
      <c r="I4" s="646" t="s">
        <v>687</v>
      </c>
      <c r="J4" s="646" t="s">
        <v>688</v>
      </c>
      <c r="K4" s="646" t="s">
        <v>252</v>
      </c>
      <c r="L4" s="651" t="s">
        <v>689</v>
      </c>
      <c r="M4" s="651" t="s">
        <v>690</v>
      </c>
      <c r="N4" s="646" t="s">
        <v>691</v>
      </c>
      <c r="O4" s="646" t="s">
        <v>692</v>
      </c>
      <c r="P4" s="652" t="s">
        <v>693</v>
      </c>
      <c r="Q4" s="646" t="s">
        <v>1056</v>
      </c>
      <c r="R4" s="646" t="s">
        <v>1053</v>
      </c>
      <c r="S4" s="646" t="s">
        <v>695</v>
      </c>
      <c r="T4" s="646" t="s">
        <v>606</v>
      </c>
      <c r="U4" s="646" t="s">
        <v>322</v>
      </c>
    </row>
    <row r="5" spans="1:24" x14ac:dyDescent="0.3">
      <c r="A5" s="1136" t="s">
        <v>248</v>
      </c>
      <c r="B5" s="267" t="s">
        <v>163</v>
      </c>
      <c r="C5" s="267" t="s">
        <v>696</v>
      </c>
      <c r="D5" s="845">
        <v>6</v>
      </c>
      <c r="E5" s="845"/>
      <c r="F5" s="267" t="s">
        <v>1040</v>
      </c>
      <c r="G5" s="277"/>
      <c r="H5" s="551"/>
      <c r="I5" s="539"/>
      <c r="J5" s="539"/>
      <c r="K5" s="539"/>
      <c r="L5" s="277"/>
      <c r="M5" s="559"/>
      <c r="N5" s="544"/>
      <c r="O5" s="544"/>
      <c r="P5" s="580"/>
      <c r="Q5" s="544"/>
      <c r="R5" s="544"/>
      <c r="S5" s="544"/>
      <c r="T5" s="268"/>
      <c r="U5" s="271"/>
    </row>
    <row r="6" spans="1:24" x14ac:dyDescent="0.3">
      <c r="A6" s="1137"/>
      <c r="B6" s="286" t="s">
        <v>164</v>
      </c>
      <c r="C6" s="286" t="s">
        <v>451</v>
      </c>
      <c r="D6" s="825">
        <v>0.33333333333333331</v>
      </c>
      <c r="E6" s="825"/>
      <c r="F6" s="286" t="s">
        <v>1040</v>
      </c>
      <c r="G6" s="180"/>
      <c r="H6" s="546"/>
      <c r="I6" s="540"/>
      <c r="J6" s="540"/>
      <c r="K6" s="540"/>
      <c r="M6" s="560"/>
      <c r="N6" s="457"/>
      <c r="O6" s="457"/>
      <c r="P6" s="581"/>
      <c r="Q6" s="457"/>
      <c r="R6" s="457"/>
      <c r="S6" s="457"/>
      <c r="U6" s="262"/>
    </row>
    <row r="7" spans="1:24" x14ac:dyDescent="0.3">
      <c r="A7" s="1137"/>
      <c r="B7" s="286" t="s">
        <v>165</v>
      </c>
      <c r="C7" s="286" t="s">
        <v>453</v>
      </c>
      <c r="D7" s="825">
        <v>6</v>
      </c>
      <c r="E7" s="825"/>
      <c r="F7" s="286" t="s">
        <v>1041</v>
      </c>
      <c r="G7" s="180"/>
      <c r="H7" s="546"/>
      <c r="I7" s="540"/>
      <c r="J7" s="540"/>
      <c r="K7" s="540"/>
      <c r="M7" s="560"/>
      <c r="N7" s="457"/>
      <c r="O7" s="457"/>
      <c r="P7" s="581"/>
      <c r="Q7" s="457"/>
      <c r="R7" s="457"/>
      <c r="S7" s="457"/>
      <c r="U7" s="262"/>
    </row>
    <row r="8" spans="1:24" x14ac:dyDescent="0.3">
      <c r="A8" s="1137"/>
      <c r="B8" s="286" t="s">
        <v>286</v>
      </c>
      <c r="C8" s="286" t="s">
        <v>697</v>
      </c>
      <c r="D8" s="825">
        <v>0.27</v>
      </c>
      <c r="E8" s="825"/>
      <c r="F8" s="286" t="s">
        <v>1040</v>
      </c>
      <c r="G8" s="180"/>
      <c r="H8" s="546"/>
      <c r="I8" s="540"/>
      <c r="J8" s="540"/>
      <c r="K8" s="540"/>
      <c r="M8" s="560"/>
      <c r="N8" s="457"/>
      <c r="O8" s="457"/>
      <c r="P8" s="581"/>
      <c r="Q8" s="457"/>
      <c r="R8" s="457"/>
      <c r="S8" s="457"/>
      <c r="U8" s="262"/>
    </row>
    <row r="9" spans="1:24" ht="15" thickBot="1" x14ac:dyDescent="0.35">
      <c r="A9" s="1138"/>
      <c r="B9" s="287" t="s">
        <v>248</v>
      </c>
      <c r="C9" s="287" t="s">
        <v>698</v>
      </c>
      <c r="D9" s="826">
        <v>0.5</v>
      </c>
      <c r="E9" s="826"/>
      <c r="F9" s="287" t="s">
        <v>1040</v>
      </c>
      <c r="G9" s="278"/>
      <c r="H9" s="548"/>
      <c r="I9" s="542"/>
      <c r="J9" s="542"/>
      <c r="K9" s="542"/>
      <c r="L9" s="278"/>
      <c r="M9" s="561"/>
      <c r="N9" s="554"/>
      <c r="O9" s="554"/>
      <c r="P9" s="582"/>
      <c r="Q9" s="554"/>
      <c r="R9" s="554"/>
      <c r="S9" s="554"/>
      <c r="T9" s="273"/>
      <c r="U9" s="276"/>
    </row>
    <row r="10" spans="1:24" x14ac:dyDescent="0.3">
      <c r="A10" s="1136" t="s">
        <v>249</v>
      </c>
      <c r="B10" s="286" t="s">
        <v>699</v>
      </c>
      <c r="C10" s="286" t="s">
        <v>700</v>
      </c>
      <c r="D10" s="180"/>
      <c r="E10" s="180"/>
      <c r="F10" s="286"/>
      <c r="G10" s="180"/>
      <c r="H10" s="546"/>
      <c r="I10" s="547"/>
      <c r="J10" s="495"/>
      <c r="K10" s="547"/>
      <c r="M10" s="563"/>
      <c r="N10" s="495"/>
      <c r="O10" s="495"/>
      <c r="P10" s="583"/>
      <c r="Q10" s="457"/>
      <c r="R10" s="457"/>
      <c r="S10" s="457"/>
      <c r="U10" s="262"/>
    </row>
    <row r="11" spans="1:24" x14ac:dyDescent="0.3">
      <c r="A11" s="1137"/>
      <c r="B11" s="286" t="s">
        <v>185</v>
      </c>
      <c r="C11" s="286" t="s">
        <v>671</v>
      </c>
      <c r="D11" s="825">
        <v>1.5</v>
      </c>
      <c r="E11" s="825"/>
      <c r="F11" s="286" t="s">
        <v>1045</v>
      </c>
      <c r="G11" s="846">
        <v>5</v>
      </c>
      <c r="H11" s="822">
        <v>0.4</v>
      </c>
      <c r="I11" s="653">
        <f>(1+H11)*G11</f>
        <v>7</v>
      </c>
      <c r="J11" s="495">
        <f>N11/O11</f>
        <v>5.476583225444644</v>
      </c>
      <c r="K11" s="547" t="s">
        <v>1045</v>
      </c>
      <c r="L11" s="825">
        <v>0.8</v>
      </c>
      <c r="M11" s="563">
        <f>I11*(J11/D11)^L11</f>
        <v>19.725716461198029</v>
      </c>
      <c r="N11" s="575">
        <f>'R1_MEFA'!C6</f>
        <v>43374.539145521579</v>
      </c>
      <c r="O11" s="575">
        <f>Macro!$D$16*Macro!$D$20*8</f>
        <v>7920</v>
      </c>
      <c r="P11" s="640">
        <f>O11*G11/(D11/J11)</f>
        <v>144581.7971517386</v>
      </c>
      <c r="Q11" s="495"/>
      <c r="R11" s="495"/>
      <c r="S11" s="495">
        <f>N11/J11</f>
        <v>7920</v>
      </c>
      <c r="T11" t="s">
        <v>454</v>
      </c>
      <c r="U11" s="262"/>
    </row>
    <row r="12" spans="1:24" x14ac:dyDescent="0.3">
      <c r="A12" s="1137"/>
      <c r="B12" s="286" t="s">
        <v>672</v>
      </c>
      <c r="C12" s="286" t="s">
        <v>673</v>
      </c>
      <c r="D12" s="825">
        <v>20</v>
      </c>
      <c r="E12" s="825"/>
      <c r="F12" s="286" t="s">
        <v>501</v>
      </c>
      <c r="G12" s="846">
        <v>200</v>
      </c>
      <c r="H12" s="822">
        <v>0</v>
      </c>
      <c r="I12" s="547">
        <f t="shared" ref="I12:I23" si="0">(1+H12)*G12</f>
        <v>200</v>
      </c>
      <c r="J12" s="495">
        <f t="shared" ref="J12:J23" si="1">N12/O12</f>
        <v>0.60502288992724917</v>
      </c>
      <c r="K12" s="547" t="s">
        <v>501</v>
      </c>
      <c r="L12" s="825">
        <v>0.8</v>
      </c>
      <c r="M12" s="563">
        <f>I12*(J12/D12)^L12</f>
        <v>12.179331284737563</v>
      </c>
      <c r="N12" s="575">
        <f>'R1_MEFA'!$C$54</f>
        <v>4791.7812882238131</v>
      </c>
      <c r="O12" s="575">
        <f>Macro!$D$16*Macro!$D$20*8</f>
        <v>7920</v>
      </c>
      <c r="P12" s="640">
        <f>O12*G12/(D12/J12)</f>
        <v>47917.812882238133</v>
      </c>
      <c r="Q12" s="495"/>
      <c r="R12" s="495"/>
      <c r="S12" s="495"/>
      <c r="T12" t="s">
        <v>701</v>
      </c>
      <c r="U12" s="262"/>
    </row>
    <row r="13" spans="1:24" ht="15" thickBot="1" x14ac:dyDescent="0.35">
      <c r="A13" s="1137"/>
      <c r="B13" s="286" t="s">
        <v>672</v>
      </c>
      <c r="C13" s="286" t="s">
        <v>674</v>
      </c>
      <c r="D13" s="825">
        <v>20</v>
      </c>
      <c r="E13" s="825"/>
      <c r="F13" s="286" t="s">
        <v>501</v>
      </c>
      <c r="G13" s="846">
        <v>200</v>
      </c>
      <c r="H13" s="822">
        <v>0</v>
      </c>
      <c r="I13" s="547">
        <f>(1+H13)*G13</f>
        <v>200</v>
      </c>
      <c r="J13" s="495">
        <f>N13/O13</f>
        <v>0</v>
      </c>
      <c r="K13" s="547" t="s">
        <v>501</v>
      </c>
      <c r="L13" s="825">
        <v>0.8</v>
      </c>
      <c r="M13" s="563">
        <f>I13*(J13/D13)^L13</f>
        <v>0</v>
      </c>
      <c r="N13" s="575">
        <f>'R1_MEFA'!$C$59</f>
        <v>0</v>
      </c>
      <c r="O13" s="575">
        <f>Macro!$D$16*Macro!$D$20*8</f>
        <v>7920</v>
      </c>
      <c r="P13" s="640" t="e">
        <f>O13*G13/(D13/J13)</f>
        <v>#DIV/0!</v>
      </c>
      <c r="Q13" s="495"/>
      <c r="R13" s="495"/>
      <c r="S13" s="495"/>
      <c r="T13" t="s">
        <v>701</v>
      </c>
      <c r="U13" s="262"/>
    </row>
    <row r="14" spans="1:24" ht="16.2" x14ac:dyDescent="0.3">
      <c r="A14" s="1139" t="s">
        <v>495</v>
      </c>
      <c r="B14" s="777" t="s">
        <v>464</v>
      </c>
      <c r="C14" s="268" t="s">
        <v>333</v>
      </c>
      <c r="D14" s="827">
        <v>2</v>
      </c>
      <c r="E14" s="827"/>
      <c r="F14" s="267" t="s">
        <v>465</v>
      </c>
      <c r="G14" s="827">
        <v>350</v>
      </c>
      <c r="H14" s="824">
        <v>0.4</v>
      </c>
      <c r="I14" s="552">
        <f>(1+H14)*(G14/800*140)</f>
        <v>85.75</v>
      </c>
      <c r="J14" s="553">
        <f>N14/O14*Q14</f>
        <v>0.86811785793364094</v>
      </c>
      <c r="K14" s="552" t="s">
        <v>430</v>
      </c>
      <c r="L14" s="845">
        <v>0.8</v>
      </c>
      <c r="M14" s="562">
        <f>I14*(J14/D14)^L14</f>
        <v>43.981808603142703</v>
      </c>
      <c r="N14" s="637">
        <f>'R1_Hydro_MEFA'!$L$19</f>
        <v>3437.746717417218</v>
      </c>
      <c r="O14" s="637">
        <f>Macro!$D$16*Macro!$D$20*8</f>
        <v>7920</v>
      </c>
      <c r="P14" s="639">
        <f t="shared" ref="P14:P23" si="2">M14*O14</f>
        <v>348335.92413689021</v>
      </c>
      <c r="Q14" s="847">
        <f>120/60</f>
        <v>2</v>
      </c>
      <c r="R14" s="847"/>
      <c r="S14" s="553">
        <f t="shared" ref="S14:S23" si="3">N14/J14</f>
        <v>3960</v>
      </c>
      <c r="T14" s="268" t="s">
        <v>140</v>
      </c>
      <c r="U14" s="271"/>
      <c r="X14" s="557"/>
    </row>
    <row r="15" spans="1:24" ht="16.2" x14ac:dyDescent="0.3">
      <c r="A15" s="1140"/>
      <c r="B15" s="121" t="s">
        <v>205</v>
      </c>
      <c r="C15" t="s">
        <v>466</v>
      </c>
      <c r="D15" s="809">
        <v>10</v>
      </c>
      <c r="E15" s="809"/>
      <c r="F15" s="286" t="s">
        <v>465</v>
      </c>
      <c r="G15" s="809">
        <v>24</v>
      </c>
      <c r="H15" s="822">
        <v>0.4</v>
      </c>
      <c r="I15" s="540">
        <f t="shared" si="0"/>
        <v>33.599999999999994</v>
      </c>
      <c r="J15" s="457">
        <f t="shared" si="1"/>
        <v>4.6429876652205495</v>
      </c>
      <c r="K15" s="540" t="s">
        <v>430</v>
      </c>
      <c r="L15" s="825">
        <v>0.8</v>
      </c>
      <c r="M15" s="563">
        <f t="shared" ref="M15:M23" si="4">I15*(J15/D15)^L15</f>
        <v>18.187679867218744</v>
      </c>
      <c r="N15" s="575">
        <f>'R1_Hydro_MEFA'!$L$26</f>
        <v>36772.462308546754</v>
      </c>
      <c r="O15" s="575">
        <f>Macro!$D$16*Macro!$D$20*8</f>
        <v>7920</v>
      </c>
      <c r="P15" s="640">
        <f t="shared" si="2"/>
        <v>144046.42454837245</v>
      </c>
      <c r="Q15" s="848">
        <f>15/60</f>
        <v>0.25</v>
      </c>
      <c r="R15" s="848"/>
      <c r="S15" s="576">
        <f t="shared" si="3"/>
        <v>7920</v>
      </c>
      <c r="T15" t="s">
        <v>140</v>
      </c>
      <c r="U15" s="262"/>
      <c r="X15" s="557"/>
    </row>
    <row r="16" spans="1:24" ht="16.2" x14ac:dyDescent="0.3">
      <c r="A16" s="1140"/>
      <c r="B16" t="s">
        <v>211</v>
      </c>
      <c r="C16" t="s">
        <v>466</v>
      </c>
      <c r="D16" s="809">
        <v>10</v>
      </c>
      <c r="E16" s="809"/>
      <c r="F16" s="286" t="s">
        <v>465</v>
      </c>
      <c r="G16" s="809">
        <v>24</v>
      </c>
      <c r="H16" s="822">
        <v>0.4</v>
      </c>
      <c r="I16" s="540">
        <f t="shared" si="0"/>
        <v>33.599999999999994</v>
      </c>
      <c r="J16" s="457">
        <f t="shared" si="1"/>
        <v>4.7777751425989807</v>
      </c>
      <c r="K16" s="540" t="s">
        <v>430</v>
      </c>
      <c r="L16" s="825">
        <v>0.8</v>
      </c>
      <c r="M16" s="563">
        <f>I16*(J16/D16)^L16</f>
        <v>18.60886317525026</v>
      </c>
      <c r="N16" s="575">
        <f>'R1_Hydro_MEFA'!$L$33</f>
        <v>37839.97912938393</v>
      </c>
      <c r="O16" s="575">
        <f>Macro!$D$16*Macro!$D$20*8</f>
        <v>7920</v>
      </c>
      <c r="P16" s="640">
        <f t="shared" si="2"/>
        <v>147382.19634798207</v>
      </c>
      <c r="Q16" s="849">
        <f>60/60</f>
        <v>1</v>
      </c>
      <c r="R16" s="849"/>
      <c r="S16" s="495">
        <f t="shared" si="3"/>
        <v>7920.0000000000009</v>
      </c>
      <c r="T16" t="s">
        <v>140</v>
      </c>
      <c r="U16" s="262"/>
      <c r="X16" s="493"/>
    </row>
    <row r="17" spans="1:24" ht="16.2" x14ac:dyDescent="0.3">
      <c r="A17" s="1140"/>
      <c r="B17" t="s">
        <v>212</v>
      </c>
      <c r="C17" t="s">
        <v>467</v>
      </c>
      <c r="D17" s="809">
        <v>10</v>
      </c>
      <c r="E17" s="809"/>
      <c r="F17" s="286" t="s">
        <v>465</v>
      </c>
      <c r="G17" s="809">
        <v>18.5</v>
      </c>
      <c r="H17" s="822">
        <v>0.4</v>
      </c>
      <c r="I17" s="540">
        <f t="shared" si="0"/>
        <v>25.9</v>
      </c>
      <c r="J17" s="457">
        <f t="shared" si="1"/>
        <v>4.7777751425989807</v>
      </c>
      <c r="K17" s="540" t="s">
        <v>430</v>
      </c>
      <c r="L17" s="825">
        <v>0.8</v>
      </c>
      <c r="M17" s="563">
        <f t="shared" si="4"/>
        <v>14.344332030922079</v>
      </c>
      <c r="N17" s="575">
        <f>'R1_Hydro_MEFA'!$L$33</f>
        <v>37839.97912938393</v>
      </c>
      <c r="O17" s="575">
        <f>Macro!$D$16*Macro!$D$20*8</f>
        <v>7920</v>
      </c>
      <c r="P17" s="640">
        <f t="shared" si="2"/>
        <v>113607.10968490287</v>
      </c>
      <c r="Q17" s="849">
        <f>10/60</f>
        <v>0.16666666666666666</v>
      </c>
      <c r="R17" s="849"/>
      <c r="S17" s="495">
        <f t="shared" si="3"/>
        <v>7920.0000000000009</v>
      </c>
      <c r="T17" t="s">
        <v>140</v>
      </c>
      <c r="U17" s="262"/>
      <c r="X17" s="493"/>
    </row>
    <row r="18" spans="1:24" ht="16.2" x14ac:dyDescent="0.3">
      <c r="A18" s="1140"/>
      <c r="B18" t="s">
        <v>346</v>
      </c>
      <c r="C18" t="s">
        <v>466</v>
      </c>
      <c r="D18" s="809">
        <v>10</v>
      </c>
      <c r="E18" s="809"/>
      <c r="F18" s="286" t="s">
        <v>465</v>
      </c>
      <c r="G18" s="809">
        <v>24</v>
      </c>
      <c r="H18" s="822">
        <v>0.4</v>
      </c>
      <c r="I18" s="540">
        <f t="shared" si="0"/>
        <v>33.599999999999994</v>
      </c>
      <c r="J18" s="457">
        <f t="shared" si="1"/>
        <v>4.8380192565589333</v>
      </c>
      <c r="K18" s="540" t="s">
        <v>430</v>
      </c>
      <c r="L18" s="825">
        <v>0.8</v>
      </c>
      <c r="M18" s="563">
        <f t="shared" si="4"/>
        <v>18.796342565773628</v>
      </c>
      <c r="N18" s="575">
        <f>'R1_Hydro_MEFA'!$L$48</f>
        <v>38317.112511946754</v>
      </c>
      <c r="O18" s="575">
        <f>Macro!$D$16*Macro!$D$20*8</f>
        <v>7920</v>
      </c>
      <c r="P18" s="640">
        <f t="shared" si="2"/>
        <v>148867.03312092714</v>
      </c>
      <c r="Q18" s="849">
        <f>15/60</f>
        <v>0.25</v>
      </c>
      <c r="R18" s="849"/>
      <c r="S18" s="495">
        <f t="shared" si="3"/>
        <v>7920.0000000000009</v>
      </c>
      <c r="T18" t="s">
        <v>140</v>
      </c>
      <c r="U18" s="262"/>
      <c r="X18" s="493"/>
    </row>
    <row r="19" spans="1:24" ht="16.2" x14ac:dyDescent="0.3">
      <c r="A19" s="1140"/>
      <c r="B19" s="121" t="s">
        <v>468</v>
      </c>
      <c r="C19" t="s">
        <v>466</v>
      </c>
      <c r="D19" s="809">
        <v>10</v>
      </c>
      <c r="E19" s="809"/>
      <c r="F19" s="286" t="s">
        <v>465</v>
      </c>
      <c r="G19" s="809">
        <v>24</v>
      </c>
      <c r="H19" s="822">
        <v>0.4</v>
      </c>
      <c r="I19" s="540">
        <f t="shared" si="0"/>
        <v>33.599999999999994</v>
      </c>
      <c r="J19" s="457">
        <f t="shared" si="1"/>
        <v>5.660254860659653</v>
      </c>
      <c r="K19" s="540" t="s">
        <v>430</v>
      </c>
      <c r="L19" s="825">
        <v>0.8</v>
      </c>
      <c r="M19" s="563">
        <f t="shared" si="4"/>
        <v>21.311207930478346</v>
      </c>
      <c r="N19" s="575">
        <f>'R1_Hydro_MEFA'!$L$55</f>
        <v>44829.218496424452</v>
      </c>
      <c r="O19" s="575">
        <f>Macro!$D$16*Macro!$D$20*8</f>
        <v>7920</v>
      </c>
      <c r="P19" s="640">
        <f t="shared" si="2"/>
        <v>168784.7668093885</v>
      </c>
      <c r="Q19" s="849">
        <f>30/60</f>
        <v>0.5</v>
      </c>
      <c r="R19" s="849"/>
      <c r="S19" s="495">
        <f t="shared" si="3"/>
        <v>7920</v>
      </c>
      <c r="T19" t="s">
        <v>140</v>
      </c>
      <c r="U19" s="262"/>
      <c r="X19" s="493"/>
    </row>
    <row r="20" spans="1:24" ht="16.2" x14ac:dyDescent="0.3">
      <c r="A20" s="1140"/>
      <c r="B20" t="s">
        <v>349</v>
      </c>
      <c r="C20" t="s">
        <v>675</v>
      </c>
      <c r="D20" s="809">
        <v>10</v>
      </c>
      <c r="E20" s="809"/>
      <c r="F20" s="286" t="s">
        <v>465</v>
      </c>
      <c r="G20" s="809">
        <v>18.5</v>
      </c>
      <c r="H20" s="822">
        <v>0.4</v>
      </c>
      <c r="I20" s="540">
        <f t="shared" si="0"/>
        <v>25.9</v>
      </c>
      <c r="J20" s="457">
        <f t="shared" si="1"/>
        <v>5.660254860659653</v>
      </c>
      <c r="K20" s="540" t="s">
        <v>430</v>
      </c>
      <c r="L20" s="825">
        <v>0.8</v>
      </c>
      <c r="M20" s="563">
        <f t="shared" si="4"/>
        <v>16.427389446410395</v>
      </c>
      <c r="N20" s="575">
        <f>'R1_Hydro_MEFA'!$L$55</f>
        <v>44829.218496424452</v>
      </c>
      <c r="O20" s="575">
        <f>Macro!$D$16*Macro!$D$20*8</f>
        <v>7920</v>
      </c>
      <c r="P20" s="640">
        <f t="shared" si="2"/>
        <v>130104.92441557032</v>
      </c>
      <c r="Q20" s="849">
        <f>10/60</f>
        <v>0.16666666666666666</v>
      </c>
      <c r="R20" s="849"/>
      <c r="S20" s="495">
        <f t="shared" si="3"/>
        <v>7920</v>
      </c>
      <c r="T20" t="s">
        <v>140</v>
      </c>
      <c r="U20" s="262"/>
      <c r="X20" s="493"/>
    </row>
    <row r="21" spans="1:24" ht="16.2" x14ac:dyDescent="0.3">
      <c r="A21" s="1140"/>
      <c r="B21" t="s">
        <v>471</v>
      </c>
      <c r="C21" t="s">
        <v>466</v>
      </c>
      <c r="D21" s="809">
        <v>10</v>
      </c>
      <c r="E21" s="809"/>
      <c r="F21" s="286" t="s">
        <v>465</v>
      </c>
      <c r="G21" s="809">
        <v>24</v>
      </c>
      <c r="H21" s="822">
        <v>0.4</v>
      </c>
      <c r="I21" s="540">
        <f t="shared" si="0"/>
        <v>33.599999999999994</v>
      </c>
      <c r="J21" s="457">
        <f t="shared" si="1"/>
        <v>4.5568325668745979</v>
      </c>
      <c r="K21" s="540" t="s">
        <v>430</v>
      </c>
      <c r="L21" s="825">
        <v>0.8</v>
      </c>
      <c r="M21" s="563">
        <f t="shared" si="4"/>
        <v>17.91718321070336</v>
      </c>
      <c r="N21" s="493">
        <f>'R1_Hydro_MEFA'!$L$61</f>
        <v>36090.113929646817</v>
      </c>
      <c r="O21" s="575">
        <f>Macro!$D$16*Macro!$D$20*8</f>
        <v>7920</v>
      </c>
      <c r="P21" s="640">
        <f t="shared" si="2"/>
        <v>141904.09102877061</v>
      </c>
      <c r="Q21" s="849">
        <f>10/60</f>
        <v>0.16666666666666666</v>
      </c>
      <c r="R21" s="849"/>
      <c r="S21" s="495">
        <f t="shared" si="3"/>
        <v>7920</v>
      </c>
      <c r="T21" t="s">
        <v>140</v>
      </c>
      <c r="U21" s="262"/>
      <c r="X21" s="493"/>
    </row>
    <row r="22" spans="1:24" ht="16.2" x14ac:dyDescent="0.3">
      <c r="A22" s="1140"/>
      <c r="B22" t="s">
        <v>362</v>
      </c>
      <c r="C22" t="s">
        <v>466</v>
      </c>
      <c r="D22" s="809">
        <v>10</v>
      </c>
      <c r="E22" s="809"/>
      <c r="F22" s="286" t="s">
        <v>465</v>
      </c>
      <c r="G22" s="809">
        <v>24</v>
      </c>
      <c r="H22" s="822">
        <v>0.4</v>
      </c>
      <c r="I22" s="540">
        <f t="shared" si="0"/>
        <v>33.599999999999994</v>
      </c>
      <c r="J22" s="457">
        <f t="shared" si="1"/>
        <v>0.42786901022721452</v>
      </c>
      <c r="K22" s="540" t="s">
        <v>430</v>
      </c>
      <c r="L22" s="825">
        <v>0.8</v>
      </c>
      <c r="M22" s="563">
        <f t="shared" si="4"/>
        <v>2.7001503257992208</v>
      </c>
      <c r="N22" s="493">
        <f>'R1_Hydro_MEFA'!$L$79</f>
        <v>3388.7225609995389</v>
      </c>
      <c r="O22" s="575">
        <f>Macro!$D$16*Macro!$D$20*8</f>
        <v>7920</v>
      </c>
      <c r="P22" s="640">
        <f t="shared" si="2"/>
        <v>21385.190580329829</v>
      </c>
      <c r="Q22" s="849">
        <f t="shared" ref="Q22:Q23" si="5">10/60</f>
        <v>0.16666666666666666</v>
      </c>
      <c r="R22" s="849"/>
      <c r="S22" s="495">
        <f t="shared" si="3"/>
        <v>7920</v>
      </c>
      <c r="T22" t="s">
        <v>140</v>
      </c>
      <c r="U22" s="262"/>
    </row>
    <row r="23" spans="1:24" ht="16.2" x14ac:dyDescent="0.3">
      <c r="A23" s="1140"/>
      <c r="B23" t="s">
        <v>366</v>
      </c>
      <c r="C23" t="s">
        <v>466</v>
      </c>
      <c r="D23" s="809">
        <v>10</v>
      </c>
      <c r="E23" s="809"/>
      <c r="F23" s="286" t="s">
        <v>465</v>
      </c>
      <c r="G23" s="809">
        <v>24</v>
      </c>
      <c r="H23" s="822">
        <v>0.4</v>
      </c>
      <c r="I23" s="540">
        <f t="shared" si="0"/>
        <v>33.599999999999994</v>
      </c>
      <c r="J23" s="457">
        <f t="shared" si="1"/>
        <v>0.42833154486921965</v>
      </c>
      <c r="K23" s="540" t="s">
        <v>430</v>
      </c>
      <c r="L23" s="825">
        <v>0.8</v>
      </c>
      <c r="M23" s="563">
        <f t="shared" si="4"/>
        <v>2.7024852050877715</v>
      </c>
      <c r="N23" s="493">
        <f>'R1_Hydro_MEFA'!$L$85</f>
        <v>3392.3858353642195</v>
      </c>
      <c r="O23" s="575">
        <f>Macro!$D$16*Macro!$D$20*8</f>
        <v>7920</v>
      </c>
      <c r="P23" s="640">
        <f t="shared" si="2"/>
        <v>21403.682824295149</v>
      </c>
      <c r="Q23" s="849">
        <f t="shared" si="5"/>
        <v>0.16666666666666666</v>
      </c>
      <c r="R23" s="849"/>
      <c r="S23" s="495">
        <f t="shared" si="3"/>
        <v>7920</v>
      </c>
      <c r="T23" t="s">
        <v>140</v>
      </c>
      <c r="U23" s="262"/>
    </row>
    <row r="24" spans="1:24" x14ac:dyDescent="0.3">
      <c r="A24" s="1140"/>
      <c r="B24" t="s">
        <v>615</v>
      </c>
      <c r="C24" t="s">
        <v>702</v>
      </c>
      <c r="D24" s="1152"/>
      <c r="E24" s="1152"/>
      <c r="F24" s="1152"/>
      <c r="G24" s="1152"/>
      <c r="H24" s="1152"/>
      <c r="I24" s="1152"/>
      <c r="J24" s="1152"/>
      <c r="K24" s="1152"/>
      <c r="L24" s="1152"/>
      <c r="M24" s="1152"/>
      <c r="N24" s="1152"/>
      <c r="O24" s="1152"/>
      <c r="P24" s="640">
        <f>C146/3.6</f>
        <v>35376474.740986891</v>
      </c>
      <c r="Q24" s="849">
        <v>2</v>
      </c>
      <c r="R24" s="849"/>
      <c r="S24" s="495"/>
      <c r="U24" s="262" t="s">
        <v>703</v>
      </c>
      <c r="X24" s="493"/>
    </row>
    <row r="25" spans="1:24" ht="15" thickBot="1" x14ac:dyDescent="0.35">
      <c r="A25" s="1141"/>
      <c r="B25" s="273" t="s">
        <v>616</v>
      </c>
      <c r="C25" s="273" t="s">
        <v>702</v>
      </c>
      <c r="D25" s="1153"/>
      <c r="E25" s="1153"/>
      <c r="F25" s="1153"/>
      <c r="G25" s="1153"/>
      <c r="H25" s="1153"/>
      <c r="I25" s="1153"/>
      <c r="J25" s="1153"/>
      <c r="K25" s="1153"/>
      <c r="L25" s="1153"/>
      <c r="M25" s="1153"/>
      <c r="N25" s="1153"/>
      <c r="O25" s="1153"/>
      <c r="P25" s="641">
        <f>C147/3.6</f>
        <v>2266670.3928758251</v>
      </c>
      <c r="Q25" s="850">
        <v>2</v>
      </c>
      <c r="R25" s="850"/>
      <c r="S25" s="550"/>
      <c r="T25" s="273"/>
      <c r="U25" s="276" t="s">
        <v>703</v>
      </c>
      <c r="X25" s="493"/>
    </row>
    <row r="26" spans="1:24" ht="16.2" x14ac:dyDescent="0.3">
      <c r="A26" s="1139" t="s">
        <v>496</v>
      </c>
      <c r="B26" s="286" t="s">
        <v>676</v>
      </c>
      <c r="C26" s="286" t="s">
        <v>333</v>
      </c>
      <c r="D26" s="809">
        <v>2</v>
      </c>
      <c r="E26" s="809"/>
      <c r="F26" s="286" t="s">
        <v>465</v>
      </c>
      <c r="G26" s="809">
        <v>350</v>
      </c>
      <c r="H26" s="822">
        <v>0.4</v>
      </c>
      <c r="I26" s="547">
        <f>(1+H26)*(G26/800*140)</f>
        <v>85.75</v>
      </c>
      <c r="J26" s="495">
        <f t="shared" ref="J26:J34" si="6">N26/O26</f>
        <v>0</v>
      </c>
      <c r="K26" s="547" t="s">
        <v>430</v>
      </c>
      <c r="L26" s="825">
        <v>0.8</v>
      </c>
      <c r="M26" s="563">
        <f t="shared" ref="M26:M34" si="7">I26*(J26/D26)^L26</f>
        <v>0</v>
      </c>
      <c r="N26" s="493">
        <f>'R1_Hydro_MEFA'!$L$117</f>
        <v>0</v>
      </c>
      <c r="O26" s="575">
        <f>Macro!$D$16*Macro!$D$20*8</f>
        <v>7920</v>
      </c>
      <c r="P26" s="583">
        <f>M26*O26</f>
        <v>0</v>
      </c>
      <c r="Q26" s="495"/>
      <c r="R26" s="495"/>
      <c r="S26" s="495" t="e">
        <f t="shared" ref="S26:S34" si="8">N26/J26</f>
        <v>#DIV/0!</v>
      </c>
      <c r="T26" t="s">
        <v>140</v>
      </c>
      <c r="U26" s="262"/>
      <c r="V26" s="286"/>
      <c r="W26" s="286"/>
    </row>
    <row r="27" spans="1:24" ht="16.2" x14ac:dyDescent="0.3">
      <c r="A27" s="1140"/>
      <c r="B27" s="286" t="s">
        <v>205</v>
      </c>
      <c r="C27" s="286" t="s">
        <v>466</v>
      </c>
      <c r="D27" s="809">
        <v>10</v>
      </c>
      <c r="E27" s="809"/>
      <c r="F27" s="286" t="s">
        <v>465</v>
      </c>
      <c r="G27" s="809">
        <v>24</v>
      </c>
      <c r="H27" s="822">
        <v>0.4</v>
      </c>
      <c r="I27" s="547">
        <f t="shared" ref="I27:I28" si="9">(1+H27)*G27</f>
        <v>33.599999999999994</v>
      </c>
      <c r="J27" s="495">
        <f t="shared" si="6"/>
        <v>0</v>
      </c>
      <c r="K27" s="547" t="s">
        <v>430</v>
      </c>
      <c r="L27" s="825">
        <v>0.8</v>
      </c>
      <c r="M27" s="563">
        <f t="shared" si="7"/>
        <v>0</v>
      </c>
      <c r="N27" s="493">
        <f>'R1_Hydro_MEFA'!$L$124</f>
        <v>0</v>
      </c>
      <c r="O27" s="575">
        <f>Macro!$D$16*Macro!$D$20*8</f>
        <v>7920</v>
      </c>
      <c r="P27" s="583">
        <f t="shared" ref="P27:P34" si="10">M27*O27</f>
        <v>0</v>
      </c>
      <c r="Q27" s="495"/>
      <c r="R27" s="495"/>
      <c r="S27" s="495" t="e">
        <f t="shared" si="8"/>
        <v>#DIV/0!</v>
      </c>
      <c r="T27" t="s">
        <v>140</v>
      </c>
      <c r="U27" s="262"/>
      <c r="V27" s="286"/>
      <c r="W27" s="286"/>
    </row>
    <row r="28" spans="1:24" ht="16.2" x14ac:dyDescent="0.3">
      <c r="A28" s="1140"/>
      <c r="B28" s="286" t="s">
        <v>677</v>
      </c>
      <c r="C28" s="121" t="s">
        <v>477</v>
      </c>
      <c r="D28" s="809">
        <v>10</v>
      </c>
      <c r="E28" s="809"/>
      <c r="F28" s="286" t="s">
        <v>465</v>
      </c>
      <c r="G28" s="809">
        <v>18.5</v>
      </c>
      <c r="H28" s="822">
        <v>0.4</v>
      </c>
      <c r="I28" s="547">
        <f t="shared" si="9"/>
        <v>25.9</v>
      </c>
      <c r="J28" s="495">
        <f t="shared" si="6"/>
        <v>0</v>
      </c>
      <c r="K28" s="547" t="s">
        <v>430</v>
      </c>
      <c r="L28" s="825">
        <v>0.8</v>
      </c>
      <c r="M28" s="563">
        <f t="shared" si="7"/>
        <v>0</v>
      </c>
      <c r="N28" s="493">
        <f>'R1_Hydro_MEFA'!$L$124</f>
        <v>0</v>
      </c>
      <c r="O28" s="575">
        <f>Macro!$D$16*Macro!$D$20*8</f>
        <v>7920</v>
      </c>
      <c r="P28" s="583">
        <f>M28*O28</f>
        <v>0</v>
      </c>
      <c r="Q28" s="495"/>
      <c r="R28" s="495"/>
      <c r="S28" s="495" t="e">
        <f t="shared" si="8"/>
        <v>#DIV/0!</v>
      </c>
      <c r="T28" t="s">
        <v>140</v>
      </c>
      <c r="U28" s="262"/>
      <c r="V28" s="286"/>
      <c r="W28" s="286"/>
    </row>
    <row r="29" spans="1:24" ht="16.2" x14ac:dyDescent="0.3">
      <c r="A29" s="1140"/>
      <c r="B29" s="286" t="s">
        <v>346</v>
      </c>
      <c r="C29" s="286" t="s">
        <v>466</v>
      </c>
      <c r="D29" s="809">
        <v>10</v>
      </c>
      <c r="E29" s="809"/>
      <c r="F29" s="286" t="s">
        <v>465</v>
      </c>
      <c r="G29" s="809">
        <v>24</v>
      </c>
      <c r="H29" s="822">
        <v>0.4</v>
      </c>
      <c r="I29" s="547">
        <f t="shared" ref="I29:I34" si="11">(1+H29)*G29</f>
        <v>33.599999999999994</v>
      </c>
      <c r="J29" s="495">
        <f t="shared" si="6"/>
        <v>0</v>
      </c>
      <c r="K29" s="547" t="s">
        <v>430</v>
      </c>
      <c r="L29" s="825">
        <v>0.8</v>
      </c>
      <c r="M29" s="563">
        <f t="shared" si="7"/>
        <v>0</v>
      </c>
      <c r="N29" s="493">
        <f>'R1_Hydro_MEFA'!$L$140</f>
        <v>0</v>
      </c>
      <c r="O29" s="575">
        <f>Macro!$D$16*Macro!$D$20*8</f>
        <v>7920</v>
      </c>
      <c r="P29" s="583">
        <f t="shared" si="10"/>
        <v>0</v>
      </c>
      <c r="Q29" s="495"/>
      <c r="R29" s="495"/>
      <c r="S29" s="495" t="e">
        <f t="shared" si="8"/>
        <v>#DIV/0!</v>
      </c>
      <c r="T29" t="s">
        <v>140</v>
      </c>
      <c r="U29" s="262"/>
      <c r="V29" s="286"/>
      <c r="W29" s="286"/>
    </row>
    <row r="30" spans="1:24" ht="16.2" x14ac:dyDescent="0.3">
      <c r="A30" s="1140"/>
      <c r="B30" s="744" t="s">
        <v>391</v>
      </c>
      <c r="C30" s="286" t="s">
        <v>466</v>
      </c>
      <c r="D30" s="809">
        <v>10</v>
      </c>
      <c r="E30" s="809"/>
      <c r="F30" s="286" t="s">
        <v>465</v>
      </c>
      <c r="G30" s="809">
        <v>24</v>
      </c>
      <c r="H30" s="822">
        <v>0.4</v>
      </c>
      <c r="I30" s="547">
        <f t="shared" si="11"/>
        <v>33.599999999999994</v>
      </c>
      <c r="J30" s="495">
        <f t="shared" si="6"/>
        <v>0</v>
      </c>
      <c r="K30" s="547" t="s">
        <v>430</v>
      </c>
      <c r="L30" s="825">
        <v>0.8</v>
      </c>
      <c r="M30" s="563">
        <f t="shared" si="7"/>
        <v>0</v>
      </c>
      <c r="N30" s="557">
        <f>'R1_Hydro_MEFA'!$L$147</f>
        <v>0</v>
      </c>
      <c r="O30" s="575">
        <f>Macro!$D$16*Macro!$D$20*8</f>
        <v>7920</v>
      </c>
      <c r="P30" s="583">
        <f t="shared" si="10"/>
        <v>0</v>
      </c>
      <c r="Q30" s="495"/>
      <c r="R30" s="495"/>
      <c r="S30" s="495" t="e">
        <f t="shared" si="8"/>
        <v>#DIV/0!</v>
      </c>
      <c r="T30" t="s">
        <v>140</v>
      </c>
      <c r="U30" s="262"/>
    </row>
    <row r="31" spans="1:24" ht="16.2" x14ac:dyDescent="0.3">
      <c r="A31" s="1140"/>
      <c r="B31" s="286" t="s">
        <v>704</v>
      </c>
      <c r="C31" s="286" t="s">
        <v>478</v>
      </c>
      <c r="D31" s="809">
        <v>10</v>
      </c>
      <c r="E31" s="809"/>
      <c r="F31" s="286" t="s">
        <v>465</v>
      </c>
      <c r="G31" s="809">
        <v>18.5</v>
      </c>
      <c r="H31" s="822">
        <v>0.4</v>
      </c>
      <c r="I31" s="547">
        <f t="shared" si="11"/>
        <v>25.9</v>
      </c>
      <c r="J31" s="495">
        <f t="shared" si="6"/>
        <v>0</v>
      </c>
      <c r="K31" s="547" t="s">
        <v>430</v>
      </c>
      <c r="L31" s="825">
        <v>0.8</v>
      </c>
      <c r="M31" s="563">
        <f t="shared" si="7"/>
        <v>0</v>
      </c>
      <c r="N31" s="493">
        <f>'R1_Hydro_MEFA'!$L$147</f>
        <v>0</v>
      </c>
      <c r="O31" s="575">
        <f>Macro!$D$16*Macro!$D$20*8</f>
        <v>7920</v>
      </c>
      <c r="P31" s="583">
        <f t="shared" si="10"/>
        <v>0</v>
      </c>
      <c r="Q31" s="495"/>
      <c r="R31" s="495"/>
      <c r="S31" s="495" t="e">
        <f t="shared" si="8"/>
        <v>#DIV/0!</v>
      </c>
      <c r="T31" t="s">
        <v>140</v>
      </c>
      <c r="U31" s="262"/>
    </row>
    <row r="32" spans="1:24" ht="16.2" x14ac:dyDescent="0.3">
      <c r="A32" s="1140"/>
      <c r="B32" s="286" t="s">
        <v>394</v>
      </c>
      <c r="C32" s="286" t="s">
        <v>466</v>
      </c>
      <c r="D32" s="809">
        <v>10</v>
      </c>
      <c r="E32" s="809"/>
      <c r="F32" s="286" t="s">
        <v>465</v>
      </c>
      <c r="G32" s="809">
        <v>24</v>
      </c>
      <c r="H32" s="822">
        <v>0.4</v>
      </c>
      <c r="I32" s="547">
        <f t="shared" si="11"/>
        <v>33.599999999999994</v>
      </c>
      <c r="J32" s="495">
        <f t="shared" si="6"/>
        <v>0</v>
      </c>
      <c r="K32" s="547" t="s">
        <v>430</v>
      </c>
      <c r="L32" s="825">
        <v>0.8</v>
      </c>
      <c r="M32" s="563">
        <f t="shared" si="7"/>
        <v>0</v>
      </c>
      <c r="N32" s="493">
        <f>'R1_Hydro_MEFA'!$L$155</f>
        <v>0</v>
      </c>
      <c r="O32" s="575">
        <f>Macro!$D$16*Macro!$D$20*8</f>
        <v>7920</v>
      </c>
      <c r="P32" s="583">
        <f t="shared" si="10"/>
        <v>0</v>
      </c>
      <c r="Q32" s="495"/>
      <c r="R32" s="495"/>
      <c r="S32" s="495" t="e">
        <f t="shared" si="8"/>
        <v>#DIV/0!</v>
      </c>
      <c r="T32" t="s">
        <v>140</v>
      </c>
      <c r="U32" s="262"/>
    </row>
    <row r="33" spans="1:21" ht="16.2" x14ac:dyDescent="0.3">
      <c r="A33" s="1140"/>
      <c r="B33" s="286" t="s">
        <v>400</v>
      </c>
      <c r="C33" s="286" t="s">
        <v>466</v>
      </c>
      <c r="D33" s="809">
        <v>10</v>
      </c>
      <c r="E33" s="809"/>
      <c r="F33" s="286" t="s">
        <v>465</v>
      </c>
      <c r="G33" s="809">
        <v>24</v>
      </c>
      <c r="H33" s="822">
        <v>0.4</v>
      </c>
      <c r="I33" s="547">
        <f t="shared" si="11"/>
        <v>33.599999999999994</v>
      </c>
      <c r="J33" s="495">
        <f t="shared" si="6"/>
        <v>0</v>
      </c>
      <c r="K33" s="547" t="s">
        <v>430</v>
      </c>
      <c r="L33" s="825">
        <v>0.8</v>
      </c>
      <c r="M33" s="563">
        <f t="shared" si="7"/>
        <v>0</v>
      </c>
      <c r="N33" s="493">
        <f>'R1_Hydro_MEFA'!$L$172</f>
        <v>0</v>
      </c>
      <c r="O33" s="575">
        <f>Macro!$D$16*Macro!$D$20*8</f>
        <v>7920</v>
      </c>
      <c r="P33" s="583">
        <f t="shared" si="10"/>
        <v>0</v>
      </c>
      <c r="Q33" s="495"/>
      <c r="R33" s="495"/>
      <c r="S33" s="495" t="e">
        <f t="shared" si="8"/>
        <v>#DIV/0!</v>
      </c>
      <c r="T33" t="s">
        <v>140</v>
      </c>
      <c r="U33" s="262"/>
    </row>
    <row r="34" spans="1:21" ht="16.2" x14ac:dyDescent="0.3">
      <c r="A34" s="1140"/>
      <c r="B34" s="286" t="s">
        <v>403</v>
      </c>
      <c r="C34" s="286" t="s">
        <v>466</v>
      </c>
      <c r="D34" s="809">
        <v>10</v>
      </c>
      <c r="E34" s="809"/>
      <c r="F34" s="286" t="s">
        <v>465</v>
      </c>
      <c r="G34" s="809">
        <v>24</v>
      </c>
      <c r="H34" s="822">
        <v>0.4</v>
      </c>
      <c r="I34" s="547">
        <f t="shared" si="11"/>
        <v>33.599999999999994</v>
      </c>
      <c r="J34" s="495">
        <f t="shared" si="6"/>
        <v>0</v>
      </c>
      <c r="K34" s="547" t="s">
        <v>430</v>
      </c>
      <c r="L34" s="825">
        <v>0.8</v>
      </c>
      <c r="M34" s="563">
        <f t="shared" si="7"/>
        <v>0</v>
      </c>
      <c r="N34" s="493">
        <f>'R1_Hydro_MEFA'!$L$178</f>
        <v>0</v>
      </c>
      <c r="O34" s="575">
        <f>Macro!$D$16*Macro!$D$20*8</f>
        <v>7920</v>
      </c>
      <c r="P34" s="583">
        <f t="shared" si="10"/>
        <v>0</v>
      </c>
      <c r="Q34" s="495"/>
      <c r="R34" s="495"/>
      <c r="S34" s="495" t="e">
        <f t="shared" si="8"/>
        <v>#DIV/0!</v>
      </c>
      <c r="T34" t="s">
        <v>140</v>
      </c>
      <c r="U34" s="262"/>
    </row>
    <row r="35" spans="1:21" x14ac:dyDescent="0.3">
      <c r="A35" s="1140"/>
      <c r="B35" s="286" t="s">
        <v>617</v>
      </c>
      <c r="C35" s="286" t="s">
        <v>702</v>
      </c>
      <c r="D35" s="565"/>
      <c r="E35" s="565"/>
      <c r="F35" s="566"/>
      <c r="G35" s="565"/>
      <c r="H35" s="567"/>
      <c r="I35" s="568"/>
      <c r="J35" s="569"/>
      <c r="K35" s="568"/>
      <c r="L35" s="570"/>
      <c r="M35" s="571"/>
      <c r="N35" s="572"/>
      <c r="O35" s="569"/>
      <c r="P35" s="583">
        <f>C148/3.6</f>
        <v>0</v>
      </c>
      <c r="Q35" s="495"/>
      <c r="R35" s="495"/>
      <c r="S35" s="495"/>
      <c r="U35" s="262" t="s">
        <v>703</v>
      </c>
    </row>
    <row r="36" spans="1:21" x14ac:dyDescent="0.3">
      <c r="A36" s="1140"/>
      <c r="B36" s="286" t="s">
        <v>201</v>
      </c>
      <c r="C36" s="286" t="s">
        <v>406</v>
      </c>
      <c r="D36" s="1152"/>
      <c r="E36" s="1152"/>
      <c r="F36" s="1152"/>
      <c r="G36" s="1152"/>
      <c r="H36" s="1152"/>
      <c r="I36" s="1152"/>
      <c r="J36" s="1152"/>
      <c r="K36" s="1152"/>
      <c r="L36" s="1152"/>
      <c r="M36" s="1152"/>
      <c r="N36" s="1152"/>
      <c r="O36" s="1152"/>
      <c r="P36" s="583">
        <f>C156/3.6</f>
        <v>0</v>
      </c>
      <c r="Q36" s="495"/>
      <c r="R36" s="495"/>
      <c r="S36" s="495"/>
      <c r="U36" s="262" t="s">
        <v>703</v>
      </c>
    </row>
    <row r="37" spans="1:21" ht="16.2" x14ac:dyDescent="0.3">
      <c r="A37" s="1140"/>
      <c r="B37" s="286" t="s">
        <v>415</v>
      </c>
      <c r="C37" s="286" t="s">
        <v>466</v>
      </c>
      <c r="D37" s="809">
        <v>10</v>
      </c>
      <c r="E37" s="809"/>
      <c r="F37" s="286" t="s">
        <v>465</v>
      </c>
      <c r="G37" s="809">
        <v>24</v>
      </c>
      <c r="H37" s="822">
        <v>0.4</v>
      </c>
      <c r="I37" s="540">
        <f t="shared" ref="I37" si="12">(1+H37)*G37</f>
        <v>33.599999999999994</v>
      </c>
      <c r="J37" s="495">
        <f>N37/O37</f>
        <v>0</v>
      </c>
      <c r="K37" s="540" t="s">
        <v>430</v>
      </c>
      <c r="L37" s="825">
        <v>0.8</v>
      </c>
      <c r="M37" s="563">
        <f>I37*(D37/20)^L37</f>
        <v>19.298132363950188</v>
      </c>
      <c r="N37" s="493">
        <f>'R1_Hydro_MEFA'!$L$200</f>
        <v>0</v>
      </c>
      <c r="O37" s="575">
        <f>Macro!$D$16*Macro!$D$20*8</f>
        <v>7920</v>
      </c>
      <c r="P37" s="640">
        <f t="shared" ref="P37:P38" si="13">M37*O37</f>
        <v>152841.2083224855</v>
      </c>
      <c r="Q37" s="495"/>
      <c r="R37" s="495"/>
      <c r="S37" s="495" t="e">
        <f>N37/J37</f>
        <v>#DIV/0!</v>
      </c>
      <c r="T37" t="s">
        <v>140</v>
      </c>
      <c r="U37" s="262"/>
    </row>
    <row r="38" spans="1:21" ht="16.2" x14ac:dyDescent="0.3">
      <c r="A38" s="1140"/>
      <c r="B38" s="286" t="s">
        <v>679</v>
      </c>
      <c r="C38" s="286" t="s">
        <v>478</v>
      </c>
      <c r="D38" s="809">
        <v>10</v>
      </c>
      <c r="E38" s="809"/>
      <c r="F38" s="286" t="s">
        <v>465</v>
      </c>
      <c r="G38" s="809">
        <v>18.5</v>
      </c>
      <c r="H38" s="822">
        <v>0.4</v>
      </c>
      <c r="I38" s="540">
        <f t="shared" ref="I38" si="14">(1+H38)*G38</f>
        <v>25.9</v>
      </c>
      <c r="J38" s="495">
        <f>N38/O38</f>
        <v>0</v>
      </c>
      <c r="K38" s="540" t="s">
        <v>430</v>
      </c>
      <c r="L38" s="825">
        <v>0.8</v>
      </c>
      <c r="M38" s="563">
        <f>I38*(D38/20)^L38</f>
        <v>14.875643697211604</v>
      </c>
      <c r="N38" s="493">
        <f>'R1_Hydro_MEFA'!$L$200</f>
        <v>0</v>
      </c>
      <c r="O38" s="575">
        <f>Macro!$D$16*Macro!$D$20*8</f>
        <v>7920</v>
      </c>
      <c r="P38" s="640">
        <f t="shared" si="13"/>
        <v>117815.0980819159</v>
      </c>
      <c r="Q38" s="495"/>
      <c r="R38" s="495"/>
      <c r="S38" s="495" t="e">
        <f t="shared" ref="S38" si="15">N38/J38</f>
        <v>#DIV/0!</v>
      </c>
      <c r="T38" t="s">
        <v>140</v>
      </c>
      <c r="U38" s="262"/>
    </row>
    <row r="39" spans="1:21" ht="15" thickBot="1" x14ac:dyDescent="0.35">
      <c r="A39" s="1141"/>
      <c r="B39" s="273" t="s">
        <v>22</v>
      </c>
      <c r="C39" s="273" t="s">
        <v>406</v>
      </c>
      <c r="D39" s="1153"/>
      <c r="E39" s="1153"/>
      <c r="F39" s="1153"/>
      <c r="G39" s="1153"/>
      <c r="H39" s="1153"/>
      <c r="I39" s="1153"/>
      <c r="J39" s="1153"/>
      <c r="K39" s="1153"/>
      <c r="L39" s="1153"/>
      <c r="M39" s="1153"/>
      <c r="N39" s="1153"/>
      <c r="O39" s="1153"/>
      <c r="P39" s="633">
        <f>C160/3.6</f>
        <v>0</v>
      </c>
      <c r="Q39" s="550"/>
      <c r="R39" s="550"/>
      <c r="S39" s="550"/>
      <c r="T39" s="273"/>
      <c r="U39" s="276" t="s">
        <v>703</v>
      </c>
    </row>
    <row r="40" spans="1:21" x14ac:dyDescent="0.3">
      <c r="A40" s="545"/>
      <c r="H40" s="546"/>
      <c r="I40" s="547"/>
      <c r="J40" s="547"/>
      <c r="K40" s="547"/>
      <c r="M40" s="563"/>
      <c r="N40" s="495"/>
      <c r="O40" s="495"/>
      <c r="P40" s="583"/>
      <c r="Q40" s="495"/>
      <c r="R40" s="495"/>
      <c r="S40" s="495"/>
    </row>
    <row r="41" spans="1:21" x14ac:dyDescent="0.3">
      <c r="A41" s="545"/>
      <c r="H41" s="546"/>
      <c r="I41" s="547"/>
      <c r="J41" s="547"/>
      <c r="K41" s="547"/>
      <c r="M41" s="563"/>
      <c r="N41" s="495"/>
      <c r="O41" s="495"/>
      <c r="P41" s="583"/>
      <c r="Q41" s="495"/>
      <c r="R41" s="495"/>
      <c r="S41" s="495"/>
    </row>
    <row r="43" spans="1:21" ht="21.6" thickBot="1" x14ac:dyDescent="0.45">
      <c r="A43" s="188" t="s">
        <v>102</v>
      </c>
    </row>
    <row r="44" spans="1:21" s="628" customFormat="1" ht="58.2" thickBot="1" x14ac:dyDescent="0.35">
      <c r="A44" s="647" t="s">
        <v>705</v>
      </c>
      <c r="B44" s="647" t="s">
        <v>706</v>
      </c>
      <c r="C44" s="626" t="s">
        <v>684</v>
      </c>
      <c r="D44" s="647" t="s">
        <v>436</v>
      </c>
      <c r="E44" s="647"/>
      <c r="F44" s="647" t="s">
        <v>252</v>
      </c>
      <c r="G44" s="647" t="s">
        <v>685</v>
      </c>
      <c r="H44" s="646" t="s">
        <v>686</v>
      </c>
      <c r="I44" s="647" t="s">
        <v>687</v>
      </c>
      <c r="J44" s="647" t="s">
        <v>688</v>
      </c>
      <c r="K44" s="647" t="s">
        <v>252</v>
      </c>
      <c r="L44" s="649" t="s">
        <v>707</v>
      </c>
      <c r="M44" s="558" t="s">
        <v>690</v>
      </c>
      <c r="N44" s="921" t="s">
        <v>691</v>
      </c>
      <c r="O44" s="646" t="s">
        <v>692</v>
      </c>
      <c r="P44" s="648" t="s">
        <v>693</v>
      </c>
      <c r="Q44" s="646" t="s">
        <v>694</v>
      </c>
      <c r="R44" s="646"/>
      <c r="S44" s="646" t="s">
        <v>695</v>
      </c>
      <c r="T44" s="647" t="s">
        <v>606</v>
      </c>
      <c r="U44" s="627" t="s">
        <v>322</v>
      </c>
    </row>
    <row r="45" spans="1:21" x14ac:dyDescent="0.3">
      <c r="A45" s="1137" t="s">
        <v>248</v>
      </c>
      <c r="B45" s="286" t="s">
        <v>164</v>
      </c>
      <c r="C45" s="286" t="s">
        <v>451</v>
      </c>
      <c r="D45" s="825">
        <v>0.33333333333333331</v>
      </c>
      <c r="E45" s="825"/>
      <c r="F45" s="286" t="s">
        <v>1040</v>
      </c>
      <c r="G45" s="180"/>
      <c r="H45" s="546"/>
      <c r="I45" s="540"/>
      <c r="J45" s="540"/>
      <c r="K45" s="540"/>
      <c r="M45" s="560"/>
      <c r="N45" s="457"/>
      <c r="O45" s="457"/>
      <c r="P45" s="581"/>
      <c r="Q45" s="457"/>
      <c r="R45" s="457"/>
      <c r="S45" s="457"/>
      <c r="U45" s="262"/>
    </row>
    <row r="46" spans="1:21" x14ac:dyDescent="0.3">
      <c r="A46" s="1137"/>
      <c r="B46" s="286" t="s">
        <v>165</v>
      </c>
      <c r="C46" s="286" t="s">
        <v>453</v>
      </c>
      <c r="D46" s="825">
        <v>6</v>
      </c>
      <c r="E46" s="825"/>
      <c r="F46" s="286" t="s">
        <v>1041</v>
      </c>
      <c r="G46" s="180"/>
      <c r="H46" s="546"/>
      <c r="I46" s="540"/>
      <c r="J46" s="540"/>
      <c r="K46" s="540"/>
      <c r="M46" s="560"/>
      <c r="N46" s="457"/>
      <c r="O46" s="457"/>
      <c r="P46" s="581"/>
      <c r="Q46" s="457"/>
      <c r="R46" s="457"/>
      <c r="S46" s="457"/>
      <c r="U46" s="262"/>
    </row>
    <row r="47" spans="1:21" x14ac:dyDescent="0.3">
      <c r="A47" s="1137"/>
      <c r="B47" s="286" t="s">
        <v>286</v>
      </c>
      <c r="C47" s="286" t="s">
        <v>708</v>
      </c>
      <c r="D47" s="825">
        <v>0.27</v>
      </c>
      <c r="E47" s="825"/>
      <c r="F47" s="286" t="s">
        <v>1040</v>
      </c>
      <c r="G47" s="180"/>
      <c r="H47" s="546"/>
      <c r="I47" s="540"/>
      <c r="J47" s="540"/>
      <c r="K47" s="540"/>
      <c r="M47" s="560"/>
      <c r="N47" s="457"/>
      <c r="O47" s="457"/>
      <c r="P47" s="581"/>
      <c r="Q47" s="457"/>
      <c r="R47" s="457"/>
      <c r="S47" s="457"/>
      <c r="U47" s="262"/>
    </row>
    <row r="48" spans="1:21" ht="15" thickBot="1" x14ac:dyDescent="0.35">
      <c r="A48" s="1137"/>
      <c r="B48" s="286" t="s">
        <v>248</v>
      </c>
      <c r="C48" s="286" t="s">
        <v>698</v>
      </c>
      <c r="D48" s="825">
        <v>0.5</v>
      </c>
      <c r="E48" s="825"/>
      <c r="F48" s="286" t="s">
        <v>1040</v>
      </c>
      <c r="G48" s="180"/>
      <c r="H48" s="546"/>
      <c r="I48" s="540"/>
      <c r="J48" s="540"/>
      <c r="K48" s="540"/>
      <c r="M48" s="560"/>
      <c r="N48" s="457"/>
      <c r="O48" s="457"/>
      <c r="P48" s="581"/>
      <c r="Q48" s="457"/>
      <c r="R48" s="457"/>
      <c r="S48" s="457"/>
      <c r="U48" s="262"/>
    </row>
    <row r="49" spans="1:21" x14ac:dyDescent="0.3">
      <c r="A49" s="1139" t="s">
        <v>625</v>
      </c>
      <c r="B49" s="268" t="s">
        <v>176</v>
      </c>
      <c r="C49" s="268" t="s">
        <v>709</v>
      </c>
      <c r="D49" s="827">
        <v>1.5</v>
      </c>
      <c r="E49" s="827"/>
      <c r="F49" s="267" t="s">
        <v>475</v>
      </c>
      <c r="G49" s="851">
        <v>2</v>
      </c>
      <c r="H49" s="824">
        <v>0.4</v>
      </c>
      <c r="I49" s="541">
        <f t="shared" ref="I49:I56" si="16">(1+H49)*G49</f>
        <v>2.8</v>
      </c>
      <c r="J49" s="544">
        <f>N49/O49</f>
        <v>2.0998968211720324</v>
      </c>
      <c r="K49" s="541" t="s">
        <v>501</v>
      </c>
      <c r="L49" s="845">
        <v>0.8</v>
      </c>
      <c r="M49" s="562">
        <f t="shared" ref="M49:M56" si="17">I49*(J49/D49)^L49</f>
        <v>3.6647418609815343</v>
      </c>
      <c r="N49" s="574">
        <f>'R2_MEFA'!$C$31</f>
        <v>16631.182823682495</v>
      </c>
      <c r="O49" s="636">
        <f>Macro!$D$16*Macro!$D$20*8</f>
        <v>7920</v>
      </c>
      <c r="P49" s="642">
        <f>O49*M49</f>
        <v>29024.755538973754</v>
      </c>
      <c r="Q49" s="544"/>
      <c r="R49" s="544"/>
      <c r="S49" s="544"/>
      <c r="T49" s="268" t="s">
        <v>454</v>
      </c>
      <c r="U49" s="271"/>
    </row>
    <row r="50" spans="1:21" x14ac:dyDescent="0.3">
      <c r="A50" s="1140"/>
      <c r="B50" t="s">
        <v>710</v>
      </c>
      <c r="C50" s="286" t="s">
        <v>608</v>
      </c>
      <c r="D50" s="839">
        <v>1.5</v>
      </c>
      <c r="E50" s="839"/>
      <c r="F50" s="286" t="s">
        <v>475</v>
      </c>
      <c r="G50" s="839">
        <v>2.8</v>
      </c>
      <c r="H50" s="822">
        <v>0.4</v>
      </c>
      <c r="I50" s="540">
        <f t="shared" si="16"/>
        <v>3.9199999999999995</v>
      </c>
      <c r="J50" s="457">
        <f t="shared" ref="J50:J72" si="18">N50/O50</f>
        <v>2.0998968211720324</v>
      </c>
      <c r="K50" s="540" t="s">
        <v>501</v>
      </c>
      <c r="L50" s="825">
        <v>0.8</v>
      </c>
      <c r="M50" s="563">
        <f t="shared" si="17"/>
        <v>5.1306386053741475</v>
      </c>
      <c r="N50" s="493">
        <f>'R2_MEFA'!$C$38</f>
        <v>16631.182823682495</v>
      </c>
      <c r="O50" s="635">
        <f>Macro!$D$16*Macro!$D$20*8</f>
        <v>7920</v>
      </c>
      <c r="P50" s="638">
        <f>O50*M50</f>
        <v>40634.657754563246</v>
      </c>
      <c r="Q50" s="495"/>
      <c r="R50" s="495"/>
      <c r="S50" s="495"/>
      <c r="T50" t="s">
        <v>454</v>
      </c>
      <c r="U50" s="262"/>
    </row>
    <row r="51" spans="1:21" x14ac:dyDescent="0.3">
      <c r="A51" s="1140"/>
      <c r="B51" s="286" t="s">
        <v>711</v>
      </c>
      <c r="C51" s="744" t="s">
        <v>671</v>
      </c>
      <c r="D51" s="839">
        <v>1.5</v>
      </c>
      <c r="E51" s="839"/>
      <c r="F51" s="286" t="s">
        <v>1045</v>
      </c>
      <c r="G51" s="825">
        <v>5</v>
      </c>
      <c r="H51" s="822">
        <v>0.4</v>
      </c>
      <c r="I51" s="653">
        <f>(1+H51)*G51</f>
        <v>7</v>
      </c>
      <c r="J51" s="495">
        <f>N51/O51</f>
        <v>5.476583225444644</v>
      </c>
      <c r="K51" s="547"/>
      <c r="L51" s="825">
        <v>0.8</v>
      </c>
      <c r="M51" s="563">
        <f t="shared" si="17"/>
        <v>19.725716461198029</v>
      </c>
      <c r="N51" s="575">
        <f>'R2_MEFA'!C6</f>
        <v>43374.539145521579</v>
      </c>
      <c r="O51" s="635">
        <f>Macro!$D$16*Macro!$D$20*8</f>
        <v>7920</v>
      </c>
      <c r="P51" s="640">
        <f>O51*G51/(D51/J51)</f>
        <v>144581.7971517386</v>
      </c>
      <c r="Q51" s="849">
        <v>1</v>
      </c>
      <c r="R51" s="849"/>
      <c r="S51" s="495">
        <f>N51/J51</f>
        <v>7920</v>
      </c>
      <c r="T51" t="s">
        <v>454</v>
      </c>
      <c r="U51" s="262"/>
    </row>
    <row r="52" spans="1:21" x14ac:dyDescent="0.3">
      <c r="A52" s="1140"/>
      <c r="B52" t="s">
        <v>669</v>
      </c>
      <c r="C52" s="286" t="s">
        <v>669</v>
      </c>
      <c r="D52" s="839">
        <v>1.5</v>
      </c>
      <c r="E52" s="839"/>
      <c r="F52" s="286" t="s">
        <v>475</v>
      </c>
      <c r="G52" s="839">
        <v>0</v>
      </c>
      <c r="H52" s="822">
        <v>0.4</v>
      </c>
      <c r="I52" s="547">
        <f t="shared" si="16"/>
        <v>0</v>
      </c>
      <c r="J52" s="495">
        <f t="shared" si="18"/>
        <v>1.8028469470239148</v>
      </c>
      <c r="K52" s="547" t="s">
        <v>501</v>
      </c>
      <c r="L52" s="825">
        <v>0.8</v>
      </c>
      <c r="M52" s="563">
        <f t="shared" si="17"/>
        <v>0</v>
      </c>
      <c r="N52" s="575">
        <f>'R2_MEFA'!$C$57</f>
        <v>14278.547820429405</v>
      </c>
      <c r="O52" s="635">
        <f>Macro!$D$16*Macro!$D$20*8</f>
        <v>7920</v>
      </c>
      <c r="P52" s="640">
        <v>0</v>
      </c>
      <c r="Q52" s="495"/>
      <c r="R52" s="495"/>
      <c r="S52" s="495"/>
      <c r="T52" t="s">
        <v>454</v>
      </c>
      <c r="U52" s="262"/>
    </row>
    <row r="53" spans="1:21" x14ac:dyDescent="0.3">
      <c r="A53" s="1140"/>
      <c r="B53" t="s">
        <v>712</v>
      </c>
      <c r="C53" s="744" t="s">
        <v>610</v>
      </c>
      <c r="D53" s="839">
        <v>1.5</v>
      </c>
      <c r="E53" s="839"/>
      <c r="F53" s="286" t="s">
        <v>475</v>
      </c>
      <c r="G53" s="839">
        <v>1.5</v>
      </c>
      <c r="H53" s="822">
        <v>0.4</v>
      </c>
      <c r="I53" s="540">
        <f t="shared" si="16"/>
        <v>2.0999999999999996</v>
      </c>
      <c r="J53" s="457">
        <f t="shared" si="18"/>
        <v>1.7123584577065381</v>
      </c>
      <c r="K53" s="540" t="s">
        <v>501</v>
      </c>
      <c r="L53" s="825">
        <v>0.8</v>
      </c>
      <c r="M53" s="563">
        <f t="shared" si="17"/>
        <v>2.3346513530095288</v>
      </c>
      <c r="N53" s="493">
        <f>'R2_MEFA'!$C$64</f>
        <v>13561.878985035781</v>
      </c>
      <c r="O53" s="635">
        <f>Macro!$D$16*Macro!$D$20*8</f>
        <v>7920</v>
      </c>
      <c r="P53" s="638">
        <f>O53*M53</f>
        <v>18490.438715835469</v>
      </c>
      <c r="Q53" s="495"/>
      <c r="R53" s="495"/>
      <c r="S53" s="495"/>
      <c r="T53" t="s">
        <v>454</v>
      </c>
      <c r="U53" s="262"/>
    </row>
    <row r="54" spans="1:21" x14ac:dyDescent="0.3">
      <c r="A54" s="1140"/>
      <c r="B54" t="s">
        <v>180</v>
      </c>
      <c r="C54" s="744" t="s">
        <v>611</v>
      </c>
      <c r="D54" s="839">
        <v>1.5</v>
      </c>
      <c r="E54" s="839"/>
      <c r="F54" s="286" t="s">
        <v>475</v>
      </c>
      <c r="G54" s="839">
        <f>G49/2</f>
        <v>1</v>
      </c>
      <c r="H54" s="822">
        <v>0.4</v>
      </c>
      <c r="I54" s="540">
        <f t="shared" si="16"/>
        <v>1.4</v>
      </c>
      <c r="J54" s="457">
        <f t="shared" si="18"/>
        <v>1.633441988744526</v>
      </c>
      <c r="K54" s="540" t="s">
        <v>501</v>
      </c>
      <c r="L54" s="825">
        <v>0.8</v>
      </c>
      <c r="M54" s="563">
        <f t="shared" si="17"/>
        <v>1.4987803846776173</v>
      </c>
      <c r="N54" s="493">
        <f>'R2_MEFA'!$C$73</f>
        <v>12936.860550856645</v>
      </c>
      <c r="O54" s="635">
        <f>Macro!$D$16*Macro!$D$20*8</f>
        <v>7920</v>
      </c>
      <c r="P54" s="638">
        <f>O54*M54</f>
        <v>11870.34064664673</v>
      </c>
      <c r="Q54" s="495"/>
      <c r="R54" s="495"/>
      <c r="S54" s="495"/>
      <c r="T54" t="s">
        <v>454</v>
      </c>
      <c r="U54" s="262" t="s">
        <v>713</v>
      </c>
    </row>
    <row r="55" spans="1:21" x14ac:dyDescent="0.3">
      <c r="A55" s="1140"/>
      <c r="B55" t="s">
        <v>427</v>
      </c>
      <c r="C55" s="286" t="s">
        <v>427</v>
      </c>
      <c r="D55" s="839">
        <v>1.5</v>
      </c>
      <c r="E55" s="839"/>
      <c r="F55" s="286" t="s">
        <v>475</v>
      </c>
      <c r="G55" s="839">
        <v>5</v>
      </c>
      <c r="H55" s="822">
        <v>0.4</v>
      </c>
      <c r="I55" s="540">
        <f t="shared" si="16"/>
        <v>7</v>
      </c>
      <c r="J55" s="457">
        <f t="shared" si="18"/>
        <v>1.633441988744526</v>
      </c>
      <c r="K55" s="540" t="s">
        <v>501</v>
      </c>
      <c r="L55" s="825">
        <v>0.8</v>
      </c>
      <c r="M55" s="563">
        <f t="shared" si="17"/>
        <v>7.493901923388087</v>
      </c>
      <c r="N55" s="493">
        <f>'R2_MEFA'!$C$78</f>
        <v>12936.860550856645</v>
      </c>
      <c r="O55" s="635">
        <f>Macro!$D$16*Macro!$D$20*8</f>
        <v>7920</v>
      </c>
      <c r="P55" s="638">
        <f>O55*M55</f>
        <v>59351.703233233646</v>
      </c>
      <c r="Q55" s="495"/>
      <c r="R55" s="495"/>
      <c r="S55" s="495"/>
      <c r="T55" t="s">
        <v>454</v>
      </c>
      <c r="U55" s="262"/>
    </row>
    <row r="56" spans="1:21" x14ac:dyDescent="0.3">
      <c r="A56" s="1140"/>
      <c r="B56" t="s">
        <v>714</v>
      </c>
      <c r="C56" s="286" t="s">
        <v>610</v>
      </c>
      <c r="D56" s="839">
        <v>1.5</v>
      </c>
      <c r="E56" s="839"/>
      <c r="F56" s="286" t="s">
        <v>475</v>
      </c>
      <c r="G56" s="839">
        <v>0.25</v>
      </c>
      <c r="H56" s="822">
        <v>0.4</v>
      </c>
      <c r="I56" s="540">
        <f t="shared" si="16"/>
        <v>0.35</v>
      </c>
      <c r="J56" s="457">
        <f t="shared" si="18"/>
        <v>0.82561802168288811</v>
      </c>
      <c r="K56" s="540" t="s">
        <v>501</v>
      </c>
      <c r="L56" s="825">
        <v>0.8</v>
      </c>
      <c r="M56" s="563">
        <f t="shared" si="17"/>
        <v>0.21707927801011284</v>
      </c>
      <c r="N56" s="493">
        <f>'R2_MEFA'!$C$84</f>
        <v>6538.8947317284737</v>
      </c>
      <c r="O56" s="635">
        <f>Macro!$D$16*Macro!$D$20*8</f>
        <v>7920</v>
      </c>
      <c r="P56" s="638">
        <f>O56*M56</f>
        <v>1719.2678818400937</v>
      </c>
      <c r="Q56" s="495"/>
      <c r="R56" s="495"/>
      <c r="S56" s="495"/>
      <c r="T56" t="s">
        <v>454</v>
      </c>
      <c r="U56" s="262"/>
    </row>
    <row r="57" spans="1:21" ht="15" thickBot="1" x14ac:dyDescent="0.35">
      <c r="A57" s="1140"/>
      <c r="B57" s="121" t="s">
        <v>181</v>
      </c>
      <c r="C57" s="121" t="s">
        <v>715</v>
      </c>
      <c r="D57" s="1154"/>
      <c r="E57" s="1154"/>
      <c r="F57" s="1154"/>
      <c r="G57" s="1154"/>
      <c r="H57" s="1154"/>
      <c r="I57" s="1154"/>
      <c r="J57" s="1154"/>
      <c r="K57" s="1154"/>
      <c r="L57" s="1154"/>
      <c r="M57" s="1154"/>
      <c r="N57" s="1154"/>
      <c r="O57" s="1154"/>
      <c r="P57" s="640">
        <f>C177</f>
        <v>0</v>
      </c>
      <c r="Q57" s="495"/>
      <c r="R57" s="495"/>
      <c r="S57" s="495"/>
      <c r="T57" t="s">
        <v>454</v>
      </c>
      <c r="U57" s="262" t="s">
        <v>703</v>
      </c>
    </row>
    <row r="58" spans="1:21" ht="16.2" x14ac:dyDescent="0.3">
      <c r="A58" s="1139" t="s">
        <v>613</v>
      </c>
      <c r="B58" s="268" t="s">
        <v>464</v>
      </c>
      <c r="C58" s="268" t="s">
        <v>333</v>
      </c>
      <c r="D58" s="827">
        <v>2</v>
      </c>
      <c r="E58" s="827"/>
      <c r="F58" s="267" t="s">
        <v>465</v>
      </c>
      <c r="G58" s="827">
        <v>350</v>
      </c>
      <c r="H58" s="824">
        <v>0.4</v>
      </c>
      <c r="I58" s="541">
        <f>(1+H58)*(G58/800*140)</f>
        <v>85.75</v>
      </c>
      <c r="J58" s="544">
        <f t="shared" si="18"/>
        <v>0.59243342493962026</v>
      </c>
      <c r="K58" s="541" t="s">
        <v>430</v>
      </c>
      <c r="L58" s="845">
        <v>0.8</v>
      </c>
      <c r="M58" s="562">
        <f t="shared" ref="M58:M72" si="19">I58*(J58/D58)^L58</f>
        <v>32.398266600818623</v>
      </c>
      <c r="N58" s="574">
        <f>'R2_Hydro_MEFA'!$L$23</f>
        <v>4692.0727255217926</v>
      </c>
      <c r="O58" s="636">
        <f>Macro!$D$16*Macro!$D$20*8</f>
        <v>7920</v>
      </c>
      <c r="P58" s="642">
        <f>M58*O58</f>
        <v>256594.27147848348</v>
      </c>
      <c r="Q58" s="852">
        <f>120/60</f>
        <v>2</v>
      </c>
      <c r="R58" s="852"/>
      <c r="S58" s="553">
        <f t="shared" ref="S58:S81" si="20">N58/J58</f>
        <v>7920</v>
      </c>
      <c r="T58" s="268" t="s">
        <v>140</v>
      </c>
      <c r="U58" s="271"/>
    </row>
    <row r="59" spans="1:21" ht="16.2" x14ac:dyDescent="0.3">
      <c r="A59" s="1140"/>
      <c r="B59" s="121" t="s">
        <v>205</v>
      </c>
      <c r="C59" t="s">
        <v>472</v>
      </c>
      <c r="D59" s="809">
        <v>10</v>
      </c>
      <c r="E59" s="809"/>
      <c r="F59" s="286" t="s">
        <v>465</v>
      </c>
      <c r="G59" s="809">
        <v>24</v>
      </c>
      <c r="H59" s="822">
        <v>0.4</v>
      </c>
      <c r="I59" s="540">
        <f t="shared" ref="I59:I81" si="21">(1+H59)*G59</f>
        <v>33.599999999999994</v>
      </c>
      <c r="J59" s="457">
        <f t="shared" si="18"/>
        <v>3.1351654069771251</v>
      </c>
      <c r="K59" s="540" t="s">
        <v>430</v>
      </c>
      <c r="L59" s="825">
        <v>0.8</v>
      </c>
      <c r="M59" s="563">
        <f t="shared" si="19"/>
        <v>13.284574363835372</v>
      </c>
      <c r="N59" s="493">
        <f>'R2_Hydro_MEFA'!$L$30</f>
        <v>24830.51002325883</v>
      </c>
      <c r="O59" s="635">
        <f>Macro!$D$16*Macro!$D$20*8</f>
        <v>7920</v>
      </c>
      <c r="P59" s="640">
        <f t="shared" ref="P59:P71" si="22">M59*O59</f>
        <v>105213.82896157615</v>
      </c>
      <c r="Q59" s="849">
        <f>15/60</f>
        <v>0.25</v>
      </c>
      <c r="R59" s="849"/>
      <c r="S59" s="495">
        <f t="shared" si="20"/>
        <v>7920</v>
      </c>
      <c r="T59" t="s">
        <v>140</v>
      </c>
      <c r="U59" s="262"/>
    </row>
    <row r="60" spans="1:21" ht="16.2" x14ac:dyDescent="0.3">
      <c r="A60" s="1140"/>
      <c r="B60" t="s">
        <v>716</v>
      </c>
      <c r="C60" s="121" t="s">
        <v>477</v>
      </c>
      <c r="D60" s="809">
        <v>10</v>
      </c>
      <c r="E60" s="809"/>
      <c r="F60" s="286" t="s">
        <v>465</v>
      </c>
      <c r="G60" s="809">
        <v>18.5</v>
      </c>
      <c r="H60" s="822">
        <v>0.4</v>
      </c>
      <c r="I60" s="540">
        <f t="shared" si="21"/>
        <v>25.9</v>
      </c>
      <c r="J60" s="457">
        <f t="shared" si="18"/>
        <v>3.1351654069771251</v>
      </c>
      <c r="K60" s="540" t="s">
        <v>430</v>
      </c>
      <c r="L60" s="825">
        <v>0.8</v>
      </c>
      <c r="M60" s="563">
        <f t="shared" si="19"/>
        <v>10.240192738789768</v>
      </c>
      <c r="N60" s="493">
        <f>'R2_Hydro_MEFA'!$L$30</f>
        <v>24830.51002325883</v>
      </c>
      <c r="O60" s="635">
        <f>Macro!$D$16*Macro!$D$20*8</f>
        <v>7920</v>
      </c>
      <c r="P60" s="640">
        <f t="shared" si="22"/>
        <v>81102.326491214961</v>
      </c>
      <c r="Q60" s="849">
        <f>20/60</f>
        <v>0.33333333333333331</v>
      </c>
      <c r="R60" s="849"/>
      <c r="S60" s="495">
        <f t="shared" si="20"/>
        <v>7920</v>
      </c>
      <c r="T60" t="s">
        <v>140</v>
      </c>
      <c r="U60" s="262"/>
    </row>
    <row r="61" spans="1:21" ht="16.2" x14ac:dyDescent="0.3">
      <c r="A61" s="1140"/>
      <c r="B61" t="s">
        <v>554</v>
      </c>
      <c r="C61" s="121" t="s">
        <v>614</v>
      </c>
      <c r="D61" s="809">
        <v>10</v>
      </c>
      <c r="E61" s="809"/>
      <c r="F61" s="286" t="s">
        <v>465</v>
      </c>
      <c r="G61" s="809">
        <v>5</v>
      </c>
      <c r="H61" s="822">
        <v>0.4</v>
      </c>
      <c r="I61" s="547">
        <f t="shared" si="21"/>
        <v>7</v>
      </c>
      <c r="J61" s="495">
        <f t="shared" si="18"/>
        <v>0.18623883598509491</v>
      </c>
      <c r="K61" s="547" t="s">
        <v>430</v>
      </c>
      <c r="L61" s="825">
        <v>0.8</v>
      </c>
      <c r="M61" s="563">
        <f t="shared" si="19"/>
        <v>0.2891706684309126</v>
      </c>
      <c r="N61" s="575">
        <f>'R2_Hydro_MEFA'!$L$43</f>
        <v>1475.0115810019518</v>
      </c>
      <c r="O61" s="635">
        <f>Macro!$D$16*Macro!$D$20*8</f>
        <v>7920</v>
      </c>
      <c r="P61" s="640">
        <f t="shared" si="22"/>
        <v>2290.231693972828</v>
      </c>
      <c r="Q61" s="849">
        <f>60/60</f>
        <v>1</v>
      </c>
      <c r="R61" s="849"/>
      <c r="S61" s="495">
        <f t="shared" si="20"/>
        <v>7920</v>
      </c>
      <c r="U61" s="262"/>
    </row>
    <row r="62" spans="1:21" ht="16.2" x14ac:dyDescent="0.3">
      <c r="A62" s="1140"/>
      <c r="B62" t="s">
        <v>211</v>
      </c>
      <c r="C62" t="s">
        <v>466</v>
      </c>
      <c r="D62" s="809">
        <v>10</v>
      </c>
      <c r="E62" s="809"/>
      <c r="F62" s="286" t="s">
        <v>465</v>
      </c>
      <c r="G62" s="809">
        <v>24</v>
      </c>
      <c r="H62" s="822">
        <v>0.4</v>
      </c>
      <c r="I62" s="540">
        <f t="shared" si="21"/>
        <v>33.599999999999994</v>
      </c>
      <c r="J62" s="457">
        <f t="shared" si="18"/>
        <v>2.9138756275434199</v>
      </c>
      <c r="K62" s="540" t="s">
        <v>430</v>
      </c>
      <c r="L62" s="825">
        <v>0.8</v>
      </c>
      <c r="M62" s="563">
        <f t="shared" si="19"/>
        <v>12.528990678352661</v>
      </c>
      <c r="N62" s="493">
        <f>'R2_Hydro_MEFA'!$L$50</f>
        <v>23077.894970143887</v>
      </c>
      <c r="O62" s="635">
        <f>Macro!$D$16*Macro!$D$20*8</f>
        <v>7920</v>
      </c>
      <c r="P62" s="640">
        <f t="shared" si="22"/>
        <v>99229.606172553074</v>
      </c>
      <c r="Q62" s="849">
        <f>60/60</f>
        <v>1</v>
      </c>
      <c r="R62" s="849"/>
      <c r="S62" s="495">
        <f t="shared" si="20"/>
        <v>7920.0000000000009</v>
      </c>
      <c r="T62" t="s">
        <v>140</v>
      </c>
      <c r="U62" s="262"/>
    </row>
    <row r="63" spans="1:21" ht="16.2" x14ac:dyDescent="0.3">
      <c r="A63" s="1140"/>
      <c r="B63" t="s">
        <v>717</v>
      </c>
      <c r="C63" t="s">
        <v>478</v>
      </c>
      <c r="D63" s="809">
        <v>10</v>
      </c>
      <c r="E63" s="809"/>
      <c r="F63" s="286" t="s">
        <v>465</v>
      </c>
      <c r="G63" s="809">
        <v>18.5</v>
      </c>
      <c r="H63" s="822">
        <v>0.4</v>
      </c>
      <c r="I63" s="540">
        <f t="shared" si="21"/>
        <v>25.9</v>
      </c>
      <c r="J63" s="457">
        <f t="shared" si="18"/>
        <v>2.9138756275434199</v>
      </c>
      <c r="K63" s="540" t="s">
        <v>430</v>
      </c>
      <c r="L63" s="825">
        <v>0.8</v>
      </c>
      <c r="M63" s="563">
        <f t="shared" si="19"/>
        <v>9.6577636478968447</v>
      </c>
      <c r="N63" s="493">
        <f>'R2_Hydro_MEFA'!$L$50</f>
        <v>23077.894970143887</v>
      </c>
      <c r="O63" s="635">
        <f>Macro!$D$16*Macro!$D$20*8</f>
        <v>7920</v>
      </c>
      <c r="P63" s="640">
        <f t="shared" si="22"/>
        <v>76489.48809134301</v>
      </c>
      <c r="Q63" s="849">
        <f>10/60</f>
        <v>0.16666666666666666</v>
      </c>
      <c r="R63" s="849"/>
      <c r="S63" s="495">
        <f t="shared" si="20"/>
        <v>7920.0000000000009</v>
      </c>
      <c r="T63" t="s">
        <v>140</v>
      </c>
      <c r="U63" s="262"/>
    </row>
    <row r="64" spans="1:21" ht="16.2" x14ac:dyDescent="0.3">
      <c r="A64" s="1140"/>
      <c r="B64" t="s">
        <v>208</v>
      </c>
      <c r="C64" t="s">
        <v>472</v>
      </c>
      <c r="D64" s="809">
        <v>10</v>
      </c>
      <c r="E64" s="809"/>
      <c r="F64" s="286" t="s">
        <v>465</v>
      </c>
      <c r="G64" s="809">
        <v>24</v>
      </c>
      <c r="H64" s="822">
        <v>0.4</v>
      </c>
      <c r="I64" s="540">
        <f t="shared" si="21"/>
        <v>33.599999999999994</v>
      </c>
      <c r="J64" s="457">
        <f t="shared" si="18"/>
        <v>3.027784941366189</v>
      </c>
      <c r="K64" s="540" t="s">
        <v>430</v>
      </c>
      <c r="L64" s="825">
        <v>0.8</v>
      </c>
      <c r="M64" s="563">
        <f t="shared" si="19"/>
        <v>12.91930934110464</v>
      </c>
      <c r="N64" s="493">
        <f>'R2_Hydro_MEFA'!$L$65</f>
        <v>23980.056735620215</v>
      </c>
      <c r="O64" s="635">
        <f>Macro!$D$16*Macro!$D$20*8</f>
        <v>7920</v>
      </c>
      <c r="P64" s="640">
        <f t="shared" si="22"/>
        <v>102320.92998154875</v>
      </c>
      <c r="Q64" s="849">
        <f>15/60</f>
        <v>0.25</v>
      </c>
      <c r="R64" s="849"/>
      <c r="S64" s="495">
        <f t="shared" si="20"/>
        <v>7919.9999999999991</v>
      </c>
      <c r="T64" t="s">
        <v>140</v>
      </c>
      <c r="U64" s="262"/>
    </row>
    <row r="65" spans="1:21" ht="16.2" x14ac:dyDescent="0.3">
      <c r="A65" s="1140"/>
      <c r="B65" t="s">
        <v>718</v>
      </c>
      <c r="C65" t="s">
        <v>472</v>
      </c>
      <c r="D65" s="809">
        <v>10</v>
      </c>
      <c r="E65" s="809"/>
      <c r="F65" s="286" t="s">
        <v>465</v>
      </c>
      <c r="G65" s="809">
        <v>24</v>
      </c>
      <c r="H65" s="822">
        <v>0.4</v>
      </c>
      <c r="I65" s="540">
        <f t="shared" si="21"/>
        <v>33.599999999999994</v>
      </c>
      <c r="J65" s="457">
        <f t="shared" si="18"/>
        <v>3.8771957643947559</v>
      </c>
      <c r="K65" s="540" t="s">
        <v>430</v>
      </c>
      <c r="L65" s="825">
        <v>0.8</v>
      </c>
      <c r="M65" s="563">
        <f t="shared" si="19"/>
        <v>15.74539140947603</v>
      </c>
      <c r="N65" s="493">
        <f>'R2_Hydro_MEFA'!$L$72</f>
        <v>30707.390454006465</v>
      </c>
      <c r="O65" s="635">
        <f>Macro!$D$16*Macro!$D$20*8</f>
        <v>7920</v>
      </c>
      <c r="P65" s="640">
        <f t="shared" si="22"/>
        <v>124703.49996305016</v>
      </c>
      <c r="Q65" s="849">
        <f>30/60</f>
        <v>0.5</v>
      </c>
      <c r="R65" s="849"/>
      <c r="S65" s="495">
        <f t="shared" si="20"/>
        <v>7920</v>
      </c>
      <c r="T65" t="s">
        <v>140</v>
      </c>
      <c r="U65" s="262"/>
    </row>
    <row r="66" spans="1:21" ht="16.2" x14ac:dyDescent="0.3">
      <c r="A66" s="1140"/>
      <c r="B66" t="s">
        <v>719</v>
      </c>
      <c r="C66" t="s">
        <v>478</v>
      </c>
      <c r="D66" s="809">
        <v>10</v>
      </c>
      <c r="E66" s="809"/>
      <c r="F66" s="286" t="s">
        <v>465</v>
      </c>
      <c r="G66" s="809">
        <v>18.5</v>
      </c>
      <c r="H66" s="822">
        <v>0.4</v>
      </c>
      <c r="I66" s="540">
        <f t="shared" si="21"/>
        <v>25.9</v>
      </c>
      <c r="J66" s="457">
        <f t="shared" si="18"/>
        <v>3.8771957643947559</v>
      </c>
      <c r="K66" s="540" t="s">
        <v>430</v>
      </c>
      <c r="L66" s="825">
        <v>0.8</v>
      </c>
      <c r="M66" s="563">
        <f t="shared" si="19"/>
        <v>12.137072544804441</v>
      </c>
      <c r="N66" s="493">
        <f>'R2_Hydro_MEFA'!$L$72</f>
        <v>30707.390454006465</v>
      </c>
      <c r="O66" s="635">
        <f>Macro!$D$16*Macro!$D$20*8</f>
        <v>7920</v>
      </c>
      <c r="P66" s="640">
        <f t="shared" si="22"/>
        <v>96125.61455485117</v>
      </c>
      <c r="Q66" s="457"/>
      <c r="R66" s="457"/>
      <c r="S66" s="495"/>
      <c r="T66" t="s">
        <v>140</v>
      </c>
      <c r="U66" s="262"/>
    </row>
    <row r="67" spans="1:21" ht="16.2" x14ac:dyDescent="0.3">
      <c r="A67" s="1140"/>
      <c r="B67" t="s">
        <v>564</v>
      </c>
      <c r="C67" t="s">
        <v>472</v>
      </c>
      <c r="D67" s="809">
        <v>10</v>
      </c>
      <c r="E67" s="809"/>
      <c r="F67" s="286" t="s">
        <v>465</v>
      </c>
      <c r="G67" s="809">
        <v>24</v>
      </c>
      <c r="H67" s="822">
        <v>0.4</v>
      </c>
      <c r="I67" s="540">
        <f t="shared" si="21"/>
        <v>33.599999999999994</v>
      </c>
      <c r="J67" s="457">
        <f t="shared" si="18"/>
        <v>3.4723709096042135</v>
      </c>
      <c r="K67" s="540" t="s">
        <v>430</v>
      </c>
      <c r="L67" s="825">
        <v>0.8</v>
      </c>
      <c r="M67" s="563">
        <f t="shared" si="19"/>
        <v>14.415847012802766</v>
      </c>
      <c r="N67" s="493">
        <f>'R2_Hydro_MEFA'!$L$78</f>
        <v>27501.177604065371</v>
      </c>
      <c r="O67" s="635">
        <f>Macro!$D$16*Macro!$D$20*8</f>
        <v>7920</v>
      </c>
      <c r="P67" s="640">
        <f t="shared" si="22"/>
        <v>114173.50834139792</v>
      </c>
      <c r="Q67" s="849">
        <f>10/60</f>
        <v>0.16666666666666666</v>
      </c>
      <c r="R67" s="849"/>
      <c r="S67" s="495">
        <f t="shared" si="20"/>
        <v>7920</v>
      </c>
      <c r="T67" t="s">
        <v>140</v>
      </c>
      <c r="U67" s="262"/>
    </row>
    <row r="68" spans="1:21" ht="16.2" x14ac:dyDescent="0.3">
      <c r="A68" s="1140"/>
      <c r="B68" t="s">
        <v>575</v>
      </c>
      <c r="C68" t="s">
        <v>472</v>
      </c>
      <c r="D68" s="809">
        <v>10</v>
      </c>
      <c r="E68" s="809"/>
      <c r="F68" s="286" t="s">
        <v>465</v>
      </c>
      <c r="G68" s="809">
        <v>24</v>
      </c>
      <c r="H68" s="822">
        <v>0.4</v>
      </c>
      <c r="I68" s="540">
        <f t="shared" si="21"/>
        <v>33.599999999999994</v>
      </c>
      <c r="J68" s="457">
        <f t="shared" si="18"/>
        <v>1.1475613609681619</v>
      </c>
      <c r="K68" s="540" t="s">
        <v>430</v>
      </c>
      <c r="L68" s="825">
        <v>0.8</v>
      </c>
      <c r="M68" s="563">
        <f t="shared" si="19"/>
        <v>5.9451115918955839</v>
      </c>
      <c r="N68" s="493">
        <f>'R2_Hydro_MEFA'!$L$98</f>
        <v>9088.6859788678412</v>
      </c>
      <c r="O68" s="635">
        <f>Macro!$D$16*Macro!$D$20*8</f>
        <v>7920</v>
      </c>
      <c r="P68" s="640">
        <f t="shared" si="22"/>
        <v>47085.283807813023</v>
      </c>
      <c r="Q68" s="849">
        <f t="shared" ref="Q68:Q72" si="23">10/60</f>
        <v>0.16666666666666666</v>
      </c>
      <c r="R68" s="849"/>
      <c r="S68" s="495">
        <f t="shared" si="20"/>
        <v>7919.9999999999991</v>
      </c>
      <c r="T68" t="s">
        <v>140</v>
      </c>
      <c r="U68" s="262"/>
    </row>
    <row r="69" spans="1:21" ht="16.2" x14ac:dyDescent="0.3">
      <c r="A69" s="1140"/>
      <c r="B69" t="s">
        <v>577</v>
      </c>
      <c r="C69" t="s">
        <v>472</v>
      </c>
      <c r="D69" s="809">
        <v>10</v>
      </c>
      <c r="E69" s="809"/>
      <c r="F69" s="286" t="s">
        <v>465</v>
      </c>
      <c r="G69" s="809">
        <v>24</v>
      </c>
      <c r="H69" s="822">
        <v>0.4</v>
      </c>
      <c r="I69" s="540">
        <f t="shared" si="21"/>
        <v>33.599999999999994</v>
      </c>
      <c r="J69" s="457">
        <f t="shared" si="18"/>
        <v>1.1479820456352401</v>
      </c>
      <c r="K69" s="540" t="s">
        <v>430</v>
      </c>
      <c r="L69" s="825">
        <v>0.8</v>
      </c>
      <c r="M69" s="563">
        <f t="shared" si="19"/>
        <v>5.9468550633678454</v>
      </c>
      <c r="N69" s="493">
        <f>'R2_Hydro_MEFA'!$L$104</f>
        <v>9092.0178014311023</v>
      </c>
      <c r="O69" s="635">
        <f>Macro!$D$16*Macro!$D$20*8</f>
        <v>7920</v>
      </c>
      <c r="P69" s="640">
        <f t="shared" si="22"/>
        <v>47099.092101873335</v>
      </c>
      <c r="Q69" s="849">
        <f t="shared" si="23"/>
        <v>0.16666666666666666</v>
      </c>
      <c r="R69" s="849"/>
      <c r="S69" s="495">
        <f t="shared" si="20"/>
        <v>7920.0000000000009</v>
      </c>
      <c r="T69" t="s">
        <v>140</v>
      </c>
      <c r="U69" s="262"/>
    </row>
    <row r="70" spans="1:21" ht="16.2" x14ac:dyDescent="0.3">
      <c r="A70" s="1140"/>
      <c r="B70" t="s">
        <v>471</v>
      </c>
      <c r="C70" t="s">
        <v>472</v>
      </c>
      <c r="D70" s="809">
        <v>10</v>
      </c>
      <c r="E70" s="809"/>
      <c r="F70" s="286" t="s">
        <v>465</v>
      </c>
      <c r="G70" s="809">
        <v>24</v>
      </c>
      <c r="H70" s="822">
        <v>0.4</v>
      </c>
      <c r="I70" s="540">
        <f t="shared" si="21"/>
        <v>33.599999999999994</v>
      </c>
      <c r="J70" s="457">
        <f t="shared" si="18"/>
        <v>1.1479820456352401</v>
      </c>
      <c r="K70" s="540" t="s">
        <v>430</v>
      </c>
      <c r="L70" s="825">
        <v>0.8</v>
      </c>
      <c r="M70" s="563">
        <f t="shared" si="19"/>
        <v>5.9468550633678454</v>
      </c>
      <c r="N70" s="493">
        <f>'R2_Hydro_MEFA'!$L$104</f>
        <v>9092.0178014311023</v>
      </c>
      <c r="O70" s="635">
        <f>Macro!$D$16*Macro!$D$20*8</f>
        <v>7920</v>
      </c>
      <c r="P70" s="640">
        <f t="shared" si="22"/>
        <v>47099.092101873335</v>
      </c>
      <c r="Q70" s="849">
        <f t="shared" si="23"/>
        <v>0.16666666666666666</v>
      </c>
      <c r="R70" s="849"/>
      <c r="S70" s="495">
        <f t="shared" si="20"/>
        <v>7920.0000000000009</v>
      </c>
      <c r="T70" t="s">
        <v>140</v>
      </c>
      <c r="U70" s="262"/>
    </row>
    <row r="71" spans="1:21" ht="16.2" x14ac:dyDescent="0.3">
      <c r="A71" s="1140"/>
      <c r="B71" t="s">
        <v>362</v>
      </c>
      <c r="C71" t="s">
        <v>472</v>
      </c>
      <c r="D71" s="809">
        <v>10</v>
      </c>
      <c r="E71" s="809"/>
      <c r="F71" s="286" t="s">
        <v>465</v>
      </c>
      <c r="G71" s="809">
        <v>24</v>
      </c>
      <c r="H71" s="822">
        <v>0.4</v>
      </c>
      <c r="I71" s="540">
        <f t="shared" si="21"/>
        <v>33.599999999999994</v>
      </c>
      <c r="J71" s="457">
        <f t="shared" si="18"/>
        <v>0.36353954575849123</v>
      </c>
      <c r="K71" s="540" t="s">
        <v>430</v>
      </c>
      <c r="L71" s="825">
        <v>0.8</v>
      </c>
      <c r="M71" s="563">
        <f t="shared" si="19"/>
        <v>2.3701760510682353</v>
      </c>
      <c r="N71" s="493">
        <f>'R2_Hydro_MEFA'!$L$123</f>
        <v>2879.2332024072507</v>
      </c>
      <c r="O71" s="635">
        <f>Macro!$D$16*Macro!$D$20*8</f>
        <v>7920</v>
      </c>
      <c r="P71" s="640">
        <f t="shared" si="22"/>
        <v>18771.794324460425</v>
      </c>
      <c r="Q71" s="849">
        <f t="shared" si="23"/>
        <v>0.16666666666666666</v>
      </c>
      <c r="R71" s="849"/>
      <c r="S71" s="495">
        <f t="shared" si="20"/>
        <v>7920</v>
      </c>
      <c r="T71" t="s">
        <v>140</v>
      </c>
      <c r="U71" s="262"/>
    </row>
    <row r="72" spans="1:21" ht="16.2" x14ac:dyDescent="0.3">
      <c r="A72" s="1140"/>
      <c r="B72" t="s">
        <v>366</v>
      </c>
      <c r="C72" t="s">
        <v>472</v>
      </c>
      <c r="D72" s="809">
        <v>10</v>
      </c>
      <c r="E72" s="809"/>
      <c r="F72" s="286" t="s">
        <v>465</v>
      </c>
      <c r="G72" s="809">
        <v>24</v>
      </c>
      <c r="H72" s="822">
        <v>0.4</v>
      </c>
      <c r="I72" s="540">
        <f t="shared" si="21"/>
        <v>33.599999999999994</v>
      </c>
      <c r="J72" s="457">
        <f t="shared" si="18"/>
        <v>0.36365607000130984</v>
      </c>
      <c r="K72" s="540" t="s">
        <v>430</v>
      </c>
      <c r="L72" s="825">
        <v>0.8</v>
      </c>
      <c r="M72" s="563">
        <f t="shared" si="19"/>
        <v>2.3707837959403286</v>
      </c>
      <c r="N72" s="493">
        <f>'R2_Hydro_MEFA'!$L$129</f>
        <v>2880.156074410374</v>
      </c>
      <c r="O72" s="635">
        <f>Macro!$D$16*Macro!$D$20*8</f>
        <v>7920</v>
      </c>
      <c r="P72" s="640">
        <f>M72*O72</f>
        <v>18776.607663847404</v>
      </c>
      <c r="Q72" s="849">
        <f t="shared" si="23"/>
        <v>0.16666666666666666</v>
      </c>
      <c r="R72" s="849"/>
      <c r="S72" s="495">
        <f t="shared" si="20"/>
        <v>7920</v>
      </c>
      <c r="T72" t="s">
        <v>140</v>
      </c>
      <c r="U72" s="262"/>
    </row>
    <row r="73" spans="1:21" x14ac:dyDescent="0.3">
      <c r="A73" s="1140"/>
      <c r="B73" t="s">
        <v>615</v>
      </c>
      <c r="C73" t="s">
        <v>702</v>
      </c>
      <c r="D73" s="1152"/>
      <c r="E73" s="1152"/>
      <c r="F73" s="1152"/>
      <c r="G73" s="1152"/>
      <c r="H73" s="1152"/>
      <c r="I73" s="1152"/>
      <c r="J73" s="1152"/>
      <c r="K73" s="1152"/>
      <c r="L73" s="1152"/>
      <c r="M73" s="1152"/>
      <c r="N73" s="1152"/>
      <c r="O73" s="1152"/>
      <c r="P73" s="640">
        <f>C149/3.6</f>
        <v>2805946.9670259641</v>
      </c>
      <c r="Q73" s="457"/>
      <c r="R73" s="457"/>
      <c r="S73" s="495"/>
      <c r="U73" s="262" t="s">
        <v>703</v>
      </c>
    </row>
    <row r="74" spans="1:21" x14ac:dyDescent="0.3">
      <c r="A74" s="1140"/>
      <c r="B74" t="s">
        <v>616</v>
      </c>
      <c r="C74" t="s">
        <v>702</v>
      </c>
      <c r="D74" s="1152"/>
      <c r="E74" s="1152"/>
      <c r="F74" s="1152"/>
      <c r="G74" s="1152"/>
      <c r="H74" s="1152"/>
      <c r="I74" s="1152"/>
      <c r="J74" s="1152"/>
      <c r="K74" s="1152"/>
      <c r="L74" s="1152"/>
      <c r="M74" s="1152"/>
      <c r="N74" s="1152"/>
      <c r="O74" s="1152"/>
      <c r="P74" s="640">
        <f>C150/3.6</f>
        <v>1852068.7874953537</v>
      </c>
      <c r="Q74" s="457"/>
      <c r="R74" s="457"/>
      <c r="S74" s="495"/>
      <c r="U74" s="262" t="s">
        <v>703</v>
      </c>
    </row>
    <row r="75" spans="1:21" ht="16.2" x14ac:dyDescent="0.3">
      <c r="A75" s="1140"/>
      <c r="B75" t="s">
        <v>394</v>
      </c>
      <c r="C75" t="s">
        <v>472</v>
      </c>
      <c r="D75" s="809">
        <v>10</v>
      </c>
      <c r="E75" s="809"/>
      <c r="F75" s="286" t="s">
        <v>465</v>
      </c>
      <c r="G75" s="809">
        <v>24</v>
      </c>
      <c r="H75" s="822">
        <v>0.4</v>
      </c>
      <c r="I75" s="540">
        <f t="shared" si="21"/>
        <v>33.599999999999994</v>
      </c>
      <c r="J75" s="457">
        <f t="shared" ref="J75:J77" si="24">N75/O75</f>
        <v>4.6499990705197876</v>
      </c>
      <c r="K75" s="540" t="s">
        <v>430</v>
      </c>
      <c r="L75" s="825">
        <v>0.8</v>
      </c>
      <c r="M75" s="563">
        <f>I75*(J75/D75)^L75</f>
        <v>18.209648816311134</v>
      </c>
      <c r="N75" s="493">
        <f>'R2_Hydro_MEFA'!$L$91</f>
        <v>36827.99263851672</v>
      </c>
      <c r="O75" s="635">
        <f>Macro!$D$16*Macro!$D$20*8</f>
        <v>7920</v>
      </c>
      <c r="P75" s="640">
        <f>M75*O75</f>
        <v>144220.41862518419</v>
      </c>
      <c r="Q75" s="849">
        <f>10/60</f>
        <v>0.16666666666666666</v>
      </c>
      <c r="R75" s="849"/>
      <c r="S75" s="495">
        <f t="shared" si="20"/>
        <v>7920.0000000000009</v>
      </c>
      <c r="T75" t="s">
        <v>140</v>
      </c>
      <c r="U75" s="262"/>
    </row>
    <row r="76" spans="1:21" ht="16.2" x14ac:dyDescent="0.3">
      <c r="A76" s="1140"/>
      <c r="B76" t="s">
        <v>400</v>
      </c>
      <c r="C76" t="s">
        <v>472</v>
      </c>
      <c r="D76" s="809">
        <v>10</v>
      </c>
      <c r="E76" s="809"/>
      <c r="F76" s="286" t="s">
        <v>465</v>
      </c>
      <c r="G76" s="809">
        <v>24</v>
      </c>
      <c r="H76" s="822">
        <v>0.4</v>
      </c>
      <c r="I76" s="540">
        <f t="shared" si="21"/>
        <v>33.599999999999994</v>
      </c>
      <c r="J76" s="457">
        <f t="shared" si="24"/>
        <v>0.22695939647582256</v>
      </c>
      <c r="K76" s="540" t="s">
        <v>430</v>
      </c>
      <c r="L76" s="825">
        <v>0.8</v>
      </c>
      <c r="M76" s="563">
        <f>I76*(J76/D76)^L76</f>
        <v>1.6259149027980815</v>
      </c>
      <c r="N76" s="493">
        <f>'R2_Hydro_MEFA'!$L$159</f>
        <v>1797.5184200885146</v>
      </c>
      <c r="O76" s="635">
        <f>Macro!$D$16*Macro!$D$20*8</f>
        <v>7920</v>
      </c>
      <c r="P76" s="640">
        <f t="shared" ref="P76:P77" si="25">M76*O76</f>
        <v>12877.246030160806</v>
      </c>
      <c r="Q76" s="849">
        <f t="shared" ref="Q76:Q77" si="26">10/60</f>
        <v>0.16666666666666666</v>
      </c>
      <c r="R76" s="849"/>
      <c r="S76" s="495">
        <f t="shared" si="20"/>
        <v>7920</v>
      </c>
      <c r="T76" t="s">
        <v>140</v>
      </c>
      <c r="U76" s="262"/>
    </row>
    <row r="77" spans="1:21" ht="16.2" x14ac:dyDescent="0.3">
      <c r="A77" s="1140"/>
      <c r="B77" t="s">
        <v>403</v>
      </c>
      <c r="C77" t="s">
        <v>472</v>
      </c>
      <c r="D77" s="809">
        <v>10</v>
      </c>
      <c r="E77" s="809"/>
      <c r="F77" s="286" t="s">
        <v>465</v>
      </c>
      <c r="G77" s="809">
        <v>24</v>
      </c>
      <c r="H77" s="822">
        <v>0.4</v>
      </c>
      <c r="I77" s="540">
        <f t="shared" si="21"/>
        <v>33.599999999999994</v>
      </c>
      <c r="J77" s="457">
        <f t="shared" si="24"/>
        <v>0.22715889138544082</v>
      </c>
      <c r="K77" s="540" t="s">
        <v>430</v>
      </c>
      <c r="L77" s="825">
        <v>0.8</v>
      </c>
      <c r="M77" s="563">
        <f>I77*(J77/D77)^L77</f>
        <v>1.627058131941556</v>
      </c>
      <c r="N77" s="493">
        <f>'R2_Hydro_MEFA'!$L$165</f>
        <v>1799.0984197726914</v>
      </c>
      <c r="O77" s="635">
        <f>Macro!$D$16*Macro!$D$20*8</f>
        <v>7920</v>
      </c>
      <c r="P77" s="640">
        <f t="shared" si="25"/>
        <v>12886.300404977124</v>
      </c>
      <c r="Q77" s="849">
        <f t="shared" si="26"/>
        <v>0.16666666666666666</v>
      </c>
      <c r="R77" s="849"/>
      <c r="S77" s="495">
        <f t="shared" si="20"/>
        <v>7920</v>
      </c>
      <c r="T77" t="s">
        <v>140</v>
      </c>
      <c r="U77" s="262"/>
    </row>
    <row r="78" spans="1:21" x14ac:dyDescent="0.3">
      <c r="A78" s="1140"/>
      <c r="B78" t="s">
        <v>617</v>
      </c>
      <c r="C78" t="s">
        <v>702</v>
      </c>
      <c r="D78" s="1152"/>
      <c r="E78" s="1152"/>
      <c r="F78" s="1152"/>
      <c r="G78" s="1152"/>
      <c r="H78" s="1152"/>
      <c r="I78" s="1152"/>
      <c r="J78" s="1152"/>
      <c r="K78" s="1152"/>
      <c r="L78" s="1152"/>
      <c r="M78" s="1152"/>
      <c r="N78" s="1152"/>
      <c r="O78" s="1152"/>
      <c r="P78" s="638">
        <f>C151/3.6</f>
        <v>1187135.7745088383</v>
      </c>
      <c r="Q78" s="457"/>
      <c r="R78" s="457"/>
      <c r="S78" s="495"/>
      <c r="T78" t="s">
        <v>140</v>
      </c>
      <c r="U78" s="262"/>
    </row>
    <row r="79" spans="1:21" x14ac:dyDescent="0.3">
      <c r="A79" s="1140"/>
      <c r="B79" s="121" t="s">
        <v>201</v>
      </c>
      <c r="C79" s="286" t="s">
        <v>406</v>
      </c>
      <c r="D79" s="1152"/>
      <c r="E79" s="1152"/>
      <c r="F79" s="1152"/>
      <c r="G79" s="1152"/>
      <c r="H79" s="1152"/>
      <c r="I79" s="1152"/>
      <c r="J79" s="1152"/>
      <c r="K79" s="1152"/>
      <c r="L79" s="1152"/>
      <c r="M79" s="1152"/>
      <c r="N79" s="1152"/>
      <c r="O79" s="1152"/>
      <c r="P79" s="640">
        <f>C157/3.6</f>
        <v>9646748.8827165086</v>
      </c>
      <c r="Q79" s="457"/>
      <c r="R79" s="457"/>
      <c r="S79" s="495"/>
      <c r="U79" s="262" t="s">
        <v>703</v>
      </c>
    </row>
    <row r="80" spans="1:21" ht="16.2" x14ac:dyDescent="0.3">
      <c r="A80" s="1140"/>
      <c r="B80" s="121" t="s">
        <v>618</v>
      </c>
      <c r="C80" t="s">
        <v>472</v>
      </c>
      <c r="D80" s="809">
        <v>10</v>
      </c>
      <c r="E80" s="809"/>
      <c r="F80" s="286" t="s">
        <v>465</v>
      </c>
      <c r="G80" s="809">
        <v>24</v>
      </c>
      <c r="H80" s="822">
        <v>0.4</v>
      </c>
      <c r="I80" s="540">
        <f t="shared" si="21"/>
        <v>33.599999999999994</v>
      </c>
      <c r="J80" s="457">
        <f t="shared" ref="J80:J81" si="27">N80/O80</f>
        <v>2.5174680796346718</v>
      </c>
      <c r="K80" s="540" t="s">
        <v>430</v>
      </c>
      <c r="L80" s="825">
        <v>0.8</v>
      </c>
      <c r="M80" s="563">
        <f>I80*(J80/D80)^L80</f>
        <v>11.145779716404789</v>
      </c>
      <c r="N80" s="493">
        <f>'R2_Hydro_MEFA'!$L$188</f>
        <v>19938.347190706601</v>
      </c>
      <c r="O80" s="635">
        <f>Macro!$D$16*Macro!$D$20*8</f>
        <v>7920</v>
      </c>
      <c r="P80" s="640">
        <f>O80*M80</f>
        <v>88274.575353925931</v>
      </c>
      <c r="Q80" s="849">
        <f>30/60</f>
        <v>0.5</v>
      </c>
      <c r="R80" s="849"/>
      <c r="S80" s="495">
        <f t="shared" si="20"/>
        <v>7920</v>
      </c>
      <c r="T80" t="s">
        <v>140</v>
      </c>
      <c r="U80" s="262"/>
    </row>
    <row r="81" spans="1:21" ht="16.2" x14ac:dyDescent="0.3">
      <c r="A81" s="1140"/>
      <c r="B81" t="s">
        <v>679</v>
      </c>
      <c r="C81" t="s">
        <v>478</v>
      </c>
      <c r="D81" s="809">
        <v>10</v>
      </c>
      <c r="E81" s="809"/>
      <c r="F81" t="s">
        <v>465</v>
      </c>
      <c r="G81" s="809">
        <v>18.5</v>
      </c>
      <c r="H81" s="822">
        <v>0.4</v>
      </c>
      <c r="I81" s="540">
        <f t="shared" si="21"/>
        <v>25.9</v>
      </c>
      <c r="J81" s="457">
        <f t="shared" si="27"/>
        <v>2.5174680796346718</v>
      </c>
      <c r="K81" s="540" t="s">
        <v>430</v>
      </c>
      <c r="L81" s="825">
        <v>0.8</v>
      </c>
      <c r="M81" s="563">
        <f>I81*(J81/D81)^L81</f>
        <v>8.5915385313953596</v>
      </c>
      <c r="N81" s="493">
        <f>'R2_Hydro_MEFA'!$L$188</f>
        <v>19938.347190706601</v>
      </c>
      <c r="O81" s="635">
        <f>Macro!$D$16*Macro!$D$20*8</f>
        <v>7920</v>
      </c>
      <c r="P81" s="640">
        <f>O81*M81</f>
        <v>68044.985168651241</v>
      </c>
      <c r="Q81" s="849">
        <f>10/60</f>
        <v>0.16666666666666666</v>
      </c>
      <c r="R81" s="849"/>
      <c r="S81" s="495">
        <f t="shared" si="20"/>
        <v>7920</v>
      </c>
      <c r="T81" t="s">
        <v>140</v>
      </c>
      <c r="U81" s="262"/>
    </row>
    <row r="82" spans="1:21" ht="15" thickBot="1" x14ac:dyDescent="0.35">
      <c r="A82" s="1141"/>
      <c r="B82" s="273" t="s">
        <v>22</v>
      </c>
      <c r="C82" s="273" t="s">
        <v>406</v>
      </c>
      <c r="D82" s="1153"/>
      <c r="E82" s="1153"/>
      <c r="F82" s="1153"/>
      <c r="G82" s="1153"/>
      <c r="H82" s="1153"/>
      <c r="I82" s="1153"/>
      <c r="J82" s="1153"/>
      <c r="K82" s="1153"/>
      <c r="L82" s="1153"/>
      <c r="M82" s="1153"/>
      <c r="N82" s="1153"/>
      <c r="O82" s="1153"/>
      <c r="P82" s="641">
        <f>C161/3.6</f>
        <v>0</v>
      </c>
      <c r="Q82" s="550"/>
      <c r="R82" s="550"/>
      <c r="S82" s="550"/>
      <c r="T82" s="273"/>
      <c r="U82" s="276" t="s">
        <v>703</v>
      </c>
    </row>
    <row r="83" spans="1:21" x14ac:dyDescent="0.3">
      <c r="A83" s="545"/>
      <c r="D83" s="495"/>
      <c r="E83" s="495"/>
      <c r="F83" s="286"/>
      <c r="H83" s="546"/>
      <c r="I83" s="540"/>
      <c r="J83" s="457"/>
      <c r="K83" s="540"/>
      <c r="M83" s="563"/>
      <c r="N83" s="495"/>
      <c r="O83" s="495"/>
      <c r="P83" s="583"/>
      <c r="Q83" s="495"/>
      <c r="R83" s="495"/>
      <c r="S83" s="495"/>
    </row>
    <row r="84" spans="1:21" x14ac:dyDescent="0.3">
      <c r="A84" s="545"/>
      <c r="D84" s="495"/>
      <c r="E84" s="495"/>
      <c r="F84" s="286"/>
      <c r="H84" s="546"/>
      <c r="I84" s="540"/>
      <c r="J84" s="457"/>
      <c r="K84" s="540"/>
      <c r="M84" s="563"/>
      <c r="N84" s="495"/>
      <c r="O84" s="495"/>
      <c r="P84" s="583"/>
      <c r="Q84" s="495"/>
      <c r="R84" s="495"/>
      <c r="S84" s="495"/>
    </row>
    <row r="85" spans="1:21" ht="21.6" thickBot="1" x14ac:dyDescent="0.45">
      <c r="A85" s="188" t="s">
        <v>103</v>
      </c>
    </row>
    <row r="86" spans="1:21" s="628" customFormat="1" ht="52.2" customHeight="1" thickBot="1" x14ac:dyDescent="0.35">
      <c r="A86" s="647" t="s">
        <v>705</v>
      </c>
      <c r="B86" s="647" t="s">
        <v>720</v>
      </c>
      <c r="C86" s="647" t="s">
        <v>442</v>
      </c>
      <c r="D86" s="647" t="s">
        <v>436</v>
      </c>
      <c r="E86" s="647"/>
      <c r="F86" s="647" t="s">
        <v>252</v>
      </c>
      <c r="G86" s="647" t="s">
        <v>685</v>
      </c>
      <c r="H86" s="646" t="s">
        <v>686</v>
      </c>
      <c r="I86" s="647" t="s">
        <v>687</v>
      </c>
      <c r="J86" s="647" t="s">
        <v>688</v>
      </c>
      <c r="K86" s="647" t="s">
        <v>252</v>
      </c>
      <c r="L86" s="649" t="s">
        <v>707</v>
      </c>
      <c r="M86" s="649" t="s">
        <v>721</v>
      </c>
      <c r="N86" s="650" t="s">
        <v>691</v>
      </c>
      <c r="O86" s="644" t="s">
        <v>692</v>
      </c>
      <c r="P86" s="645" t="s">
        <v>722</v>
      </c>
      <c r="Q86" s="646" t="s">
        <v>694</v>
      </c>
      <c r="R86" s="646"/>
      <c r="S86" s="646" t="s">
        <v>695</v>
      </c>
      <c r="T86" s="647" t="s">
        <v>606</v>
      </c>
      <c r="U86" s="627" t="s">
        <v>322</v>
      </c>
    </row>
    <row r="87" spans="1:21" x14ac:dyDescent="0.3">
      <c r="A87" s="1136" t="s">
        <v>248</v>
      </c>
      <c r="B87" s="267" t="s">
        <v>163</v>
      </c>
      <c r="C87" s="775" t="s">
        <v>696</v>
      </c>
      <c r="D87" s="845">
        <v>6</v>
      </c>
      <c r="E87" s="845"/>
      <c r="F87" s="267" t="s">
        <v>1040</v>
      </c>
      <c r="G87" s="277"/>
      <c r="H87" s="551"/>
      <c r="I87" s="539"/>
      <c r="J87" s="539"/>
      <c r="K87" s="539"/>
      <c r="L87" s="277"/>
      <c r="M87" s="559"/>
      <c r="N87" s="544"/>
      <c r="O87" s="495"/>
      <c r="P87" s="580"/>
      <c r="Q87" s="544"/>
      <c r="R87" s="544"/>
      <c r="S87" s="544"/>
      <c r="T87" s="268"/>
      <c r="U87" s="271"/>
    </row>
    <row r="88" spans="1:21" x14ac:dyDescent="0.3">
      <c r="A88" s="1137"/>
      <c r="B88" s="286" t="s">
        <v>164</v>
      </c>
      <c r="C88" s="286" t="s">
        <v>451</v>
      </c>
      <c r="D88" s="825">
        <v>0.33333333333333331</v>
      </c>
      <c r="E88" s="825"/>
      <c r="F88" s="286" t="s">
        <v>1040</v>
      </c>
      <c r="G88" s="180"/>
      <c r="H88" s="546"/>
      <c r="I88" s="540"/>
      <c r="J88" s="540"/>
      <c r="K88" s="540"/>
      <c r="M88" s="560"/>
      <c r="N88" s="457"/>
      <c r="O88" s="495"/>
      <c r="P88" s="581"/>
      <c r="Q88" s="457"/>
      <c r="R88" s="457"/>
      <c r="S88" s="457"/>
      <c r="U88" s="262"/>
    </row>
    <row r="89" spans="1:21" x14ac:dyDescent="0.3">
      <c r="A89" s="1137"/>
      <c r="B89" s="286" t="s">
        <v>165</v>
      </c>
      <c r="C89" s="286" t="s">
        <v>453</v>
      </c>
      <c r="D89" s="825">
        <v>6</v>
      </c>
      <c r="E89" s="825"/>
      <c r="F89" s="286" t="s">
        <v>1041</v>
      </c>
      <c r="G89" s="180"/>
      <c r="H89" s="546"/>
      <c r="I89" s="540"/>
      <c r="J89" s="540"/>
      <c r="K89" s="540"/>
      <c r="M89" s="560"/>
      <c r="N89" s="457"/>
      <c r="O89" s="495"/>
      <c r="P89" s="581"/>
      <c r="Q89" s="457"/>
      <c r="R89" s="457"/>
      <c r="S89" s="457"/>
      <c r="U89" s="262"/>
    </row>
    <row r="90" spans="1:21" ht="15" thickBot="1" x14ac:dyDescent="0.35">
      <c r="A90" s="1137"/>
      <c r="B90" s="286" t="s">
        <v>248</v>
      </c>
      <c r="C90" s="286" t="s">
        <v>698</v>
      </c>
      <c r="D90" s="825">
        <v>0.25</v>
      </c>
      <c r="E90" s="825"/>
      <c r="F90" s="286" t="s">
        <v>1040</v>
      </c>
      <c r="G90" s="180"/>
      <c r="H90" s="546"/>
      <c r="I90" s="540"/>
      <c r="J90" s="540"/>
      <c r="K90" s="540"/>
      <c r="M90" s="560"/>
      <c r="N90" s="457"/>
      <c r="O90" s="495"/>
      <c r="P90" s="581"/>
      <c r="Q90" s="457"/>
      <c r="R90" s="457"/>
      <c r="S90" s="457"/>
      <c r="U90" s="262" t="s">
        <v>723</v>
      </c>
    </row>
    <row r="91" spans="1:21" ht="16.2" x14ac:dyDescent="0.3">
      <c r="A91" s="1136" t="s">
        <v>724</v>
      </c>
      <c r="B91" s="777" t="s">
        <v>183</v>
      </c>
      <c r="C91" s="268" t="s">
        <v>333</v>
      </c>
      <c r="D91" s="827">
        <v>2</v>
      </c>
      <c r="E91" s="827"/>
      <c r="F91" s="267" t="s">
        <v>465</v>
      </c>
      <c r="G91" s="827">
        <v>350</v>
      </c>
      <c r="H91" s="824">
        <v>0.4</v>
      </c>
      <c r="I91" s="541">
        <f>(1+H91)*(G91/800*600)</f>
        <v>367.5</v>
      </c>
      <c r="J91" s="544">
        <f>N91/O91</f>
        <v>0.77012138299060851</v>
      </c>
      <c r="K91" s="541" t="s">
        <v>430</v>
      </c>
      <c r="L91" s="845">
        <v>0.8</v>
      </c>
      <c r="M91" s="562">
        <f t="shared" ref="M91:M96" si="28">I91*(J91/D91)^L91</f>
        <v>171.26976133748198</v>
      </c>
      <c r="N91" s="574">
        <f>'R3_MEFA'!C48/2.5</f>
        <v>6099.3613532856198</v>
      </c>
      <c r="O91" s="636">
        <f>Macro!$D$16*Macro!$D$20*8</f>
        <v>7920</v>
      </c>
      <c r="P91" s="642">
        <f>M91*O91</f>
        <v>1356456.5097928573</v>
      </c>
      <c r="Q91" s="852">
        <f>120/60</f>
        <v>2</v>
      </c>
      <c r="R91" s="852"/>
      <c r="S91" s="553">
        <f t="shared" ref="S91" si="29">N91/J91</f>
        <v>7920.0000000000009</v>
      </c>
      <c r="T91" s="268" t="s">
        <v>140</v>
      </c>
      <c r="U91" s="271" t="s">
        <v>725</v>
      </c>
    </row>
    <row r="92" spans="1:21" ht="15" thickBot="1" x14ac:dyDescent="0.35">
      <c r="A92" s="1138"/>
      <c r="B92" s="741" t="s">
        <v>185</v>
      </c>
      <c r="C92" s="287" t="s">
        <v>671</v>
      </c>
      <c r="D92" s="853">
        <v>1.5</v>
      </c>
      <c r="E92" s="853"/>
      <c r="F92" s="287" t="s">
        <v>1045</v>
      </c>
      <c r="G92" s="826">
        <v>5</v>
      </c>
      <c r="H92" s="823">
        <v>0.4</v>
      </c>
      <c r="I92" s="685">
        <f>(1+H92)*G92</f>
        <v>7</v>
      </c>
      <c r="J92" s="550">
        <f>N92/O92</f>
        <v>5.476583225444644</v>
      </c>
      <c r="K92" s="549"/>
      <c r="L92" s="826">
        <v>0.8</v>
      </c>
      <c r="M92" s="564">
        <f t="shared" si="28"/>
        <v>19.725716461198029</v>
      </c>
      <c r="N92" s="643">
        <f>'R3_MEFA'!C6</f>
        <v>43374.539145521579</v>
      </c>
      <c r="O92" s="686">
        <f>Macro!$D$16*Macro!$D$20*8</f>
        <v>7920</v>
      </c>
      <c r="P92" s="641">
        <f>O92*G92/(D92/J92)</f>
        <v>144581.7971517386</v>
      </c>
      <c r="Q92" s="850">
        <v>1</v>
      </c>
      <c r="R92" s="850"/>
      <c r="S92" s="550">
        <f>N92/J92</f>
        <v>7920</v>
      </c>
      <c r="T92" s="273" t="s">
        <v>454</v>
      </c>
      <c r="U92" s="276"/>
    </row>
    <row r="93" spans="1:21" x14ac:dyDescent="0.3">
      <c r="A93" s="1139" t="s">
        <v>668</v>
      </c>
      <c r="B93" s="268" t="s">
        <v>187</v>
      </c>
      <c r="C93" s="268" t="s">
        <v>709</v>
      </c>
      <c r="D93" s="827">
        <v>1.5</v>
      </c>
      <c r="E93" s="827"/>
      <c r="F93" s="267" t="s">
        <v>475</v>
      </c>
      <c r="G93" s="851">
        <f>G54</f>
        <v>1</v>
      </c>
      <c r="H93" s="824">
        <v>0.4</v>
      </c>
      <c r="I93" s="541">
        <f t="shared" ref="I93" si="30">(1+H93)*G93</f>
        <v>1.4</v>
      </c>
      <c r="J93" s="544">
        <f>N93/O93</f>
        <v>1.258474451739253</v>
      </c>
      <c r="K93" s="541" t="s">
        <v>501</v>
      </c>
      <c r="L93" s="845">
        <v>0.8</v>
      </c>
      <c r="M93" s="562">
        <f t="shared" si="28"/>
        <v>1.2165516473011329</v>
      </c>
      <c r="N93" s="574">
        <f>'R3_MEFA'!C61</f>
        <v>9967.1176577748829</v>
      </c>
      <c r="O93" s="636">
        <f>Macro!$D$16*Macro!$D$20*8</f>
        <v>7920</v>
      </c>
      <c r="P93" s="642">
        <f>O93*M93</f>
        <v>9635.089046624973</v>
      </c>
      <c r="Q93" s="544"/>
      <c r="R93" s="544"/>
      <c r="S93" s="544"/>
      <c r="T93" s="268" t="s">
        <v>454</v>
      </c>
      <c r="U93" s="271" t="s">
        <v>713</v>
      </c>
    </row>
    <row r="94" spans="1:21" x14ac:dyDescent="0.3">
      <c r="A94" s="1140"/>
      <c r="B94" t="s">
        <v>669</v>
      </c>
      <c r="C94" s="286" t="s">
        <v>669</v>
      </c>
      <c r="D94" s="839">
        <v>1.5</v>
      </c>
      <c r="E94" s="839"/>
      <c r="F94" s="286" t="s">
        <v>475</v>
      </c>
      <c r="G94" s="839">
        <v>0</v>
      </c>
      <c r="H94" s="822">
        <v>0.4</v>
      </c>
      <c r="I94" s="547">
        <f t="shared" ref="I94:I96" si="31">(1+H94)*G94</f>
        <v>0</v>
      </c>
      <c r="J94" s="495">
        <f t="shared" ref="J94:J96" si="32">N94/O94</f>
        <v>1.258474451739253</v>
      </c>
      <c r="K94" s="547" t="s">
        <v>501</v>
      </c>
      <c r="L94" s="825">
        <v>0.8</v>
      </c>
      <c r="M94" s="563">
        <f t="shared" si="28"/>
        <v>0</v>
      </c>
      <c r="N94" s="575">
        <f>'R3_MEFA'!C66</f>
        <v>9967.1176577748829</v>
      </c>
      <c r="O94" s="635">
        <f>Macro!$D$16*Macro!$D$20*8</f>
        <v>7920</v>
      </c>
      <c r="P94" s="640">
        <v>0</v>
      </c>
      <c r="Q94" s="495"/>
      <c r="R94" s="495"/>
      <c r="S94" s="495"/>
      <c r="T94" t="s">
        <v>454</v>
      </c>
      <c r="U94" s="262"/>
    </row>
    <row r="95" spans="1:21" x14ac:dyDescent="0.3">
      <c r="A95" s="1140"/>
      <c r="B95" t="s">
        <v>427</v>
      </c>
      <c r="C95" s="286" t="s">
        <v>427</v>
      </c>
      <c r="D95" s="839">
        <v>1.5</v>
      </c>
      <c r="E95" s="839"/>
      <c r="F95" s="286" t="s">
        <v>475</v>
      </c>
      <c r="G95" s="839">
        <v>5</v>
      </c>
      <c r="H95" s="822">
        <v>0.4</v>
      </c>
      <c r="I95" s="540">
        <f t="shared" si="31"/>
        <v>7</v>
      </c>
      <c r="J95" s="457">
        <f t="shared" si="32"/>
        <v>1.258474451739253</v>
      </c>
      <c r="K95" s="540" t="s">
        <v>501</v>
      </c>
      <c r="L95" s="825">
        <v>0.8</v>
      </c>
      <c r="M95" s="563">
        <f t="shared" si="28"/>
        <v>6.0827582365056649</v>
      </c>
      <c r="N95" s="493">
        <f>'R3_MEFA'!C72</f>
        <v>9967.1176577748829</v>
      </c>
      <c r="O95" s="635">
        <f>Macro!$D$16*Macro!$D$20*8</f>
        <v>7920</v>
      </c>
      <c r="P95" s="638">
        <f>O95*M95</f>
        <v>48175.445233124869</v>
      </c>
      <c r="Q95" s="495"/>
      <c r="R95" s="495"/>
      <c r="S95" s="495"/>
      <c r="T95" t="s">
        <v>454</v>
      </c>
      <c r="U95" s="262"/>
    </row>
    <row r="96" spans="1:21" ht="15" thickBot="1" x14ac:dyDescent="0.35">
      <c r="A96" s="1140"/>
      <c r="B96" t="s">
        <v>188</v>
      </c>
      <c r="C96" s="286" t="s">
        <v>610</v>
      </c>
      <c r="D96" s="839">
        <v>1.5</v>
      </c>
      <c r="E96" s="839"/>
      <c r="F96" s="286" t="s">
        <v>475</v>
      </c>
      <c r="G96" s="839">
        <v>0.25</v>
      </c>
      <c r="H96" s="822">
        <v>0.4</v>
      </c>
      <c r="I96" s="540">
        <f t="shared" si="31"/>
        <v>0.35</v>
      </c>
      <c r="J96" s="457">
        <f t="shared" si="32"/>
        <v>0.43831591731673647</v>
      </c>
      <c r="K96" s="540" t="s">
        <v>501</v>
      </c>
      <c r="L96" s="825">
        <v>0.8</v>
      </c>
      <c r="M96" s="563">
        <f t="shared" si="28"/>
        <v>0.13080514629981715</v>
      </c>
      <c r="N96" s="493">
        <f>'R3_MEFA'!C78</f>
        <v>3471.4620651485529</v>
      </c>
      <c r="O96" s="635">
        <f>Macro!$D$16*Macro!$D$20*8</f>
        <v>7920</v>
      </c>
      <c r="P96" s="638">
        <f>O96*M96</f>
        <v>1035.9767586945518</v>
      </c>
      <c r="Q96" s="495"/>
      <c r="R96" s="495"/>
      <c r="S96" s="495"/>
      <c r="T96" t="s">
        <v>454</v>
      </c>
      <c r="U96" s="262"/>
    </row>
    <row r="97" spans="1:24" x14ac:dyDescent="0.3">
      <c r="A97" s="1136" t="s">
        <v>249</v>
      </c>
      <c r="B97" s="775" t="s">
        <v>670</v>
      </c>
      <c r="C97" s="267" t="s">
        <v>700</v>
      </c>
      <c r="D97" s="277"/>
      <c r="E97" s="277"/>
      <c r="F97" s="267"/>
      <c r="G97" s="277"/>
      <c r="H97" s="551"/>
      <c r="I97" s="552"/>
      <c r="J97" s="553"/>
      <c r="K97" s="552"/>
      <c r="L97" s="277"/>
      <c r="M97" s="562"/>
      <c r="N97" s="553"/>
      <c r="O97" s="553"/>
      <c r="P97" s="697"/>
      <c r="Q97" s="544"/>
      <c r="R97" s="544"/>
      <c r="S97" s="544"/>
      <c r="T97" s="268"/>
      <c r="U97" s="271"/>
    </row>
    <row r="98" spans="1:24" x14ac:dyDescent="0.3">
      <c r="A98" s="1137"/>
      <c r="B98" s="286" t="s">
        <v>711</v>
      </c>
      <c r="C98" s="286" t="s">
        <v>671</v>
      </c>
      <c r="D98" s="825">
        <v>1.5</v>
      </c>
      <c r="E98" s="825"/>
      <c r="F98" s="286" t="s">
        <v>1045</v>
      </c>
      <c r="G98" s="846">
        <v>5</v>
      </c>
      <c r="H98" s="822">
        <v>0.4</v>
      </c>
      <c r="I98" s="653">
        <f>(1+H98)*G98</f>
        <v>7</v>
      </c>
      <c r="J98" s="495">
        <f>N98/O98</f>
        <v>5.476583225444644</v>
      </c>
      <c r="K98" s="547" t="s">
        <v>1045</v>
      </c>
      <c r="L98" s="825">
        <v>0.8</v>
      </c>
      <c r="M98" s="563">
        <f>I98*(J98/D98)^L98</f>
        <v>19.725716461198029</v>
      </c>
      <c r="N98" s="575">
        <f>'R3_MEFA'!C6</f>
        <v>43374.539145521579</v>
      </c>
      <c r="O98" s="575">
        <f>Macro!$D$16*Macro!$D$20*8</f>
        <v>7920</v>
      </c>
      <c r="P98" s="640">
        <f>O98*G98/(D98/J98)</f>
        <v>144581.7971517386</v>
      </c>
      <c r="Q98" s="495"/>
      <c r="R98" s="495"/>
      <c r="S98" s="495">
        <f>N98/J98</f>
        <v>7920</v>
      </c>
      <c r="T98" t="s">
        <v>454</v>
      </c>
      <c r="U98" s="262"/>
    </row>
    <row r="99" spans="1:24" x14ac:dyDescent="0.3">
      <c r="A99" s="1137"/>
      <c r="B99" s="286" t="s">
        <v>672</v>
      </c>
      <c r="C99" s="286" t="s">
        <v>673</v>
      </c>
      <c r="D99" s="825">
        <v>20</v>
      </c>
      <c r="E99" s="825"/>
      <c r="F99" s="286" t="s">
        <v>501</v>
      </c>
      <c r="G99" s="846">
        <v>200</v>
      </c>
      <c r="H99" s="822">
        <v>0</v>
      </c>
      <c r="I99" s="547">
        <f t="shared" ref="I99" si="33">(1+H99)*G99</f>
        <v>200</v>
      </c>
      <c r="J99" s="495">
        <f t="shared" ref="J99" si="34">N99/O99</f>
        <v>0.3496088935768441</v>
      </c>
      <c r="K99" s="547" t="s">
        <v>501</v>
      </c>
      <c r="L99" s="825">
        <v>0.8</v>
      </c>
      <c r="M99" s="563">
        <f>I99*(J99/D99)^L99</f>
        <v>7.853657844518688</v>
      </c>
      <c r="N99" s="575">
        <f>'R3_MEFA'!L93</f>
        <v>2768.9024371286055</v>
      </c>
      <c r="O99" s="575">
        <f>Macro!$D$16*Macro!$D$20*8</f>
        <v>7920</v>
      </c>
      <c r="P99" s="640">
        <f>O99*G99/(D99/J99)</f>
        <v>27689.024371286054</v>
      </c>
      <c r="Q99" s="495"/>
      <c r="R99" s="495"/>
      <c r="S99" s="495"/>
      <c r="T99" t="s">
        <v>701</v>
      </c>
      <c r="U99" s="262"/>
    </row>
    <row r="100" spans="1:24" ht="15" thickBot="1" x14ac:dyDescent="0.35">
      <c r="A100" s="1138"/>
      <c r="B100" s="287" t="s">
        <v>672</v>
      </c>
      <c r="C100" s="287" t="s">
        <v>674</v>
      </c>
      <c r="D100" s="826">
        <v>20</v>
      </c>
      <c r="E100" s="826"/>
      <c r="F100" s="287" t="s">
        <v>501</v>
      </c>
      <c r="G100" s="854">
        <v>200</v>
      </c>
      <c r="H100" s="823">
        <v>0</v>
      </c>
      <c r="I100" s="549">
        <f>(1+H100)*G100</f>
        <v>200</v>
      </c>
      <c r="J100" s="550">
        <f>N100/O100</f>
        <v>0</v>
      </c>
      <c r="K100" s="549" t="s">
        <v>501</v>
      </c>
      <c r="L100" s="826">
        <v>0.8</v>
      </c>
      <c r="M100" s="564">
        <f>I100*(J100/D100)^L100</f>
        <v>0</v>
      </c>
      <c r="N100" s="643">
        <f>'R3_MEFA'!L94</f>
        <v>0</v>
      </c>
      <c r="O100" s="643">
        <f>Macro!$D$16*Macro!$D$20*8</f>
        <v>7920</v>
      </c>
      <c r="P100" s="641" t="e">
        <f>O100*G100/(D100/J100)</f>
        <v>#DIV/0!</v>
      </c>
      <c r="Q100" s="550"/>
      <c r="R100" s="550"/>
      <c r="S100" s="550"/>
      <c r="T100" s="273" t="s">
        <v>701</v>
      </c>
      <c r="U100" s="276"/>
    </row>
    <row r="101" spans="1:24" ht="16.2" x14ac:dyDescent="0.3">
      <c r="A101" s="1139" t="s">
        <v>495</v>
      </c>
      <c r="B101" s="268" t="s">
        <v>464</v>
      </c>
      <c r="C101" s="268" t="s">
        <v>333</v>
      </c>
      <c r="D101" s="827">
        <v>2</v>
      </c>
      <c r="E101" s="827"/>
      <c r="F101" s="267" t="s">
        <v>465</v>
      </c>
      <c r="G101" s="827">
        <v>350</v>
      </c>
      <c r="H101" s="824">
        <v>0.4</v>
      </c>
      <c r="I101" s="552">
        <f>(1+H101)*(G101/800*140)</f>
        <v>85.75</v>
      </c>
      <c r="J101" s="553">
        <f>N101/O101</f>
        <v>0.24979499133008487</v>
      </c>
      <c r="K101" s="552" t="s">
        <v>430</v>
      </c>
      <c r="L101" s="845">
        <v>0.8</v>
      </c>
      <c r="M101" s="562">
        <f>I101*(J101/D101)^L101</f>
        <v>16.23592786120787</v>
      </c>
      <c r="N101" s="637">
        <f>'R3_Hydro_MEFA'!L19</f>
        <v>1978.3763313342722</v>
      </c>
      <c r="O101" s="637">
        <f>Macro!$D$16*Macro!$D$20*8</f>
        <v>7920</v>
      </c>
      <c r="P101" s="639">
        <f t="shared" ref="P101:P110" si="35">M101*O101</f>
        <v>128588.54866076633</v>
      </c>
      <c r="Q101" s="847">
        <f>120/60</f>
        <v>2</v>
      </c>
      <c r="R101" s="847"/>
      <c r="S101" s="553">
        <f>N101/J101</f>
        <v>7920</v>
      </c>
      <c r="T101" s="268" t="s">
        <v>140</v>
      </c>
      <c r="U101" s="271"/>
      <c r="X101" s="557"/>
    </row>
    <row r="102" spans="1:24" ht="16.2" x14ac:dyDescent="0.3">
      <c r="A102" s="1140"/>
      <c r="B102" t="s">
        <v>205</v>
      </c>
      <c r="C102" t="s">
        <v>472</v>
      </c>
      <c r="D102" s="809">
        <v>10</v>
      </c>
      <c r="E102" s="809"/>
      <c r="F102" s="286" t="s">
        <v>465</v>
      </c>
      <c r="G102" s="809">
        <v>24</v>
      </c>
      <c r="H102" s="822">
        <v>0.4</v>
      </c>
      <c r="I102" s="540">
        <f t="shared" ref="I102:I110" si="36">(1+H102)*G102</f>
        <v>33.599999999999994</v>
      </c>
      <c r="J102" s="457">
        <f t="shared" ref="J102:J110" si="37">N102/O102</f>
        <v>1.6532890765824084</v>
      </c>
      <c r="K102" s="540" t="s">
        <v>430</v>
      </c>
      <c r="L102" s="825">
        <v>0.8</v>
      </c>
      <c r="M102" s="563">
        <f t="shared" ref="M102" si="38">I102*(J102/D102)^L102</f>
        <v>7.9619292564096789</v>
      </c>
      <c r="N102" s="575">
        <f>'R3_Hydro_MEFA'!L26</f>
        <v>13094.049486532675</v>
      </c>
      <c r="O102" s="575">
        <f>Macro!$D$16*Macro!$D$20*8</f>
        <v>7920</v>
      </c>
      <c r="P102" s="640">
        <f t="shared" si="35"/>
        <v>63058.479710764659</v>
      </c>
      <c r="Q102" s="848">
        <f>15/60</f>
        <v>0.25</v>
      </c>
      <c r="R102" s="848"/>
      <c r="S102" s="576">
        <f t="shared" ref="S102:S110" si="39">N102/J102</f>
        <v>7920</v>
      </c>
      <c r="T102" t="s">
        <v>140</v>
      </c>
      <c r="U102" s="262"/>
      <c r="X102" s="557"/>
    </row>
    <row r="103" spans="1:24" ht="16.2" x14ac:dyDescent="0.3">
      <c r="A103" s="1140"/>
      <c r="B103" t="s">
        <v>211</v>
      </c>
      <c r="C103" t="s">
        <v>472</v>
      </c>
      <c r="D103" s="809">
        <v>10</v>
      </c>
      <c r="E103" s="809"/>
      <c r="F103" s="286" t="s">
        <v>465</v>
      </c>
      <c r="G103" s="809">
        <v>24</v>
      </c>
      <c r="H103" s="822">
        <v>0.4</v>
      </c>
      <c r="I103" s="540">
        <f t="shared" si="36"/>
        <v>33.599999999999994</v>
      </c>
      <c r="J103" s="457">
        <f t="shared" si="37"/>
        <v>1.6544567401247112</v>
      </c>
      <c r="K103" s="540" t="s">
        <v>430</v>
      </c>
      <c r="L103" s="825">
        <v>0.8</v>
      </c>
      <c r="M103" s="563">
        <f>I103*(J103/D103)^L103</f>
        <v>7.9664275371907136</v>
      </c>
      <c r="N103" s="575">
        <f>'R3_Hydro_MEFA'!L33</f>
        <v>13103.297381787714</v>
      </c>
      <c r="O103" s="575">
        <f>Macro!$D$16*Macro!$D$20*8</f>
        <v>7920</v>
      </c>
      <c r="P103" s="640">
        <f t="shared" si="35"/>
        <v>63094.106094550451</v>
      </c>
      <c r="Q103" s="849">
        <f>60/60</f>
        <v>1</v>
      </c>
      <c r="R103" s="849"/>
      <c r="S103" s="495">
        <f>N103/J103</f>
        <v>7920.0000000000009</v>
      </c>
      <c r="T103" t="s">
        <v>140</v>
      </c>
      <c r="U103" s="262"/>
      <c r="X103" s="493"/>
    </row>
    <row r="104" spans="1:24" ht="16.2" x14ac:dyDescent="0.3">
      <c r="A104" s="1140"/>
      <c r="B104" t="s">
        <v>212</v>
      </c>
      <c r="C104" t="s">
        <v>467</v>
      </c>
      <c r="D104" s="809">
        <v>10</v>
      </c>
      <c r="E104" s="809"/>
      <c r="F104" s="286" t="s">
        <v>465</v>
      </c>
      <c r="G104" s="809">
        <v>18.5</v>
      </c>
      <c r="H104" s="822">
        <v>0.4</v>
      </c>
      <c r="I104" s="540">
        <f t="shared" si="36"/>
        <v>25.9</v>
      </c>
      <c r="J104" s="457">
        <f t="shared" si="37"/>
        <v>1.6544567401247112</v>
      </c>
      <c r="K104" s="540" t="s">
        <v>430</v>
      </c>
      <c r="L104" s="825">
        <v>0.8</v>
      </c>
      <c r="M104" s="563">
        <f t="shared" ref="M104:M110" si="40">I104*(J104/D104)^L104</f>
        <v>6.1407878932511757</v>
      </c>
      <c r="N104" s="575">
        <f>'R3_Hydro_MEFA'!L33</f>
        <v>13103.297381787714</v>
      </c>
      <c r="O104" s="575">
        <f>Macro!$D$16*Macro!$D$20*8</f>
        <v>7920</v>
      </c>
      <c r="P104" s="640">
        <f t="shared" si="35"/>
        <v>48635.040114549309</v>
      </c>
      <c r="Q104" s="849">
        <f>10/60</f>
        <v>0.16666666666666666</v>
      </c>
      <c r="R104" s="849"/>
      <c r="S104" s="495">
        <f t="shared" si="39"/>
        <v>7920.0000000000009</v>
      </c>
      <c r="T104" t="s">
        <v>726</v>
      </c>
      <c r="U104" s="262"/>
      <c r="X104" s="493"/>
    </row>
    <row r="105" spans="1:24" ht="16.2" x14ac:dyDescent="0.3">
      <c r="A105" s="1140"/>
      <c r="B105" t="s">
        <v>346</v>
      </c>
      <c r="C105" t="s">
        <v>472</v>
      </c>
      <c r="D105" s="809">
        <v>10</v>
      </c>
      <c r="E105" s="809"/>
      <c r="F105" s="286" t="s">
        <v>465</v>
      </c>
      <c r="G105" s="809">
        <v>24</v>
      </c>
      <c r="H105" s="822">
        <v>0.4</v>
      </c>
      <c r="I105" s="540">
        <f t="shared" si="36"/>
        <v>33.599999999999994</v>
      </c>
      <c r="J105" s="457">
        <f t="shared" si="37"/>
        <v>1.7196724517307298</v>
      </c>
      <c r="K105" s="540" t="s">
        <v>430</v>
      </c>
      <c r="L105" s="825">
        <v>0.8</v>
      </c>
      <c r="M105" s="563">
        <f t="shared" si="40"/>
        <v>8.2166703713436036</v>
      </c>
      <c r="N105" s="575">
        <f>'R3_Hydro_MEFA'!L48</f>
        <v>13619.80581770738</v>
      </c>
      <c r="O105" s="575">
        <f>Macro!$D$16*Macro!$D$20*8</f>
        <v>7920</v>
      </c>
      <c r="P105" s="640">
        <f t="shared" si="35"/>
        <v>65076.029341041343</v>
      </c>
      <c r="Q105" s="849">
        <f>15/60</f>
        <v>0.25</v>
      </c>
      <c r="R105" s="849"/>
      <c r="S105" s="495">
        <f t="shared" si="39"/>
        <v>7920</v>
      </c>
      <c r="T105" t="s">
        <v>140</v>
      </c>
      <c r="U105" s="262"/>
      <c r="X105" s="493"/>
    </row>
    <row r="106" spans="1:24" ht="16.2" x14ac:dyDescent="0.3">
      <c r="A106" s="1140"/>
      <c r="B106" t="s">
        <v>468</v>
      </c>
      <c r="C106" t="s">
        <v>466</v>
      </c>
      <c r="D106" s="809">
        <v>10</v>
      </c>
      <c r="E106" s="809"/>
      <c r="F106" s="286" t="s">
        <v>465</v>
      </c>
      <c r="G106" s="809">
        <v>24</v>
      </c>
      <c r="H106" s="822">
        <v>0.4</v>
      </c>
      <c r="I106" s="540">
        <f t="shared" si="36"/>
        <v>33.599999999999994</v>
      </c>
      <c r="J106" s="457">
        <f t="shared" si="37"/>
        <v>2.2422609730288214</v>
      </c>
      <c r="K106" s="540" t="s">
        <v>430</v>
      </c>
      <c r="L106" s="825">
        <v>0.8</v>
      </c>
      <c r="M106" s="563">
        <f t="shared" si="40"/>
        <v>10.159871235344951</v>
      </c>
      <c r="N106" s="575">
        <f>'R3_Hydro_MEFA'!L55</f>
        <v>17758.706906388266</v>
      </c>
      <c r="O106" s="575">
        <f>Macro!$D$16*Macro!$D$20*8</f>
        <v>7920</v>
      </c>
      <c r="P106" s="640">
        <f t="shared" si="35"/>
        <v>80466.180183932011</v>
      </c>
      <c r="Q106" s="849">
        <f>30/60</f>
        <v>0.5</v>
      </c>
      <c r="R106" s="849"/>
      <c r="S106" s="495">
        <f t="shared" si="39"/>
        <v>7920</v>
      </c>
      <c r="T106" t="s">
        <v>140</v>
      </c>
      <c r="U106" s="262"/>
      <c r="X106" s="493"/>
    </row>
    <row r="107" spans="1:24" ht="16.2" x14ac:dyDescent="0.3">
      <c r="A107" s="1140"/>
      <c r="B107" t="s">
        <v>349</v>
      </c>
      <c r="C107" t="s">
        <v>675</v>
      </c>
      <c r="D107" s="809">
        <v>10</v>
      </c>
      <c r="E107" s="809"/>
      <c r="F107" s="286" t="s">
        <v>465</v>
      </c>
      <c r="G107" s="809">
        <v>18.5</v>
      </c>
      <c r="H107" s="822">
        <v>0.4</v>
      </c>
      <c r="I107" s="540">
        <f t="shared" si="36"/>
        <v>25.9</v>
      </c>
      <c r="J107" s="457">
        <f t="shared" si="37"/>
        <v>2.2422609730288214</v>
      </c>
      <c r="K107" s="540" t="s">
        <v>430</v>
      </c>
      <c r="L107" s="825">
        <v>0.8</v>
      </c>
      <c r="M107" s="563">
        <f t="shared" si="40"/>
        <v>7.8315674105784012</v>
      </c>
      <c r="N107" s="575">
        <f>'R3_Hydro_MEFA'!L55</f>
        <v>17758.706906388266</v>
      </c>
      <c r="O107" s="575">
        <f>Macro!$D$16*Macro!$D$20*8</f>
        <v>7920</v>
      </c>
      <c r="P107" s="640">
        <f t="shared" si="35"/>
        <v>62026.013891780938</v>
      </c>
      <c r="Q107" s="849">
        <f>10/60</f>
        <v>0.16666666666666666</v>
      </c>
      <c r="R107" s="849"/>
      <c r="S107" s="495">
        <f t="shared" si="39"/>
        <v>7920</v>
      </c>
      <c r="T107" t="s">
        <v>726</v>
      </c>
      <c r="U107" s="262"/>
      <c r="X107" s="493"/>
    </row>
    <row r="108" spans="1:24" ht="16.2" x14ac:dyDescent="0.3">
      <c r="A108" s="1140"/>
      <c r="B108" t="s">
        <v>471</v>
      </c>
      <c r="C108" t="s">
        <v>472</v>
      </c>
      <c r="D108" s="809">
        <v>10</v>
      </c>
      <c r="E108" s="809"/>
      <c r="F108" s="286" t="s">
        <v>465</v>
      </c>
      <c r="G108" s="809">
        <v>24</v>
      </c>
      <c r="H108" s="822">
        <v>0.4</v>
      </c>
      <c r="I108" s="540">
        <f t="shared" si="36"/>
        <v>33.599999999999994</v>
      </c>
      <c r="J108" s="457">
        <f t="shared" si="37"/>
        <v>2.123489996946446</v>
      </c>
      <c r="K108" s="540" t="s">
        <v>430</v>
      </c>
      <c r="L108" s="825">
        <v>0.8</v>
      </c>
      <c r="M108" s="563">
        <f t="shared" si="40"/>
        <v>9.727012030157832</v>
      </c>
      <c r="N108" s="493">
        <f>'R3_Hydro_MEFA'!L61</f>
        <v>16818.040775815851</v>
      </c>
      <c r="O108" s="575">
        <f>Macro!$D$16*Macro!$D$20*8</f>
        <v>7920</v>
      </c>
      <c r="P108" s="640">
        <f t="shared" si="35"/>
        <v>77037.935278850025</v>
      </c>
      <c r="Q108" s="849">
        <f>10/60</f>
        <v>0.16666666666666666</v>
      </c>
      <c r="R108" s="849"/>
      <c r="S108" s="495">
        <f t="shared" si="39"/>
        <v>7919.9999999999991</v>
      </c>
      <c r="T108" t="s">
        <v>140</v>
      </c>
      <c r="U108" s="262"/>
      <c r="X108" s="493"/>
    </row>
    <row r="109" spans="1:24" ht="16.2" x14ac:dyDescent="0.3">
      <c r="A109" s="1140"/>
      <c r="B109" t="s">
        <v>362</v>
      </c>
      <c r="C109" t="s">
        <v>472</v>
      </c>
      <c r="D109" s="809">
        <v>10</v>
      </c>
      <c r="E109" s="809"/>
      <c r="F109" s="286" t="s">
        <v>465</v>
      </c>
      <c r="G109" s="809">
        <v>24</v>
      </c>
      <c r="H109" s="822">
        <v>0.4</v>
      </c>
      <c r="I109" s="540">
        <f t="shared" si="36"/>
        <v>33.599999999999994</v>
      </c>
      <c r="J109" s="457">
        <f t="shared" si="37"/>
        <v>0.41063108525384018</v>
      </c>
      <c r="K109" s="540" t="s">
        <v>430</v>
      </c>
      <c r="L109" s="825">
        <v>0.8</v>
      </c>
      <c r="M109" s="563">
        <f t="shared" si="40"/>
        <v>2.6127673220476919</v>
      </c>
      <c r="N109" s="493">
        <f>'R3_Hydro_MEFA'!L79</f>
        <v>3252.1981952104143</v>
      </c>
      <c r="O109" s="575">
        <f>Macro!$D$16*Macro!$D$20*8</f>
        <v>7920</v>
      </c>
      <c r="P109" s="640">
        <f t="shared" si="35"/>
        <v>20693.117190617719</v>
      </c>
      <c r="Q109" s="849">
        <f t="shared" ref="Q109:Q110" si="41">10/60</f>
        <v>0.16666666666666666</v>
      </c>
      <c r="R109" s="849"/>
      <c r="S109" s="495">
        <f t="shared" si="39"/>
        <v>7920</v>
      </c>
      <c r="T109" t="s">
        <v>140</v>
      </c>
      <c r="U109" s="262"/>
    </row>
    <row r="110" spans="1:24" ht="16.2" x14ac:dyDescent="0.3">
      <c r="A110" s="1140"/>
      <c r="B110" t="s">
        <v>366</v>
      </c>
      <c r="C110" t="s">
        <v>472</v>
      </c>
      <c r="D110" s="809">
        <v>10</v>
      </c>
      <c r="E110" s="809"/>
      <c r="F110" s="286" t="s">
        <v>465</v>
      </c>
      <c r="G110" s="809">
        <v>24</v>
      </c>
      <c r="H110" s="822">
        <v>0.4</v>
      </c>
      <c r="I110" s="540">
        <f t="shared" si="36"/>
        <v>33.599999999999994</v>
      </c>
      <c r="J110" s="457">
        <f t="shared" si="37"/>
        <v>0.41084662700814534</v>
      </c>
      <c r="K110" s="540" t="s">
        <v>430</v>
      </c>
      <c r="L110" s="825">
        <v>0.8</v>
      </c>
      <c r="M110" s="563">
        <f t="shared" si="40"/>
        <v>2.6138644253467174</v>
      </c>
      <c r="N110" s="493">
        <f>'R3_Hydro_MEFA'!L85</f>
        <v>3253.9052859045109</v>
      </c>
      <c r="O110" s="575">
        <f>Macro!$D$16*Macro!$D$20*8</f>
        <v>7920</v>
      </c>
      <c r="P110" s="640">
        <f t="shared" si="35"/>
        <v>20701.806248746001</v>
      </c>
      <c r="Q110" s="849">
        <f t="shared" si="41"/>
        <v>0.16666666666666666</v>
      </c>
      <c r="R110" s="849"/>
      <c r="S110" s="495">
        <f t="shared" si="39"/>
        <v>7920</v>
      </c>
      <c r="T110" t="s">
        <v>140</v>
      </c>
      <c r="U110" s="262"/>
    </row>
    <row r="111" spans="1:24" x14ac:dyDescent="0.3">
      <c r="A111" s="1140"/>
      <c r="B111" t="s">
        <v>615</v>
      </c>
      <c r="C111" t="s">
        <v>474</v>
      </c>
      <c r="D111" s="1152"/>
      <c r="E111" s="1152"/>
      <c r="F111" s="1152"/>
      <c r="G111" s="1152"/>
      <c r="H111" s="1152"/>
      <c r="I111" s="1152"/>
      <c r="J111" s="1152"/>
      <c r="K111" s="1152"/>
      <c r="L111" s="1152"/>
      <c r="M111" s="1152"/>
      <c r="N111" s="1152"/>
      <c r="O111" s="1152"/>
      <c r="P111" s="640">
        <f>C152/3.6</f>
        <v>11768638.552420137</v>
      </c>
      <c r="Q111" s="849">
        <v>2</v>
      </c>
      <c r="R111" s="849"/>
      <c r="S111" s="495"/>
      <c r="U111" s="262" t="s">
        <v>703</v>
      </c>
      <c r="X111" s="493"/>
    </row>
    <row r="112" spans="1:24" ht="15" thickBot="1" x14ac:dyDescent="0.35">
      <c r="A112" s="1141"/>
      <c r="B112" s="273" t="s">
        <v>616</v>
      </c>
      <c r="C112" s="273" t="s">
        <v>474</v>
      </c>
      <c r="D112" s="1153"/>
      <c r="E112" s="1153"/>
      <c r="F112" s="1153"/>
      <c r="G112" s="1153"/>
      <c r="H112" s="1153"/>
      <c r="I112" s="1153"/>
      <c r="J112" s="1153"/>
      <c r="K112" s="1153"/>
      <c r="L112" s="1153"/>
      <c r="M112" s="1153"/>
      <c r="N112" s="1153"/>
      <c r="O112" s="1153"/>
      <c r="P112" s="641">
        <f>C153/3.6</f>
        <v>2248812.3243933236</v>
      </c>
      <c r="Q112" s="850">
        <v>2</v>
      </c>
      <c r="R112" s="850"/>
      <c r="S112" s="550"/>
      <c r="T112" s="273"/>
      <c r="U112" s="276" t="s">
        <v>703</v>
      </c>
      <c r="X112" s="493"/>
    </row>
    <row r="113" spans="1:23" ht="16.2" x14ac:dyDescent="0.3">
      <c r="A113" s="1139" t="s">
        <v>496</v>
      </c>
      <c r="B113" s="286" t="s">
        <v>676</v>
      </c>
      <c r="C113" s="286" t="s">
        <v>333</v>
      </c>
      <c r="D113" s="809">
        <v>2</v>
      </c>
      <c r="E113" s="809"/>
      <c r="F113" s="286" t="s">
        <v>465</v>
      </c>
      <c r="G113" s="809">
        <v>350</v>
      </c>
      <c r="H113" s="822">
        <v>0.4</v>
      </c>
      <c r="I113" s="547">
        <f>(1+H113)*(G113/800*140)</f>
        <v>85.75</v>
      </c>
      <c r="J113" s="495">
        <f t="shared" ref="J113:J121" si="42">N113/O113</f>
        <v>0</v>
      </c>
      <c r="K113" s="547" t="s">
        <v>430</v>
      </c>
      <c r="L113" s="825">
        <v>0.8</v>
      </c>
      <c r="M113" s="563">
        <f t="shared" ref="M113:M121" si="43">I113*(J113/D113)^L113</f>
        <v>0</v>
      </c>
      <c r="N113" s="493">
        <f>'R3_Hydro_MEFA'!L117</f>
        <v>0</v>
      </c>
      <c r="O113" s="575">
        <f>Macro!$D$16*Macro!$D$20*8</f>
        <v>7920</v>
      </c>
      <c r="P113" s="583">
        <f>M113*O113</f>
        <v>0</v>
      </c>
      <c r="Q113" s="495"/>
      <c r="R113" s="495"/>
      <c r="S113" s="495" t="e">
        <f t="shared" ref="S113:S121" si="44">N113/J113</f>
        <v>#DIV/0!</v>
      </c>
      <c r="T113" t="s">
        <v>140</v>
      </c>
      <c r="U113" s="262"/>
      <c r="V113" s="286"/>
      <c r="W113" s="286"/>
    </row>
    <row r="114" spans="1:23" ht="16.2" x14ac:dyDescent="0.3">
      <c r="A114" s="1140"/>
      <c r="B114" s="286" t="s">
        <v>205</v>
      </c>
      <c r="C114" s="286" t="s">
        <v>466</v>
      </c>
      <c r="D114" s="809">
        <v>10</v>
      </c>
      <c r="E114" s="809"/>
      <c r="F114" s="286" t="s">
        <v>465</v>
      </c>
      <c r="G114" s="809">
        <v>24</v>
      </c>
      <c r="H114" s="822">
        <v>0.4</v>
      </c>
      <c r="I114" s="547">
        <f t="shared" ref="I114:I121" si="45">(1+H114)*G114</f>
        <v>33.599999999999994</v>
      </c>
      <c r="J114" s="495">
        <f t="shared" si="42"/>
        <v>0</v>
      </c>
      <c r="K114" s="547" t="s">
        <v>430</v>
      </c>
      <c r="L114" s="825">
        <v>0.8</v>
      </c>
      <c r="M114" s="563">
        <f t="shared" si="43"/>
        <v>0</v>
      </c>
      <c r="N114" s="493">
        <f>'R3_Hydro_MEFA'!L124</f>
        <v>0</v>
      </c>
      <c r="O114" s="575">
        <f>Macro!$D$16*Macro!$D$20*8</f>
        <v>7920</v>
      </c>
      <c r="P114" s="583">
        <f t="shared" ref="P114" si="46">M114*O114</f>
        <v>0</v>
      </c>
      <c r="Q114" s="495"/>
      <c r="R114" s="495"/>
      <c r="S114" s="495" t="e">
        <f t="shared" si="44"/>
        <v>#DIV/0!</v>
      </c>
      <c r="T114" t="s">
        <v>140</v>
      </c>
      <c r="U114" s="262"/>
      <c r="V114" s="286"/>
      <c r="W114" s="286"/>
    </row>
    <row r="115" spans="1:23" ht="16.2" x14ac:dyDescent="0.3">
      <c r="A115" s="1140"/>
      <c r="B115" s="286" t="s">
        <v>677</v>
      </c>
      <c r="C115" s="286" t="s">
        <v>477</v>
      </c>
      <c r="D115" s="809">
        <v>10</v>
      </c>
      <c r="E115" s="809"/>
      <c r="F115" s="286" t="s">
        <v>465</v>
      </c>
      <c r="G115" s="809">
        <v>18.5</v>
      </c>
      <c r="H115" s="822">
        <v>0.4</v>
      </c>
      <c r="I115" s="547">
        <f t="shared" si="45"/>
        <v>25.9</v>
      </c>
      <c r="J115" s="495">
        <f t="shared" si="42"/>
        <v>0</v>
      </c>
      <c r="K115" s="547" t="s">
        <v>430</v>
      </c>
      <c r="L115" s="825">
        <v>0.8</v>
      </c>
      <c r="M115" s="563">
        <f t="shared" si="43"/>
        <v>0</v>
      </c>
      <c r="N115" s="493">
        <f>'R3_Hydro_MEFA'!L132</f>
        <v>0</v>
      </c>
      <c r="O115" s="575">
        <f>Macro!$D$16*Macro!$D$20*8</f>
        <v>7920</v>
      </c>
      <c r="P115" s="583">
        <f>M115*O115</f>
        <v>0</v>
      </c>
      <c r="Q115" s="495"/>
      <c r="R115" s="495"/>
      <c r="S115" s="495" t="e">
        <f t="shared" si="44"/>
        <v>#DIV/0!</v>
      </c>
      <c r="T115" t="s">
        <v>726</v>
      </c>
      <c r="U115" s="262"/>
      <c r="V115" s="286"/>
      <c r="W115" s="286"/>
    </row>
    <row r="116" spans="1:23" ht="16.2" x14ac:dyDescent="0.3">
      <c r="A116" s="1140"/>
      <c r="B116" s="286" t="s">
        <v>346</v>
      </c>
      <c r="C116" s="286" t="s">
        <v>466</v>
      </c>
      <c r="D116" s="809">
        <v>10</v>
      </c>
      <c r="E116" s="809"/>
      <c r="F116" s="286" t="s">
        <v>465</v>
      </c>
      <c r="G116" s="809">
        <v>24</v>
      </c>
      <c r="H116" s="822">
        <v>0.4</v>
      </c>
      <c r="I116" s="547">
        <f t="shared" si="45"/>
        <v>33.599999999999994</v>
      </c>
      <c r="J116" s="495">
        <f>N116/O116</f>
        <v>0</v>
      </c>
      <c r="K116" s="547" t="s">
        <v>430</v>
      </c>
      <c r="L116" s="825">
        <v>0.8</v>
      </c>
      <c r="M116" s="563">
        <f>I116*(J116/D116)^L116</f>
        <v>0</v>
      </c>
      <c r="N116" s="493">
        <f>'R3_Hydro_MEFA'!L140</f>
        <v>0</v>
      </c>
      <c r="O116" s="575">
        <f>Macro!$D$16*Macro!$D$20*8</f>
        <v>7920</v>
      </c>
      <c r="P116" s="583">
        <f t="shared" ref="P116:P118" si="47">M116*O116</f>
        <v>0</v>
      </c>
      <c r="Q116" s="495"/>
      <c r="R116" s="495"/>
      <c r="S116" s="495" t="e">
        <f t="shared" si="44"/>
        <v>#DIV/0!</v>
      </c>
      <c r="T116" t="s">
        <v>140</v>
      </c>
      <c r="U116" s="262"/>
      <c r="V116" s="286"/>
      <c r="W116" s="286"/>
    </row>
    <row r="117" spans="1:23" ht="16.2" x14ac:dyDescent="0.3">
      <c r="A117" s="1140"/>
      <c r="B117" s="286" t="s">
        <v>391</v>
      </c>
      <c r="C117" s="286" t="s">
        <v>466</v>
      </c>
      <c r="D117" s="809">
        <v>10</v>
      </c>
      <c r="E117" s="809"/>
      <c r="F117" s="286" t="s">
        <v>465</v>
      </c>
      <c r="G117" s="809">
        <v>24</v>
      </c>
      <c r="H117" s="822">
        <v>0.4</v>
      </c>
      <c r="I117" s="547">
        <f t="shared" si="45"/>
        <v>33.599999999999994</v>
      </c>
      <c r="J117" s="495">
        <f t="shared" si="42"/>
        <v>0</v>
      </c>
      <c r="K117" s="547" t="s">
        <v>430</v>
      </c>
      <c r="L117" s="825">
        <v>0.8</v>
      </c>
      <c r="M117" s="563">
        <f t="shared" si="43"/>
        <v>0</v>
      </c>
      <c r="N117" s="557">
        <f>'R3_Hydro_MEFA'!L147</f>
        <v>0</v>
      </c>
      <c r="O117" s="575">
        <f>Macro!$D$16*Macro!$D$20*8</f>
        <v>7920</v>
      </c>
      <c r="P117" s="583">
        <f t="shared" si="47"/>
        <v>0</v>
      </c>
      <c r="Q117" s="495"/>
      <c r="R117" s="495"/>
      <c r="S117" s="495" t="e">
        <f t="shared" si="44"/>
        <v>#DIV/0!</v>
      </c>
      <c r="T117" t="s">
        <v>140</v>
      </c>
      <c r="U117" s="262"/>
    </row>
    <row r="118" spans="1:23" ht="16.2" x14ac:dyDescent="0.3">
      <c r="A118" s="1140"/>
      <c r="B118" s="286" t="s">
        <v>704</v>
      </c>
      <c r="C118" s="286" t="s">
        <v>478</v>
      </c>
      <c r="D118" s="809">
        <v>10</v>
      </c>
      <c r="E118" s="809"/>
      <c r="F118" s="286" t="s">
        <v>465</v>
      </c>
      <c r="G118" s="809">
        <v>18.5</v>
      </c>
      <c r="H118" s="822">
        <v>0.4</v>
      </c>
      <c r="I118" s="547">
        <f t="shared" si="45"/>
        <v>25.9</v>
      </c>
      <c r="J118" s="495">
        <f t="shared" si="42"/>
        <v>0</v>
      </c>
      <c r="K118" s="547" t="s">
        <v>430</v>
      </c>
      <c r="L118" s="825">
        <v>0.8</v>
      </c>
      <c r="M118" s="563">
        <f t="shared" si="43"/>
        <v>0</v>
      </c>
      <c r="N118" s="493">
        <f>'R3_Hydro_MEFA'!L147</f>
        <v>0</v>
      </c>
      <c r="O118" s="575">
        <f>Macro!$D$16*Macro!$D$20*8</f>
        <v>7920</v>
      </c>
      <c r="P118" s="583">
        <f t="shared" si="47"/>
        <v>0</v>
      </c>
      <c r="Q118" s="495"/>
      <c r="R118" s="495"/>
      <c r="S118" s="495" t="e">
        <f t="shared" si="44"/>
        <v>#DIV/0!</v>
      </c>
      <c r="T118" t="s">
        <v>726</v>
      </c>
      <c r="U118" s="262"/>
    </row>
    <row r="119" spans="1:23" ht="16.2" x14ac:dyDescent="0.3">
      <c r="A119" s="1140"/>
      <c r="B119" s="286" t="s">
        <v>394</v>
      </c>
      <c r="C119" s="286" t="s">
        <v>466</v>
      </c>
      <c r="D119" s="809">
        <v>10</v>
      </c>
      <c r="E119" s="809"/>
      <c r="F119" s="286" t="s">
        <v>465</v>
      </c>
      <c r="G119" s="809">
        <v>24</v>
      </c>
      <c r="H119" s="822">
        <v>0.4</v>
      </c>
      <c r="I119" s="547">
        <f t="shared" si="45"/>
        <v>33.599999999999994</v>
      </c>
      <c r="J119" s="495">
        <f t="shared" si="42"/>
        <v>0</v>
      </c>
      <c r="K119" s="547" t="s">
        <v>430</v>
      </c>
      <c r="L119" s="825">
        <v>0.8</v>
      </c>
      <c r="M119" s="563">
        <f t="shared" si="43"/>
        <v>0</v>
      </c>
      <c r="N119" s="493">
        <f>'R3_Hydro_MEFA'!L155</f>
        <v>0</v>
      </c>
      <c r="O119" s="575">
        <f>Macro!$D$16*Macro!$D$20*8</f>
        <v>7920</v>
      </c>
      <c r="P119" s="583">
        <f t="shared" ref="P119:P121" si="48">M119*O119</f>
        <v>0</v>
      </c>
      <c r="Q119" s="495"/>
      <c r="R119" s="495"/>
      <c r="S119" s="495" t="e">
        <f>N119/J119</f>
        <v>#DIV/0!</v>
      </c>
      <c r="T119" t="s">
        <v>140</v>
      </c>
      <c r="U119" s="262"/>
    </row>
    <row r="120" spans="1:23" ht="16.2" x14ac:dyDescent="0.3">
      <c r="A120" s="1140"/>
      <c r="B120" s="286" t="s">
        <v>400</v>
      </c>
      <c r="C120" s="286" t="s">
        <v>472</v>
      </c>
      <c r="D120" s="809">
        <v>10</v>
      </c>
      <c r="E120" s="809"/>
      <c r="F120" s="286" t="s">
        <v>465</v>
      </c>
      <c r="G120" s="809">
        <v>24</v>
      </c>
      <c r="H120" s="822">
        <v>0.4</v>
      </c>
      <c r="I120" s="547">
        <f t="shared" si="45"/>
        <v>33.599999999999994</v>
      </c>
      <c r="J120" s="495">
        <f t="shared" si="42"/>
        <v>0</v>
      </c>
      <c r="K120" s="547" t="s">
        <v>430</v>
      </c>
      <c r="L120" s="825">
        <v>0.8</v>
      </c>
      <c r="M120" s="563">
        <f t="shared" si="43"/>
        <v>0</v>
      </c>
      <c r="N120" s="493">
        <f>'R3_Hydro_MEFA'!L172</f>
        <v>0</v>
      </c>
      <c r="O120" s="575">
        <f>Macro!$D$16*Macro!$D$20*8</f>
        <v>7920</v>
      </c>
      <c r="P120" s="583">
        <f t="shared" si="48"/>
        <v>0</v>
      </c>
      <c r="Q120" s="495"/>
      <c r="R120" s="495"/>
      <c r="S120" s="495" t="e">
        <f>N120/J120</f>
        <v>#DIV/0!</v>
      </c>
      <c r="T120" t="s">
        <v>140</v>
      </c>
      <c r="U120" s="262"/>
    </row>
    <row r="121" spans="1:23" ht="16.2" x14ac:dyDescent="0.3">
      <c r="A121" s="1140"/>
      <c r="B121" s="286" t="s">
        <v>403</v>
      </c>
      <c r="C121" s="286" t="s">
        <v>472</v>
      </c>
      <c r="D121" s="809">
        <v>10</v>
      </c>
      <c r="E121" s="809"/>
      <c r="F121" s="286" t="s">
        <v>465</v>
      </c>
      <c r="G121" s="809">
        <v>24</v>
      </c>
      <c r="H121" s="822">
        <v>0.4</v>
      </c>
      <c r="I121" s="547">
        <f t="shared" si="45"/>
        <v>33.599999999999994</v>
      </c>
      <c r="J121" s="495">
        <f t="shared" si="42"/>
        <v>0</v>
      </c>
      <c r="K121" s="547" t="s">
        <v>430</v>
      </c>
      <c r="L121" s="825">
        <v>0.8</v>
      </c>
      <c r="M121" s="563">
        <f t="shared" si="43"/>
        <v>0</v>
      </c>
      <c r="N121" s="493">
        <f>'R3_Hydro_MEFA'!L178</f>
        <v>0</v>
      </c>
      <c r="O121" s="575">
        <f>Macro!$D$16*Macro!$D$20*8</f>
        <v>7920</v>
      </c>
      <c r="P121" s="583">
        <f t="shared" si="48"/>
        <v>0</v>
      </c>
      <c r="Q121" s="495"/>
      <c r="R121" s="495"/>
      <c r="S121" s="495" t="e">
        <f t="shared" si="44"/>
        <v>#DIV/0!</v>
      </c>
      <c r="T121" t="s">
        <v>140</v>
      </c>
      <c r="U121" s="262"/>
    </row>
    <row r="122" spans="1:23" x14ac:dyDescent="0.3">
      <c r="A122" s="1140"/>
      <c r="B122" s="286" t="s">
        <v>617</v>
      </c>
      <c r="C122" s="286" t="s">
        <v>727</v>
      </c>
      <c r="D122" s="565"/>
      <c r="E122" s="565"/>
      <c r="F122" s="566"/>
      <c r="G122" s="565"/>
      <c r="H122" s="567"/>
      <c r="I122" s="568"/>
      <c r="J122" s="569"/>
      <c r="K122" s="568"/>
      <c r="L122" s="570"/>
      <c r="M122" s="571"/>
      <c r="N122" s="572"/>
      <c r="O122" s="569"/>
      <c r="P122" s="583">
        <f>C154/3.6</f>
        <v>0</v>
      </c>
      <c r="Q122" s="495"/>
      <c r="R122" s="495"/>
      <c r="S122" s="495"/>
      <c r="U122" s="262" t="s">
        <v>703</v>
      </c>
    </row>
    <row r="123" spans="1:23" ht="16.2" x14ac:dyDescent="0.3">
      <c r="A123" s="1140"/>
      <c r="B123" s="286" t="s">
        <v>678</v>
      </c>
      <c r="C123" s="286" t="s">
        <v>472</v>
      </c>
      <c r="D123" s="809">
        <v>10</v>
      </c>
      <c r="E123" s="809"/>
      <c r="F123" s="286" t="s">
        <v>465</v>
      </c>
      <c r="G123" s="809">
        <v>24</v>
      </c>
      <c r="H123" s="822">
        <v>0.4</v>
      </c>
      <c r="I123" s="540">
        <f t="shared" ref="I123:I124" si="49">(1+H123)*G123</f>
        <v>33.599999999999994</v>
      </c>
      <c r="J123" s="495">
        <f>N123/O123</f>
        <v>0</v>
      </c>
      <c r="K123" s="540" t="s">
        <v>430</v>
      </c>
      <c r="L123" s="825">
        <v>0.8</v>
      </c>
      <c r="M123" s="563">
        <f>I123*(D123/20)^L123</f>
        <v>19.298132363950188</v>
      </c>
      <c r="N123" s="493">
        <f>'R3_Hydro_MEFA'!L193</f>
        <v>0</v>
      </c>
      <c r="O123" s="575">
        <f>Macro!$D$16*Macro!$D$20*8</f>
        <v>7920</v>
      </c>
      <c r="P123" s="640">
        <f t="shared" ref="P123:P124" si="50">M123*O123</f>
        <v>152841.2083224855</v>
      </c>
      <c r="Q123" s="495"/>
      <c r="R123" s="495"/>
      <c r="S123" s="495" t="e">
        <f t="shared" ref="S123:S124" si="51">N123/J123</f>
        <v>#DIV/0!</v>
      </c>
      <c r="T123" t="s">
        <v>140</v>
      </c>
      <c r="U123" s="262"/>
    </row>
    <row r="124" spans="1:23" ht="16.2" x14ac:dyDescent="0.3">
      <c r="A124" s="1140"/>
      <c r="B124" s="286" t="s">
        <v>679</v>
      </c>
      <c r="C124" s="286" t="s">
        <v>478</v>
      </c>
      <c r="D124" s="809">
        <v>10</v>
      </c>
      <c r="E124" s="809"/>
      <c r="F124" s="286" t="s">
        <v>465</v>
      </c>
      <c r="G124" s="809">
        <v>18.5</v>
      </c>
      <c r="H124" s="822">
        <v>0.4</v>
      </c>
      <c r="I124" s="540">
        <f t="shared" si="49"/>
        <v>25.9</v>
      </c>
      <c r="J124" s="495">
        <f>N124/O124</f>
        <v>0</v>
      </c>
      <c r="K124" s="540" t="s">
        <v>430</v>
      </c>
      <c r="L124" s="825">
        <v>0.8</v>
      </c>
      <c r="M124" s="563">
        <f>I124*(D124/20)^L124</f>
        <v>14.875643697211604</v>
      </c>
      <c r="N124" s="493">
        <f>'R3_Hydro_MEFA'!L193</f>
        <v>0</v>
      </c>
      <c r="O124" s="575">
        <f>Macro!$D$16*Macro!$D$20*8</f>
        <v>7920</v>
      </c>
      <c r="P124" s="640">
        <f t="shared" si="50"/>
        <v>117815.0980819159</v>
      </c>
      <c r="Q124" s="495"/>
      <c r="R124" s="495"/>
      <c r="S124" s="495" t="e">
        <f t="shared" si="51"/>
        <v>#DIV/0!</v>
      </c>
      <c r="T124" t="s">
        <v>726</v>
      </c>
      <c r="U124" s="262"/>
    </row>
    <row r="125" spans="1:23" ht="15" thickBot="1" x14ac:dyDescent="0.35">
      <c r="A125" s="1141"/>
      <c r="B125" s="273" t="s">
        <v>22</v>
      </c>
      <c r="C125" s="273" t="s">
        <v>406</v>
      </c>
      <c r="D125" s="1153"/>
      <c r="E125" s="1153"/>
      <c r="F125" s="1153"/>
      <c r="G125" s="1153"/>
      <c r="H125" s="1153"/>
      <c r="I125" s="1153"/>
      <c r="J125" s="1153"/>
      <c r="K125" s="1153"/>
      <c r="L125" s="1153"/>
      <c r="M125" s="1153"/>
      <c r="N125" s="1153"/>
      <c r="O125" s="1153"/>
      <c r="P125" s="633">
        <f>C162/3.6</f>
        <v>0</v>
      </c>
      <c r="Q125" s="550"/>
      <c r="R125" s="550"/>
      <c r="S125" s="550"/>
      <c r="T125" s="273"/>
      <c r="U125" s="276" t="s">
        <v>703</v>
      </c>
    </row>
    <row r="127" spans="1:23" x14ac:dyDescent="0.3">
      <c r="L127"/>
      <c r="M127"/>
    </row>
    <row r="128" spans="1:23" ht="21" x14ac:dyDescent="0.4">
      <c r="A128" s="780" t="s">
        <v>728</v>
      </c>
      <c r="L128"/>
      <c r="M128"/>
    </row>
    <row r="129" spans="1:13" x14ac:dyDescent="0.3">
      <c r="L129"/>
      <c r="M129"/>
    </row>
    <row r="130" spans="1:13" x14ac:dyDescent="0.3">
      <c r="A130" s="487" t="s">
        <v>79</v>
      </c>
      <c r="B130" s="488" t="s">
        <v>271</v>
      </c>
      <c r="C130" s="489" t="s">
        <v>251</v>
      </c>
      <c r="D130" s="490" t="s">
        <v>252</v>
      </c>
      <c r="E130" s="930"/>
      <c r="L130"/>
      <c r="M130"/>
    </row>
    <row r="131" spans="1:13" ht="28.8" x14ac:dyDescent="0.3">
      <c r="A131" s="1146" t="s">
        <v>729</v>
      </c>
      <c r="B131" s="478" t="s">
        <v>730</v>
      </c>
      <c r="C131" s="855">
        <v>1.4139999999999999</v>
      </c>
      <c r="D131" s="74" t="s">
        <v>731</v>
      </c>
      <c r="E131" s="70"/>
      <c r="F131" s="121" t="s">
        <v>732</v>
      </c>
      <c r="L131"/>
      <c r="M131"/>
    </row>
    <row r="132" spans="1:13" x14ac:dyDescent="0.3">
      <c r="A132" s="1143"/>
      <c r="B132" s="478" t="s">
        <v>733</v>
      </c>
      <c r="C132" s="73" t="s">
        <v>734</v>
      </c>
      <c r="D132" s="74" t="s">
        <v>735</v>
      </c>
      <c r="E132" s="70"/>
      <c r="L132"/>
      <c r="M132"/>
    </row>
    <row r="133" spans="1:13" ht="15" thickBot="1" x14ac:dyDescent="0.35">
      <c r="A133" s="1143"/>
      <c r="B133" s="486"/>
      <c r="C133" s="140"/>
      <c r="D133" s="319"/>
    </row>
    <row r="134" spans="1:13" ht="28.8" x14ac:dyDescent="0.3">
      <c r="A134" s="1143"/>
      <c r="B134" s="543" t="s">
        <v>736</v>
      </c>
      <c r="C134" s="856">
        <v>2257</v>
      </c>
      <c r="D134" s="146" t="s">
        <v>737</v>
      </c>
      <c r="F134" s="121" t="s">
        <v>738</v>
      </c>
    </row>
    <row r="135" spans="1:13" x14ac:dyDescent="0.3">
      <c r="A135" s="1143"/>
      <c r="B135" s="479" t="s">
        <v>739</v>
      </c>
      <c r="C135" s="123" t="s">
        <v>740</v>
      </c>
      <c r="D135" s="148" t="s">
        <v>735</v>
      </c>
    </row>
    <row r="136" spans="1:13" ht="15" thickBot="1" x14ac:dyDescent="0.35">
      <c r="A136" s="1147"/>
      <c r="B136" s="480"/>
      <c r="C136" s="140"/>
      <c r="D136" s="319"/>
    </row>
    <row r="137" spans="1:13" x14ac:dyDescent="0.3">
      <c r="A137" s="1148" t="s">
        <v>741</v>
      </c>
      <c r="B137" s="481" t="s">
        <v>742</v>
      </c>
      <c r="C137" s="857">
        <v>20</v>
      </c>
      <c r="D137" s="476" t="s">
        <v>743</v>
      </c>
      <c r="E137" s="70"/>
    </row>
    <row r="138" spans="1:13" x14ac:dyDescent="0.3">
      <c r="A138" s="1144"/>
      <c r="B138" s="478" t="s">
        <v>744</v>
      </c>
      <c r="C138" s="855">
        <v>140</v>
      </c>
      <c r="D138" s="74" t="s">
        <v>743</v>
      </c>
      <c r="E138" s="70"/>
    </row>
    <row r="139" spans="1:13" x14ac:dyDescent="0.3">
      <c r="A139" s="1144"/>
      <c r="B139" s="482"/>
      <c r="C139" s="123"/>
      <c r="D139" s="148"/>
    </row>
    <row r="140" spans="1:13" x14ac:dyDescent="0.3">
      <c r="A140" s="1144"/>
      <c r="B140" s="478" t="s">
        <v>745</v>
      </c>
      <c r="C140" s="475">
        <f>C131*'R1_Hydro_MEFA'!$L$18*1000*(C138-C137)/1000</f>
        <v>2109433.1466184491</v>
      </c>
      <c r="D140" s="74" t="s">
        <v>746</v>
      </c>
      <c r="E140" s="70"/>
    </row>
    <row r="141" spans="1:13" x14ac:dyDescent="0.3">
      <c r="A141" s="1144"/>
      <c r="B141" s="479" t="s">
        <v>747</v>
      </c>
      <c r="C141" s="451">
        <f>C131*'R1_Hydro_MEFA'!$L$116*1000*(C138-C137)/1000</f>
        <v>0</v>
      </c>
      <c r="D141" s="74" t="s">
        <v>746</v>
      </c>
      <c r="E141" s="70"/>
    </row>
    <row r="142" spans="1:13" x14ac:dyDescent="0.3">
      <c r="A142" s="1144"/>
      <c r="B142" s="479" t="s">
        <v>748</v>
      </c>
      <c r="C142" s="451">
        <f>C131*'R2_Hydro_MEFA'!$L$22*1000*(C138-C137)/1000</f>
        <v>2364249.3262601676</v>
      </c>
      <c r="D142" s="74" t="s">
        <v>746</v>
      </c>
      <c r="E142" s="70"/>
    </row>
    <row r="143" spans="1:13" x14ac:dyDescent="0.3">
      <c r="A143" s="1144"/>
      <c r="B143" s="478" t="s">
        <v>745</v>
      </c>
      <c r="C143" s="475">
        <f>C131*'R3_Hydro_MEFA'!L18*1000*(C138-C137)/1000</f>
        <v>1237668.9459446205</v>
      </c>
      <c r="D143" s="74" t="s">
        <v>746</v>
      </c>
      <c r="E143" s="70"/>
    </row>
    <row r="144" spans="1:13" x14ac:dyDescent="0.3">
      <c r="A144" s="1144"/>
      <c r="B144" s="479" t="s">
        <v>747</v>
      </c>
      <c r="C144" s="451">
        <f>C131*'R3_Hydro_MEFA'!L116*1000*(C138-C137)/1000</f>
        <v>0</v>
      </c>
      <c r="D144" s="74" t="s">
        <v>746</v>
      </c>
      <c r="E144" s="70"/>
    </row>
    <row r="145" spans="1:6" ht="15" thickBot="1" x14ac:dyDescent="0.35">
      <c r="A145" s="1145"/>
      <c r="B145" s="480"/>
      <c r="C145" s="140"/>
      <c r="D145" s="319"/>
    </row>
    <row r="146" spans="1:6" x14ac:dyDescent="0.3">
      <c r="A146" s="1149" t="s">
        <v>749</v>
      </c>
      <c r="B146" s="483" t="s">
        <v>750</v>
      </c>
      <c r="C146" s="477">
        <f>'R1_Hydro_MEFA'!$L$93*1000*C134/1000</f>
        <v>127355309.0675528</v>
      </c>
      <c r="D146" s="484" t="s">
        <v>746</v>
      </c>
    </row>
    <row r="147" spans="1:6" x14ac:dyDescent="0.3">
      <c r="A147" s="1150"/>
      <c r="B147" s="479" t="s">
        <v>751</v>
      </c>
      <c r="C147" s="451">
        <f>'R1_Hydro_MEFA'!$L$99*1000*C134/1000</f>
        <v>8160013.4143529711</v>
      </c>
      <c r="D147" s="148" t="s">
        <v>746</v>
      </c>
    </row>
    <row r="148" spans="1:6" x14ac:dyDescent="0.3">
      <c r="A148" s="1150"/>
      <c r="B148" s="479" t="s">
        <v>752</v>
      </c>
      <c r="C148" s="451">
        <f>'R1_Hydro_MEFA'!$L$186*1000*C134/1000</f>
        <v>0</v>
      </c>
      <c r="D148" s="148" t="s">
        <v>746</v>
      </c>
    </row>
    <row r="149" spans="1:6" x14ac:dyDescent="0.3">
      <c r="A149" s="1150"/>
      <c r="B149" s="479" t="s">
        <v>753</v>
      </c>
      <c r="C149" s="451">
        <f>'R2_Hydro_MEFA'!$L$137*1000*C134/1000</f>
        <v>10101409.081293471</v>
      </c>
      <c r="D149" s="148" t="s">
        <v>746</v>
      </c>
    </row>
    <row r="150" spans="1:6" x14ac:dyDescent="0.3">
      <c r="A150" s="1150"/>
      <c r="B150" s="479" t="s">
        <v>754</v>
      </c>
      <c r="C150" s="451">
        <f>'R2_Hydro_MEFA'!$L$143*1000*C134/1000</f>
        <v>6667447.6349832732</v>
      </c>
      <c r="D150" s="148" t="s">
        <v>746</v>
      </c>
    </row>
    <row r="151" spans="1:6" x14ac:dyDescent="0.3">
      <c r="A151" s="1150"/>
      <c r="B151" s="479" t="s">
        <v>755</v>
      </c>
      <c r="C151" s="451">
        <f>'R2_Hydro_MEFA'!$L$173*1000*C134/1000</f>
        <v>4273688.788231818</v>
      </c>
      <c r="D151" s="148" t="s">
        <v>746</v>
      </c>
    </row>
    <row r="152" spans="1:6" x14ac:dyDescent="0.3">
      <c r="A152" s="1150"/>
      <c r="B152" s="479" t="s">
        <v>756</v>
      </c>
      <c r="C152" s="451">
        <f>'R3_Hydro_MEFA'!L93*1000*C134/1000</f>
        <v>42367098.788712494</v>
      </c>
      <c r="D152" s="148" t="s">
        <v>746</v>
      </c>
    </row>
    <row r="153" spans="1:6" x14ac:dyDescent="0.3">
      <c r="A153" s="1150"/>
      <c r="B153" s="479" t="s">
        <v>757</v>
      </c>
      <c r="C153" s="451">
        <f>'R3_Hydro_MEFA'!L99*1000*C134/1000</f>
        <v>8095724.3678159658</v>
      </c>
      <c r="D153" s="148" t="s">
        <v>746</v>
      </c>
    </row>
    <row r="154" spans="1:6" x14ac:dyDescent="0.3">
      <c r="A154" s="1150"/>
      <c r="B154" s="479" t="s">
        <v>758</v>
      </c>
      <c r="C154" s="451">
        <f>'R3_Hydro_MEFA'!L186*1000*C134/1000</f>
        <v>0</v>
      </c>
      <c r="D154" s="148" t="s">
        <v>746</v>
      </c>
    </row>
    <row r="155" spans="1:6" ht="15" thickBot="1" x14ac:dyDescent="0.35">
      <c r="A155" s="1151"/>
      <c r="B155" s="480"/>
      <c r="C155" s="140"/>
      <c r="D155" s="319"/>
    </row>
    <row r="156" spans="1:6" x14ac:dyDescent="0.3">
      <c r="A156" s="1148" t="s">
        <v>759</v>
      </c>
      <c r="B156" s="483" t="s">
        <v>747</v>
      </c>
      <c r="C156" s="485">
        <f>'R1_Hydro_MEFA'!$L$193*1000*C134/1000</f>
        <v>0</v>
      </c>
      <c r="D156" s="148" t="s">
        <v>746</v>
      </c>
    </row>
    <row r="157" spans="1:6" x14ac:dyDescent="0.3">
      <c r="A157" s="1143"/>
      <c r="B157" s="479" t="s">
        <v>748</v>
      </c>
      <c r="C157" s="451">
        <f>'R2_Hydro_MEFA'!$L$181*1000*C134/1000</f>
        <v>34728295.977779433</v>
      </c>
      <c r="D157" s="148" t="s">
        <v>746</v>
      </c>
    </row>
    <row r="158" spans="1:6" x14ac:dyDescent="0.3">
      <c r="A158" s="1143"/>
      <c r="B158" s="479" t="s">
        <v>760</v>
      </c>
      <c r="C158" s="451">
        <v>0</v>
      </c>
      <c r="D158" s="148" t="s">
        <v>746</v>
      </c>
      <c r="F158" t="s">
        <v>761</v>
      </c>
    </row>
    <row r="159" spans="1:6" ht="15" thickBot="1" x14ac:dyDescent="0.35">
      <c r="A159" s="1147"/>
      <c r="B159" s="480"/>
      <c r="C159" s="140"/>
      <c r="D159" s="319"/>
    </row>
    <row r="160" spans="1:6" x14ac:dyDescent="0.3">
      <c r="A160" s="1148" t="s">
        <v>762</v>
      </c>
      <c r="B160" s="483" t="s">
        <v>747</v>
      </c>
      <c r="C160" s="485">
        <f>'R1_Hydro_MEFA'!$L$215*1000*C134/1000</f>
        <v>0</v>
      </c>
      <c r="D160" s="403" t="s">
        <v>746</v>
      </c>
    </row>
    <row r="161" spans="1:4" x14ac:dyDescent="0.3">
      <c r="A161" s="1143"/>
      <c r="B161" s="479" t="s">
        <v>748</v>
      </c>
      <c r="C161" s="451">
        <f>'R2_Hydro_MEFA'!$L$203*1000*C134/1000</f>
        <v>0</v>
      </c>
      <c r="D161" s="148" t="s">
        <v>746</v>
      </c>
    </row>
    <row r="162" spans="1:4" x14ac:dyDescent="0.3">
      <c r="A162" s="1143"/>
      <c r="B162" s="123" t="s">
        <v>760</v>
      </c>
      <c r="C162" s="451">
        <f>'R3_Hydro_MEFA'!L208*1000*C134/1000</f>
        <v>0</v>
      </c>
      <c r="D162" s="148" t="s">
        <v>746</v>
      </c>
    </row>
    <row r="163" spans="1:4" ht="15" thickBot="1" x14ac:dyDescent="0.35">
      <c r="A163" s="1143"/>
      <c r="B163" s="629"/>
      <c r="C163" s="173"/>
      <c r="D163" s="630"/>
    </row>
    <row r="164" spans="1:4" ht="28.8" x14ac:dyDescent="0.3">
      <c r="A164" s="740" t="s">
        <v>763</v>
      </c>
      <c r="B164" s="631"/>
      <c r="C164" s="631"/>
      <c r="D164" s="403"/>
    </row>
    <row r="165" spans="1:4" x14ac:dyDescent="0.3">
      <c r="A165" s="1143" t="s">
        <v>764</v>
      </c>
      <c r="B165" s="123"/>
      <c r="C165" s="123"/>
      <c r="D165" s="148"/>
    </row>
    <row r="166" spans="1:4" x14ac:dyDescent="0.3">
      <c r="A166" s="1144"/>
      <c r="B166" s="123" t="s">
        <v>765</v>
      </c>
      <c r="C166" s="858">
        <v>140</v>
      </c>
      <c r="D166" s="148" t="s">
        <v>743</v>
      </c>
    </row>
    <row r="167" spans="1:4" x14ac:dyDescent="0.3">
      <c r="A167" s="1144"/>
      <c r="B167" s="123" t="s">
        <v>766</v>
      </c>
      <c r="C167" s="858">
        <v>40</v>
      </c>
      <c r="D167" s="148" t="s">
        <v>743</v>
      </c>
    </row>
    <row r="168" spans="1:4" x14ac:dyDescent="0.3">
      <c r="A168" s="1144"/>
      <c r="B168" s="698" t="s">
        <v>767</v>
      </c>
      <c r="C168" s="254">
        <f>50.09-0.9298*(C166+273)/1000-65.19*((C166+273)/1000)^2</f>
        <v>38.586599490000005</v>
      </c>
      <c r="D168" s="148" t="s">
        <v>768</v>
      </c>
    </row>
    <row r="169" spans="1:4" x14ac:dyDescent="0.3">
      <c r="A169" s="1144"/>
      <c r="B169" s="123" t="s">
        <v>769</v>
      </c>
      <c r="C169" s="123">
        <f>18.02/1000</f>
        <v>1.8020000000000001E-2</v>
      </c>
      <c r="D169" s="148" t="s">
        <v>770</v>
      </c>
    </row>
    <row r="170" spans="1:4" x14ac:dyDescent="0.3">
      <c r="A170" s="1144"/>
      <c r="B170" s="698" t="s">
        <v>771</v>
      </c>
      <c r="C170" s="123">
        <f>C168/C169</f>
        <v>2141.3207264150947</v>
      </c>
      <c r="D170" s="148" t="s">
        <v>772</v>
      </c>
    </row>
    <row r="171" spans="1:4" x14ac:dyDescent="0.3">
      <c r="A171" s="1144"/>
      <c r="B171" s="698" t="s">
        <v>773</v>
      </c>
      <c r="C171" s="123">
        <f>(50.09-0.9298*(C167+273)/1000-65.19*((C167+273)/1000)^2)/C169</f>
        <v>2409.1217253052168</v>
      </c>
      <c r="D171" s="148" t="s">
        <v>772</v>
      </c>
    </row>
    <row r="172" spans="1:4" x14ac:dyDescent="0.3">
      <c r="A172" s="1144"/>
      <c r="B172" s="698" t="s">
        <v>774</v>
      </c>
      <c r="C172" s="123">
        <f>'R2_MEFA'!C52</f>
        <v>0</v>
      </c>
      <c r="D172" s="148" t="s">
        <v>775</v>
      </c>
    </row>
    <row r="173" spans="1:4" x14ac:dyDescent="0.3">
      <c r="A173" s="1144"/>
      <c r="B173" s="123" t="s">
        <v>776</v>
      </c>
      <c r="C173" s="123">
        <f>C172*1000*(C171-C170)</f>
        <v>0</v>
      </c>
      <c r="D173" s="148" t="s">
        <v>735</v>
      </c>
    </row>
    <row r="174" spans="1:4" x14ac:dyDescent="0.3">
      <c r="A174" s="1144"/>
      <c r="B174" s="123"/>
      <c r="C174" s="123">
        <f>C173/1000</f>
        <v>0</v>
      </c>
      <c r="D174" s="148" t="s">
        <v>777</v>
      </c>
    </row>
    <row r="175" spans="1:4" x14ac:dyDescent="0.3">
      <c r="A175" s="1144"/>
      <c r="B175" s="123"/>
      <c r="C175" s="123">
        <f>C174/3.6</f>
        <v>0</v>
      </c>
      <c r="D175" s="148" t="s">
        <v>221</v>
      </c>
    </row>
    <row r="176" spans="1:4" x14ac:dyDescent="0.3">
      <c r="A176" s="1144"/>
      <c r="B176" s="698" t="s">
        <v>778</v>
      </c>
      <c r="C176" s="858">
        <v>0.6</v>
      </c>
      <c r="D176" s="148"/>
    </row>
    <row r="177" spans="1:4" ht="15" thickBot="1" x14ac:dyDescent="0.35">
      <c r="A177" s="1145"/>
      <c r="B177" s="123"/>
      <c r="C177" s="632">
        <f>C175/C176</f>
        <v>0</v>
      </c>
      <c r="D177" s="148" t="s">
        <v>221</v>
      </c>
    </row>
    <row r="178" spans="1:4" x14ac:dyDescent="0.3">
      <c r="C178" s="579"/>
    </row>
    <row r="179" spans="1:4" x14ac:dyDescent="0.3">
      <c r="C179" s="579"/>
    </row>
  </sheetData>
  <mergeCells count="29">
    <mergeCell ref="D125:O125"/>
    <mergeCell ref="A93:A96"/>
    <mergeCell ref="A97:A100"/>
    <mergeCell ref="A101:A112"/>
    <mergeCell ref="D111:O112"/>
    <mergeCell ref="D24:O25"/>
    <mergeCell ref="D82:O82"/>
    <mergeCell ref="D79:O79"/>
    <mergeCell ref="D73:O74"/>
    <mergeCell ref="D57:O57"/>
    <mergeCell ref="D78:O78"/>
    <mergeCell ref="D39:O39"/>
    <mergeCell ref="D36:O36"/>
    <mergeCell ref="A165:A177"/>
    <mergeCell ref="A5:A9"/>
    <mergeCell ref="A49:A57"/>
    <mergeCell ref="A91:A92"/>
    <mergeCell ref="A10:A13"/>
    <mergeCell ref="A45:A48"/>
    <mergeCell ref="A87:A90"/>
    <mergeCell ref="A58:A82"/>
    <mergeCell ref="A14:A25"/>
    <mergeCell ref="A26:A39"/>
    <mergeCell ref="A131:A136"/>
    <mergeCell ref="A137:A145"/>
    <mergeCell ref="A146:A155"/>
    <mergeCell ref="A156:A159"/>
    <mergeCell ref="A160:A163"/>
    <mergeCell ref="A113:A125"/>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4">
    <tabColor theme="0" tint="-0.499984740745262"/>
  </sheetPr>
  <dimension ref="A2:K164"/>
  <sheetViews>
    <sheetView zoomScale="70" zoomScaleNormal="70" workbookViewId="0">
      <selection activeCell="I21" sqref="I21"/>
    </sheetView>
  </sheetViews>
  <sheetFormatPr baseColWidth="10" defaultColWidth="11.44140625" defaultRowHeight="14.4" x14ac:dyDescent="0.3"/>
  <cols>
    <col min="2" max="2" width="26.44140625" customWidth="1"/>
    <col min="3" max="3" width="13.33203125" bestFit="1" customWidth="1"/>
    <col min="4" max="4" width="17.6640625" bestFit="1" customWidth="1"/>
    <col min="5" max="5" width="23.33203125" bestFit="1" customWidth="1"/>
    <col min="6" max="6" width="21" bestFit="1" customWidth="1"/>
    <col min="7" max="7" width="11.33203125" customWidth="1"/>
    <col min="9" max="9" width="38.33203125" bestFit="1" customWidth="1"/>
    <col min="10" max="10" width="9.44140625" customWidth="1"/>
  </cols>
  <sheetData>
    <row r="2" spans="1:11" ht="21" x14ac:dyDescent="0.4">
      <c r="A2" s="188" t="s">
        <v>779</v>
      </c>
    </row>
    <row r="3" spans="1:11" ht="15" thickBot="1" x14ac:dyDescent="0.35">
      <c r="A3" s="125" t="s">
        <v>780</v>
      </c>
      <c r="I3" t="s">
        <v>781</v>
      </c>
      <c r="J3" t="s">
        <v>782</v>
      </c>
    </row>
    <row r="4" spans="1:11" x14ac:dyDescent="0.3">
      <c r="B4" s="129" t="s">
        <v>783</v>
      </c>
      <c r="C4" s="130" t="s">
        <v>784</v>
      </c>
      <c r="D4" s="130" t="s">
        <v>785</v>
      </c>
      <c r="E4" s="130" t="s">
        <v>422</v>
      </c>
      <c r="F4" s="130" t="s">
        <v>786</v>
      </c>
      <c r="G4" s="131" t="s">
        <v>420</v>
      </c>
      <c r="I4" s="129" t="s">
        <v>787</v>
      </c>
      <c r="J4" s="130" t="s">
        <v>298</v>
      </c>
      <c r="K4" s="131" t="s">
        <v>252</v>
      </c>
    </row>
    <row r="5" spans="1:11" x14ac:dyDescent="0.3">
      <c r="B5" s="134" t="s">
        <v>94</v>
      </c>
      <c r="C5" s="123">
        <v>8.91</v>
      </c>
      <c r="D5" s="123">
        <v>58.69</v>
      </c>
      <c r="E5" s="135">
        <f>'R1_Hydro_MEFA'!B7*1000000/D5</f>
        <v>36306964.473636232</v>
      </c>
      <c r="F5" s="136" t="s">
        <v>788</v>
      </c>
      <c r="G5" s="137">
        <f>E5*D5/1000000</f>
        <v>2130.8557449577106</v>
      </c>
      <c r="H5" s="125"/>
      <c r="I5" s="134" t="s">
        <v>789</v>
      </c>
      <c r="J5" s="123">
        <v>383</v>
      </c>
      <c r="K5" s="148" t="s">
        <v>790</v>
      </c>
    </row>
    <row r="6" spans="1:11" x14ac:dyDescent="0.3">
      <c r="B6" s="134" t="s">
        <v>93</v>
      </c>
      <c r="C6" s="138">
        <v>8.9</v>
      </c>
      <c r="D6" s="123">
        <v>58.93</v>
      </c>
      <c r="E6" s="135">
        <f>'R1_Hydro_MEFA'!B8*1000000/D6</f>
        <v>12102798.025792358</v>
      </c>
      <c r="F6" s="136" t="s">
        <v>788</v>
      </c>
      <c r="G6" s="137">
        <f>E6*D6/1000000</f>
        <v>713.2178876599437</v>
      </c>
      <c r="I6" s="393" t="s">
        <v>791</v>
      </c>
      <c r="J6" s="123">
        <v>625</v>
      </c>
      <c r="K6" s="148" t="s">
        <v>790</v>
      </c>
    </row>
    <row r="7" spans="1:11" x14ac:dyDescent="0.3">
      <c r="B7" s="134" t="s">
        <v>98</v>
      </c>
      <c r="C7" s="123">
        <v>8.9600000000000009</v>
      </c>
      <c r="D7" s="123">
        <v>63.55</v>
      </c>
      <c r="E7" s="135">
        <f>'R1_Hydro_MEFA'!B9*1000000/D7</f>
        <v>27196211.433644552</v>
      </c>
      <c r="F7" s="136" t="s">
        <v>788</v>
      </c>
      <c r="G7" s="137">
        <f>E7*D7/1000000</f>
        <v>1728.3192366081112</v>
      </c>
      <c r="I7" s="134" t="s">
        <v>792</v>
      </c>
      <c r="J7" s="123">
        <v>762</v>
      </c>
      <c r="K7" s="148" t="s">
        <v>790</v>
      </c>
    </row>
    <row r="8" spans="1:11" ht="15" thickBot="1" x14ac:dyDescent="0.35">
      <c r="B8" s="139" t="s">
        <v>45</v>
      </c>
      <c r="C8" s="140">
        <v>7.87</v>
      </c>
      <c r="D8" s="140">
        <v>55.85</v>
      </c>
      <c r="E8" s="141">
        <f>'R1_Hydro_MEFA'!B10*1000000/D8</f>
        <v>3928172.2291503693</v>
      </c>
      <c r="F8" s="142" t="s">
        <v>788</v>
      </c>
      <c r="G8" s="143">
        <f>E8*D8/1000000</f>
        <v>219.38841899804814</v>
      </c>
      <c r="I8" s="134" t="s">
        <v>793</v>
      </c>
      <c r="J8" s="123">
        <v>340</v>
      </c>
      <c r="K8" s="148" t="s">
        <v>790</v>
      </c>
    </row>
    <row r="9" spans="1:11" x14ac:dyDescent="0.3">
      <c r="B9" s="144"/>
      <c r="C9" s="145"/>
      <c r="D9" s="145"/>
      <c r="E9" s="145"/>
      <c r="F9" s="145"/>
      <c r="G9" s="146"/>
      <c r="I9" s="134" t="s">
        <v>794</v>
      </c>
      <c r="J9" s="123">
        <v>203</v>
      </c>
      <c r="K9" s="148" t="s">
        <v>790</v>
      </c>
    </row>
    <row r="10" spans="1:11" x14ac:dyDescent="0.3">
      <c r="B10" s="134" t="s">
        <v>99</v>
      </c>
      <c r="C10" s="123"/>
      <c r="D10" s="123"/>
      <c r="E10" s="135">
        <f>SUM(E5:E8)</f>
        <v>79534146.162223518</v>
      </c>
      <c r="F10" s="123"/>
      <c r="G10" s="148"/>
      <c r="I10" s="393" t="s">
        <v>795</v>
      </c>
      <c r="J10" s="123">
        <v>256</v>
      </c>
      <c r="K10" s="148" t="s">
        <v>790</v>
      </c>
    </row>
    <row r="11" spans="1:11" x14ac:dyDescent="0.3">
      <c r="B11" s="149" t="s">
        <v>796</v>
      </c>
      <c r="C11" s="123"/>
      <c r="D11" s="123">
        <v>96.06</v>
      </c>
      <c r="E11" s="135">
        <f>E5+E6+E7+E8</f>
        <v>79534146.162223518</v>
      </c>
      <c r="F11" s="123"/>
      <c r="G11" s="137">
        <f>E11*D11/1000000</f>
        <v>7640.0500803431914</v>
      </c>
      <c r="I11" s="134" t="s">
        <v>797</v>
      </c>
      <c r="J11" s="123">
        <v>360</v>
      </c>
      <c r="K11" s="148" t="s">
        <v>790</v>
      </c>
    </row>
    <row r="12" spans="1:11" ht="15" thickBot="1" x14ac:dyDescent="0.35">
      <c r="B12" s="139" t="s">
        <v>798</v>
      </c>
      <c r="C12" s="140">
        <v>1.84</v>
      </c>
      <c r="D12" s="140">
        <v>98.08</v>
      </c>
      <c r="E12" s="140"/>
      <c r="F12" s="140"/>
      <c r="G12" s="150">
        <f>G11*D12/D11</f>
        <v>7800.7090555908826</v>
      </c>
      <c r="I12" s="768" t="s">
        <v>30</v>
      </c>
      <c r="J12" s="140">
        <v>2.4</v>
      </c>
      <c r="K12" s="319" t="s">
        <v>790</v>
      </c>
    </row>
    <row r="13" spans="1:11" x14ac:dyDescent="0.3">
      <c r="B13" s="144"/>
      <c r="C13" s="145"/>
      <c r="D13" s="145"/>
      <c r="E13" s="145"/>
      <c r="F13" s="145"/>
      <c r="G13" s="146"/>
    </row>
    <row r="14" spans="1:11" x14ac:dyDescent="0.3">
      <c r="B14" s="134" t="s">
        <v>799</v>
      </c>
      <c r="C14" s="123">
        <v>3.68</v>
      </c>
      <c r="D14" s="123">
        <f>D11+D5</f>
        <v>154.75</v>
      </c>
      <c r="E14" s="135">
        <f>E5</f>
        <v>36306964.473636232</v>
      </c>
      <c r="F14" s="136" t="s">
        <v>788</v>
      </c>
      <c r="G14" s="137">
        <f>E14*D14/1000000</f>
        <v>5618.5027522952068</v>
      </c>
      <c r="I14" t="s">
        <v>800</v>
      </c>
    </row>
    <row r="15" spans="1:11" x14ac:dyDescent="0.3">
      <c r="B15" s="134" t="s">
        <v>801</v>
      </c>
      <c r="C15" s="123">
        <v>3.71</v>
      </c>
      <c r="D15" s="123">
        <v>154.99</v>
      </c>
      <c r="E15" s="135">
        <f>E6</f>
        <v>12102798.025792358</v>
      </c>
      <c r="F15" s="136" t="s">
        <v>788</v>
      </c>
      <c r="G15" s="137">
        <f>E15*D15/1000000</f>
        <v>1875.8126660175578</v>
      </c>
      <c r="H15" s="165"/>
    </row>
    <row r="16" spans="1:11" x14ac:dyDescent="0.3">
      <c r="B16" s="134" t="s">
        <v>802</v>
      </c>
      <c r="C16" s="138">
        <v>3.6</v>
      </c>
      <c r="D16" s="123">
        <v>159.61000000000001</v>
      </c>
      <c r="E16" s="135">
        <f>E7</f>
        <v>27196211.433644552</v>
      </c>
      <c r="F16" s="136" t="s">
        <v>788</v>
      </c>
      <c r="G16" s="137">
        <f>E16*D16/1000000</f>
        <v>4340.7873069240077</v>
      </c>
      <c r="H16" s="167"/>
    </row>
    <row r="17" spans="1:11" x14ac:dyDescent="0.3">
      <c r="B17" s="134" t="s">
        <v>803</v>
      </c>
      <c r="C17" s="123">
        <v>2.84</v>
      </c>
      <c r="D17" s="123">
        <v>151.91</v>
      </c>
      <c r="E17" s="135">
        <f>E8</f>
        <v>3928172.2291503693</v>
      </c>
      <c r="F17" s="136" t="s">
        <v>788</v>
      </c>
      <c r="G17" s="390">
        <f>E17*D17/1000000</f>
        <v>596.72864333023267</v>
      </c>
      <c r="H17" s="167"/>
    </row>
    <row r="18" spans="1:11" ht="15" thickBot="1" x14ac:dyDescent="0.35">
      <c r="B18" s="139"/>
      <c r="C18" s="391"/>
      <c r="D18" s="140"/>
      <c r="E18" s="140"/>
      <c r="F18" s="140"/>
      <c r="G18" s="392"/>
      <c r="H18" s="167"/>
    </row>
    <row r="19" spans="1:11" ht="15" thickBot="1" x14ac:dyDescent="0.35">
      <c r="B19" s="768" t="s">
        <v>804</v>
      </c>
      <c r="C19" s="391">
        <f>C14*G14/G19+C15*G15/G19+C16*G16/G19+C17*G17/G19</f>
        <v>3.6162732133759548</v>
      </c>
      <c r="D19" s="391">
        <f>+D14*G14/G19+D15*G15/G19+D16*G16/G19+D17*G17/G19</f>
        <v>156.34684534127697</v>
      </c>
      <c r="E19" s="141">
        <f>SUM(E14:E17)</f>
        <v>79534146.162223518</v>
      </c>
      <c r="F19" s="140"/>
      <c r="G19" s="150">
        <f>SUM(G14:G17)</f>
        <v>12431.831368567004</v>
      </c>
      <c r="H19" s="167"/>
    </row>
    <row r="20" spans="1:11" x14ac:dyDescent="0.3">
      <c r="B20" s="144"/>
      <c r="C20" s="145"/>
      <c r="D20" s="145"/>
      <c r="E20" s="145"/>
      <c r="F20" s="145"/>
      <c r="G20" s="146"/>
    </row>
    <row r="21" spans="1:11" ht="15.6" x14ac:dyDescent="0.35">
      <c r="B21" s="134" t="s">
        <v>805</v>
      </c>
      <c r="C21" s="123"/>
      <c r="D21" s="123">
        <v>106.87</v>
      </c>
      <c r="E21" s="123"/>
      <c r="F21" s="123"/>
      <c r="G21" s="148"/>
    </row>
    <row r="22" spans="1:11" x14ac:dyDescent="0.3">
      <c r="B22" s="134"/>
      <c r="C22" s="123"/>
      <c r="D22" s="138"/>
      <c r="E22" s="123"/>
      <c r="F22" s="123">
        <f>(Stoichiometry!G14/(Stoichiometry!J6/1000)+Stoichiometry!G15/(Stoichiometry!J5/1000)+Stoichiometry!G16/(Stoichiometry!J9/1000)+Stoichiometry!G17/(Stoichiometry!J10/1000))*O22</f>
        <v>0</v>
      </c>
      <c r="G22" s="148"/>
    </row>
    <row r="23" spans="1:11" x14ac:dyDescent="0.3">
      <c r="B23" s="134" t="s">
        <v>74</v>
      </c>
      <c r="C23" s="123">
        <v>1.45</v>
      </c>
      <c r="D23" s="123">
        <v>34.01</v>
      </c>
      <c r="E23" s="123"/>
      <c r="F23" s="123"/>
      <c r="G23" s="148"/>
    </row>
    <row r="24" spans="1:11" ht="43.2" x14ac:dyDescent="0.3">
      <c r="B24" s="393" t="s">
        <v>806</v>
      </c>
      <c r="C24" s="123">
        <v>2.13</v>
      </c>
      <c r="D24" s="123">
        <v>39.979999999999997</v>
      </c>
      <c r="E24" s="394">
        <f>E17*3</f>
        <v>11784516.687451107</v>
      </c>
      <c r="F24" s="389" t="s">
        <v>807</v>
      </c>
      <c r="G24" s="137">
        <f>E24*D24/1000000</f>
        <v>471.14497716429526</v>
      </c>
    </row>
    <row r="25" spans="1:11" x14ac:dyDescent="0.3">
      <c r="B25" s="393" t="s">
        <v>808</v>
      </c>
      <c r="C25" s="123">
        <v>0.8</v>
      </c>
      <c r="D25" s="123"/>
      <c r="E25" s="123"/>
      <c r="F25" s="123"/>
      <c r="G25" s="148"/>
    </row>
    <row r="26" spans="1:11" x14ac:dyDescent="0.3">
      <c r="B26" s="134" t="s">
        <v>37</v>
      </c>
      <c r="C26" s="123">
        <v>0.92</v>
      </c>
      <c r="D26" s="138">
        <v>290</v>
      </c>
      <c r="E26" s="395">
        <f>(G26*1000000)/D26</f>
        <v>4085.4360944392956</v>
      </c>
      <c r="F26" s="123"/>
      <c r="G26" s="390">
        <f>'R1_Hydro_MEFA'!F67</f>
        <v>1.1847764673873957</v>
      </c>
    </row>
    <row r="27" spans="1:11" ht="15" thickBot="1" x14ac:dyDescent="0.35">
      <c r="B27" s="139"/>
      <c r="C27" s="140"/>
      <c r="D27" s="391"/>
      <c r="E27" s="396"/>
      <c r="F27" s="140"/>
      <c r="G27" s="143"/>
    </row>
    <row r="28" spans="1:11" x14ac:dyDescent="0.3">
      <c r="B28" s="134" t="s">
        <v>809</v>
      </c>
      <c r="C28" s="138">
        <v>1</v>
      </c>
      <c r="D28" s="123">
        <v>18.02</v>
      </c>
      <c r="E28" s="135">
        <f>E14*6</f>
        <v>217841786.84181738</v>
      </c>
      <c r="F28" s="389" t="s">
        <v>810</v>
      </c>
      <c r="G28" s="137">
        <f>D28*E28/1000000</f>
        <v>3925.5089988895493</v>
      </c>
    </row>
    <row r="29" spans="1:11" x14ac:dyDescent="0.3">
      <c r="B29" s="134" t="s">
        <v>811</v>
      </c>
      <c r="C29" s="138">
        <v>1</v>
      </c>
      <c r="D29" s="123">
        <v>18.02</v>
      </c>
      <c r="E29" s="135">
        <f>E15*7</f>
        <v>84719586.180546507</v>
      </c>
      <c r="F29" s="136" t="s">
        <v>812</v>
      </c>
      <c r="G29" s="137">
        <f>D29*E29/1000000</f>
        <v>1526.6469429734479</v>
      </c>
      <c r="I29" s="127"/>
      <c r="J29" s="125"/>
      <c r="K29" s="125"/>
    </row>
    <row r="30" spans="1:11" ht="15" thickBot="1" x14ac:dyDescent="0.35">
      <c r="B30" s="139"/>
      <c r="C30" s="391"/>
      <c r="D30" s="140"/>
      <c r="E30" s="141"/>
      <c r="F30" s="142"/>
      <c r="G30" s="150"/>
    </row>
    <row r="31" spans="1:11" x14ac:dyDescent="0.3">
      <c r="C31" s="180"/>
      <c r="E31" s="167"/>
      <c r="F31" s="246"/>
      <c r="G31" s="167"/>
    </row>
    <row r="32" spans="1:11" ht="15" thickBot="1" x14ac:dyDescent="0.35">
      <c r="A32" s="125" t="s">
        <v>813</v>
      </c>
    </row>
    <row r="33" spans="2:8" x14ac:dyDescent="0.3">
      <c r="B33" s="769" t="s">
        <v>783</v>
      </c>
      <c r="C33" s="130" t="s">
        <v>784</v>
      </c>
      <c r="D33" s="130" t="s">
        <v>785</v>
      </c>
      <c r="E33" s="130" t="s">
        <v>422</v>
      </c>
      <c r="F33" s="130" t="s">
        <v>786</v>
      </c>
      <c r="G33" s="131" t="s">
        <v>420</v>
      </c>
    </row>
    <row r="34" spans="2:8" x14ac:dyDescent="0.3">
      <c r="B34" s="134" t="s">
        <v>97</v>
      </c>
      <c r="C34" s="138">
        <v>2.7</v>
      </c>
      <c r="D34" s="123">
        <v>26.92</v>
      </c>
      <c r="E34" s="135">
        <f>'R1_Hydro_MEFA'!T114*1000000/D34</f>
        <v>44276832.6790094</v>
      </c>
      <c r="F34" s="389" t="s">
        <v>814</v>
      </c>
      <c r="G34" s="137">
        <f t="shared" ref="G34:G40" si="0">E34*D34/1000000</f>
        <v>1191.932335718933</v>
      </c>
      <c r="H34" s="125"/>
    </row>
    <row r="35" spans="2:8" x14ac:dyDescent="0.3">
      <c r="B35" s="134" t="s">
        <v>96</v>
      </c>
      <c r="C35" s="123">
        <v>7.47</v>
      </c>
      <c r="D35" s="123">
        <v>54.94</v>
      </c>
      <c r="E35" s="135">
        <f>'R1_Hydro_MEFA'!T115*1000000/D35</f>
        <v>12106345.148750432</v>
      </c>
      <c r="F35" s="136" t="s">
        <v>788</v>
      </c>
      <c r="G35" s="137">
        <f t="shared" si="0"/>
        <v>665.12260247234872</v>
      </c>
    </row>
    <row r="36" spans="2:8" x14ac:dyDescent="0.3">
      <c r="B36" s="134" t="s">
        <v>95</v>
      </c>
      <c r="C36" s="123">
        <v>0.53</v>
      </c>
      <c r="D36" s="123">
        <v>6.94</v>
      </c>
      <c r="E36" s="135">
        <f>'R1_Hydro_MEFA'!T116*1000000/D36</f>
        <v>52040403.470713131</v>
      </c>
      <c r="F36" s="136" t="s">
        <v>815</v>
      </c>
      <c r="G36" s="137">
        <f>E36*D36/1000000</f>
        <v>361.16040008674912</v>
      </c>
    </row>
    <row r="37" spans="2:8" x14ac:dyDescent="0.3">
      <c r="B37" s="134" t="s">
        <v>45</v>
      </c>
      <c r="C37" s="123">
        <v>7.87</v>
      </c>
      <c r="D37" s="123">
        <v>55.85</v>
      </c>
      <c r="E37" s="135">
        <f>'R1_Hydro_MEFA'!T117*1000000/D37</f>
        <v>9165735.2013508603</v>
      </c>
      <c r="F37" s="136" t="s">
        <v>788</v>
      </c>
      <c r="G37" s="390">
        <f t="shared" si="0"/>
        <v>511.90631099544555</v>
      </c>
    </row>
    <row r="38" spans="2:8" x14ac:dyDescent="0.3">
      <c r="B38" s="134" t="s">
        <v>816</v>
      </c>
      <c r="C38" s="123">
        <v>1.55</v>
      </c>
      <c r="D38" s="123">
        <v>40.08</v>
      </c>
      <c r="E38" s="135">
        <f>'R1_Hydro_MEFA'!T119*1000000/D38</f>
        <v>174823058.21497992</v>
      </c>
      <c r="F38" s="389" t="s">
        <v>788</v>
      </c>
      <c r="G38" s="390">
        <f t="shared" si="0"/>
        <v>7006.9081732563945</v>
      </c>
    </row>
    <row r="39" spans="2:8" x14ac:dyDescent="0.3">
      <c r="B39" s="134" t="s">
        <v>817</v>
      </c>
      <c r="C39" s="123">
        <v>3.34</v>
      </c>
      <c r="D39" s="123">
        <v>56.08</v>
      </c>
      <c r="E39" s="135"/>
      <c r="F39" s="162"/>
      <c r="G39" s="390">
        <f t="shared" si="0"/>
        <v>0</v>
      </c>
    </row>
    <row r="40" spans="2:8" x14ac:dyDescent="0.3">
      <c r="B40" s="134" t="s">
        <v>818</v>
      </c>
      <c r="C40" s="123">
        <v>2.65</v>
      </c>
      <c r="D40" s="123">
        <v>60.08</v>
      </c>
      <c r="E40" s="135">
        <f>'R1_Hydro_MEFA'!T118*1000000/D40</f>
        <v>60355245.34363395</v>
      </c>
      <c r="F40" s="698" t="s">
        <v>819</v>
      </c>
      <c r="G40" s="390">
        <f t="shared" si="0"/>
        <v>3626.1431402455278</v>
      </c>
    </row>
    <row r="41" spans="2:8" x14ac:dyDescent="0.3">
      <c r="B41" s="144"/>
      <c r="C41" s="145"/>
      <c r="D41" s="145"/>
      <c r="E41" s="145"/>
      <c r="F41" s="145"/>
      <c r="G41" s="146"/>
    </row>
    <row r="42" spans="2:8" x14ac:dyDescent="0.3">
      <c r="B42" s="134" t="s">
        <v>99</v>
      </c>
      <c r="C42" s="123"/>
      <c r="D42" s="123"/>
      <c r="E42" s="135">
        <f>SUM(E34:E38)</f>
        <v>292412374.71480376</v>
      </c>
      <c r="F42" s="123"/>
      <c r="G42" s="148"/>
    </row>
    <row r="43" spans="2:8" x14ac:dyDescent="0.3">
      <c r="B43" s="149" t="s">
        <v>796</v>
      </c>
      <c r="C43" s="123"/>
      <c r="D43" s="123">
        <v>96.06</v>
      </c>
      <c r="E43" s="135">
        <f>E34*3/2+E35+E36/2+E37+E38</f>
        <v>288530589.31895185</v>
      </c>
      <c r="F43" s="123"/>
      <c r="G43" s="137">
        <f>E43*D43/1000000</f>
        <v>27716.248409978514</v>
      </c>
    </row>
    <row r="44" spans="2:8" ht="15" thickBot="1" x14ac:dyDescent="0.35">
      <c r="B44" s="139" t="s">
        <v>798</v>
      </c>
      <c r="C44" s="140">
        <v>1.84</v>
      </c>
      <c r="D44" s="140">
        <v>98.08</v>
      </c>
      <c r="E44" s="140"/>
      <c r="F44" s="140"/>
      <c r="G44" s="150">
        <f>G43*D44/D43</f>
        <v>28299.080200402797</v>
      </c>
    </row>
    <row r="45" spans="2:8" x14ac:dyDescent="0.3">
      <c r="B45" s="144"/>
      <c r="C45" s="145"/>
      <c r="D45" s="145"/>
      <c r="E45" s="145"/>
      <c r="F45" s="145"/>
      <c r="G45" s="146"/>
    </row>
    <row r="46" spans="2:8" x14ac:dyDescent="0.3">
      <c r="B46" s="134" t="s">
        <v>820</v>
      </c>
      <c r="C46" s="123">
        <v>2.67</v>
      </c>
      <c r="D46" s="123">
        <v>342.15</v>
      </c>
      <c r="E46" s="135">
        <f>(E34+E34*3/2)/5</f>
        <v>22138416.3395047</v>
      </c>
      <c r="F46" s="389" t="s">
        <v>814</v>
      </c>
      <c r="G46" s="137">
        <f>E46*D46/1000000</f>
        <v>7574.6591505615334</v>
      </c>
      <c r="H46" s="165"/>
    </row>
    <row r="47" spans="2:8" x14ac:dyDescent="0.3">
      <c r="B47" s="134" t="s">
        <v>821</v>
      </c>
      <c r="C47" s="123">
        <v>3.25</v>
      </c>
      <c r="D47" s="138">
        <v>151</v>
      </c>
      <c r="E47" s="135">
        <f>E35</f>
        <v>12106345.148750432</v>
      </c>
      <c r="F47" s="136" t="s">
        <v>788</v>
      </c>
      <c r="G47" s="137">
        <f>E47*D47/1000000</f>
        <v>1828.0581174613151</v>
      </c>
      <c r="H47" s="167"/>
    </row>
    <row r="48" spans="2:8" ht="28.8" x14ac:dyDescent="0.3">
      <c r="B48" s="393" t="s">
        <v>822</v>
      </c>
      <c r="C48" s="123">
        <v>2.2200000000000002</v>
      </c>
      <c r="D48" s="123">
        <v>109.94</v>
      </c>
      <c r="E48" s="135">
        <f>(E36+E36/2)/3</f>
        <v>26020201.735356566</v>
      </c>
      <c r="F48" s="136" t="s">
        <v>815</v>
      </c>
      <c r="G48" s="137">
        <f>E48*D48/1000000</f>
        <v>2860.6609787851007</v>
      </c>
      <c r="H48" s="165"/>
    </row>
    <row r="49" spans="2:8" x14ac:dyDescent="0.3">
      <c r="B49" s="393" t="s">
        <v>803</v>
      </c>
      <c r="C49" s="123">
        <v>2.84</v>
      </c>
      <c r="D49" s="123">
        <v>151.91</v>
      </c>
      <c r="E49" s="135">
        <f>E37</f>
        <v>9165735.2013508603</v>
      </c>
      <c r="F49" s="136" t="s">
        <v>788</v>
      </c>
      <c r="G49" s="390">
        <f>E49*D49/1000000</f>
        <v>1392.366834437209</v>
      </c>
      <c r="H49" s="167"/>
    </row>
    <row r="50" spans="2:8" x14ac:dyDescent="0.3">
      <c r="B50" s="207" t="s">
        <v>823</v>
      </c>
      <c r="C50" s="162">
        <v>2.96</v>
      </c>
      <c r="D50" s="162">
        <v>136.11000000000001</v>
      </c>
      <c r="E50" s="135">
        <f>E38</f>
        <v>174823058.21497992</v>
      </c>
      <c r="F50" s="389" t="s">
        <v>824</v>
      </c>
      <c r="G50" s="390">
        <f>E50*D50/1000000</f>
        <v>23795.166453640919</v>
      </c>
      <c r="H50" s="167"/>
    </row>
    <row r="51" spans="2:8" ht="15" thickBot="1" x14ac:dyDescent="0.35">
      <c r="B51" s="139" t="s">
        <v>825</v>
      </c>
      <c r="C51" s="391">
        <v>2.65</v>
      </c>
      <c r="D51" s="140">
        <v>60.08</v>
      </c>
      <c r="E51" s="141"/>
      <c r="F51" s="140" t="s">
        <v>819</v>
      </c>
      <c r="G51" s="392">
        <f>'R1_Hydro_MEFA'!T118</f>
        <v>3626.1431402455278</v>
      </c>
      <c r="H51" s="167"/>
    </row>
    <row r="52" spans="2:8" x14ac:dyDescent="0.3">
      <c r="B52" s="144"/>
      <c r="C52" s="145"/>
      <c r="D52" s="145"/>
      <c r="E52" s="145"/>
      <c r="F52" s="145"/>
      <c r="G52" s="146"/>
    </row>
    <row r="53" spans="2:8" ht="15" thickBot="1" x14ac:dyDescent="0.35">
      <c r="B53" s="139" t="s">
        <v>804</v>
      </c>
      <c r="C53" s="391">
        <f>C46*G46/G53+C47*G47/G53+C48*G48/G53+C49*G49/G53+C50*G50/G53+C51*G51/G53</f>
        <v>2.83646164366841</v>
      </c>
      <c r="D53" s="391">
        <f>D46*G46/G53+D47*G47/G53+D48*G48/G53+D49*G49/G53+D50*G50/G53+D51*G51/G53</f>
        <v>166.76805963759981</v>
      </c>
      <c r="E53" s="141">
        <f>SUM(E46:E50)</f>
        <v>244253756.63994247</v>
      </c>
      <c r="F53" s="140"/>
      <c r="G53" s="150">
        <f>SUM(G46:G51)</f>
        <v>41077.054675131607</v>
      </c>
      <c r="H53" s="167"/>
    </row>
    <row r="54" spans="2:8" x14ac:dyDescent="0.3">
      <c r="B54" s="144"/>
      <c r="C54" s="145"/>
      <c r="D54" s="145"/>
      <c r="E54" s="145"/>
      <c r="F54" s="145"/>
      <c r="G54" s="146"/>
    </row>
    <row r="55" spans="2:8" ht="15.6" x14ac:dyDescent="0.35">
      <c r="B55" s="134" t="s">
        <v>805</v>
      </c>
      <c r="C55" s="123"/>
      <c r="D55" s="123">
        <v>106.87</v>
      </c>
      <c r="E55" s="123"/>
      <c r="F55" s="123"/>
      <c r="G55" s="148"/>
    </row>
    <row r="56" spans="2:8" ht="15.6" x14ac:dyDescent="0.35">
      <c r="B56" s="134" t="s">
        <v>826</v>
      </c>
      <c r="C56" s="123"/>
      <c r="D56" s="138">
        <v>78</v>
      </c>
      <c r="E56" s="123"/>
      <c r="F56" s="123"/>
      <c r="G56" s="148"/>
    </row>
    <row r="57" spans="2:8" ht="15.6" x14ac:dyDescent="0.35">
      <c r="B57" s="207" t="s">
        <v>827</v>
      </c>
      <c r="C57" s="123"/>
      <c r="D57" s="123">
        <v>74.09</v>
      </c>
      <c r="E57" s="123"/>
      <c r="F57" s="123"/>
      <c r="G57" s="148"/>
    </row>
    <row r="58" spans="2:8" x14ac:dyDescent="0.3">
      <c r="B58" s="393" t="s">
        <v>74</v>
      </c>
      <c r="C58" s="123">
        <v>1.45</v>
      </c>
      <c r="D58" s="123">
        <v>34.01</v>
      </c>
      <c r="E58" s="123"/>
      <c r="F58" s="123"/>
      <c r="G58" s="148"/>
    </row>
    <row r="59" spans="2:8" ht="43.2" x14ac:dyDescent="0.3">
      <c r="B59" s="393" t="s">
        <v>828</v>
      </c>
      <c r="C59" s="123">
        <v>2.13</v>
      </c>
      <c r="D59" s="123">
        <v>39.979999999999997</v>
      </c>
      <c r="E59" s="394">
        <f>(E49+E46)*3+E50*2</f>
        <v>443558571.05252653</v>
      </c>
      <c r="F59" s="389" t="s">
        <v>829</v>
      </c>
      <c r="G59" s="137">
        <f>E59*D59/1000000</f>
        <v>17733.471670680006</v>
      </c>
    </row>
    <row r="60" spans="2:8" x14ac:dyDescent="0.3">
      <c r="B60" s="393" t="s">
        <v>808</v>
      </c>
      <c r="C60" s="123">
        <v>0.8</v>
      </c>
      <c r="D60" s="123"/>
      <c r="E60" s="123"/>
      <c r="F60" s="123"/>
      <c r="G60" s="148"/>
    </row>
    <row r="61" spans="2:8" ht="15" thickBot="1" x14ac:dyDescent="0.35">
      <c r="B61" s="139" t="s">
        <v>41</v>
      </c>
      <c r="C61" s="140">
        <v>0.96</v>
      </c>
      <c r="D61" s="391">
        <v>322.39999999999998</v>
      </c>
      <c r="E61" s="396">
        <f>(G61*1000000)/D61</f>
        <v>0</v>
      </c>
      <c r="F61" s="140"/>
      <c r="G61" s="143">
        <f>'R1_Hydro_MEFA'!F160</f>
        <v>0</v>
      </c>
    </row>
    <row r="62" spans="2:8" ht="15" thickBot="1" x14ac:dyDescent="0.35">
      <c r="B62" s="139" t="s">
        <v>830</v>
      </c>
      <c r="C62" s="391">
        <v>1</v>
      </c>
      <c r="D62" s="140">
        <v>18.02</v>
      </c>
      <c r="E62" s="141">
        <f>E47</f>
        <v>12106345.148750432</v>
      </c>
      <c r="F62" s="142" t="s">
        <v>788</v>
      </c>
      <c r="G62" s="150">
        <f>D62*E62/1000000</f>
        <v>218.15633958048278</v>
      </c>
    </row>
    <row r="65" spans="1:8" ht="21.6" thickBot="1" x14ac:dyDescent="0.45">
      <c r="A65" s="188" t="s">
        <v>831</v>
      </c>
    </row>
    <row r="66" spans="1:8" x14ac:dyDescent="0.3">
      <c r="B66" s="129" t="s">
        <v>783</v>
      </c>
      <c r="C66" s="130" t="s">
        <v>784</v>
      </c>
      <c r="D66" s="130" t="s">
        <v>785</v>
      </c>
      <c r="E66" s="130" t="s">
        <v>422</v>
      </c>
      <c r="F66" s="130" t="s">
        <v>786</v>
      </c>
      <c r="G66" s="131" t="s">
        <v>420</v>
      </c>
    </row>
    <row r="67" spans="1:8" x14ac:dyDescent="0.3">
      <c r="B67" s="134" t="s">
        <v>97</v>
      </c>
      <c r="C67" s="138">
        <v>2.7</v>
      </c>
      <c r="D67" s="123">
        <v>26.92</v>
      </c>
      <c r="E67" s="395">
        <f>'R2_Hydro_MEFA'!C6*1000000/D67</f>
        <v>497550.43418042589</v>
      </c>
      <c r="F67" s="389" t="s">
        <v>814</v>
      </c>
      <c r="G67" s="137">
        <f t="shared" ref="G67:G73" si="1">E67*D67/1000000</f>
        <v>13.394057688137066</v>
      </c>
      <c r="H67" s="125"/>
    </row>
    <row r="68" spans="1:8" x14ac:dyDescent="0.3">
      <c r="B68" s="134" t="s">
        <v>94</v>
      </c>
      <c r="C68" s="123">
        <v>8.91</v>
      </c>
      <c r="D68" s="123">
        <v>58.69</v>
      </c>
      <c r="E68" s="135">
        <f>'R2_Hydro_MEFA'!C7*1000000/D68</f>
        <v>30860919.802590795</v>
      </c>
      <c r="F68" s="136" t="s">
        <v>788</v>
      </c>
      <c r="G68" s="137">
        <f t="shared" si="1"/>
        <v>1811.2273832140536</v>
      </c>
    </row>
    <row r="69" spans="1:8" x14ac:dyDescent="0.3">
      <c r="B69" s="134" t="s">
        <v>93</v>
      </c>
      <c r="C69" s="138">
        <v>8.9</v>
      </c>
      <c r="D69" s="123">
        <v>58.93</v>
      </c>
      <c r="E69" s="461">
        <f>'R2_Hydro_MEFA'!C8*1000000/D69</f>
        <v>10287378.321923504</v>
      </c>
      <c r="F69" s="136" t="s">
        <v>788</v>
      </c>
      <c r="G69" s="137">
        <f t="shared" si="1"/>
        <v>606.23520451095214</v>
      </c>
    </row>
    <row r="70" spans="1:8" x14ac:dyDescent="0.3">
      <c r="B70" s="393" t="s">
        <v>96</v>
      </c>
      <c r="C70" s="123">
        <v>7.47</v>
      </c>
      <c r="D70" s="123">
        <v>54.94</v>
      </c>
      <c r="E70" s="135">
        <f>'R2_Hydro_MEFA'!C9*1000000/D70</f>
        <v>10290393.376437865</v>
      </c>
      <c r="F70" s="136" t="s">
        <v>788</v>
      </c>
      <c r="G70" s="137">
        <f t="shared" si="1"/>
        <v>565.35421210149639</v>
      </c>
    </row>
    <row r="71" spans="1:8" x14ac:dyDescent="0.3">
      <c r="B71" s="134" t="s">
        <v>95</v>
      </c>
      <c r="C71" s="123">
        <v>0.53</v>
      </c>
      <c r="D71" s="123">
        <v>6.94</v>
      </c>
      <c r="E71" s="135">
        <f>'R2_Hydro_MEFA'!C10*1000000/D71</f>
        <v>51435282.500123441</v>
      </c>
      <c r="F71" s="136" t="s">
        <v>815</v>
      </c>
      <c r="G71" s="137">
        <f t="shared" si="1"/>
        <v>356.96086055085669</v>
      </c>
    </row>
    <row r="72" spans="1:8" x14ac:dyDescent="0.3">
      <c r="B72" s="134" t="s">
        <v>98</v>
      </c>
      <c r="C72" s="123">
        <v>8.9600000000000009</v>
      </c>
      <c r="D72" s="123">
        <v>63.55</v>
      </c>
      <c r="E72" s="135">
        <f>'R2_Hydro_MEFA'!C11*1000000/D72</f>
        <v>543924.22867289116</v>
      </c>
      <c r="F72" s="136" t="s">
        <v>788</v>
      </c>
      <c r="G72" s="137">
        <f t="shared" si="1"/>
        <v>34.566384732162227</v>
      </c>
    </row>
    <row r="73" spans="1:8" ht="15" thickBot="1" x14ac:dyDescent="0.35">
      <c r="B73" s="139" t="s">
        <v>45</v>
      </c>
      <c r="C73" s="140">
        <v>7.87</v>
      </c>
      <c r="D73" s="140">
        <v>55.85</v>
      </c>
      <c r="E73" s="141">
        <f>'R2_Hydro_MEFA'!C13*1000000/D73</f>
        <v>0</v>
      </c>
      <c r="F73" s="142" t="s">
        <v>788</v>
      </c>
      <c r="G73" s="143">
        <f t="shared" si="1"/>
        <v>0</v>
      </c>
    </row>
    <row r="74" spans="1:8" x14ac:dyDescent="0.3">
      <c r="B74" s="144"/>
      <c r="C74" s="145"/>
      <c r="D74" s="145"/>
      <c r="E74" s="145"/>
      <c r="F74" s="145"/>
      <c r="G74" s="146"/>
    </row>
    <row r="75" spans="1:8" x14ac:dyDescent="0.3">
      <c r="B75" s="134"/>
      <c r="C75" s="123"/>
      <c r="D75" s="123"/>
      <c r="E75" s="123"/>
      <c r="F75" s="123"/>
      <c r="G75" s="148"/>
    </row>
    <row r="76" spans="1:8" x14ac:dyDescent="0.3">
      <c r="B76" s="134" t="s">
        <v>99</v>
      </c>
      <c r="C76" s="123"/>
      <c r="D76" s="123"/>
      <c r="E76" s="135">
        <f>SUM(E67:E73)</f>
        <v>103915448.66392893</v>
      </c>
      <c r="F76" s="123"/>
      <c r="G76" s="148"/>
    </row>
    <row r="77" spans="1:8" x14ac:dyDescent="0.3">
      <c r="B77" s="149" t="s">
        <v>796</v>
      </c>
      <c r="C77" s="123"/>
      <c r="D77" s="123">
        <v>96.06</v>
      </c>
      <c r="E77" s="135">
        <f>E67*3/2+E68+E69+E70+E71/2+E72+E73</f>
        <v>78446582.630957425</v>
      </c>
      <c r="F77" s="123"/>
      <c r="G77" s="137">
        <f>E77*D77/1000000</f>
        <v>7535.5787275297707</v>
      </c>
    </row>
    <row r="78" spans="1:8" ht="15" thickBot="1" x14ac:dyDescent="0.35">
      <c r="B78" s="139" t="s">
        <v>798</v>
      </c>
      <c r="C78" s="140">
        <v>1.84</v>
      </c>
      <c r="D78" s="140">
        <v>98.08</v>
      </c>
      <c r="E78" s="140"/>
      <c r="F78" s="140"/>
      <c r="G78" s="150">
        <f>G77*D78/D77</f>
        <v>7694.0408244443042</v>
      </c>
    </row>
    <row r="79" spans="1:8" x14ac:dyDescent="0.3">
      <c r="B79" s="144"/>
      <c r="C79" s="145"/>
      <c r="D79" s="145"/>
      <c r="E79" s="145"/>
      <c r="F79" s="145"/>
      <c r="G79" s="146"/>
    </row>
    <row r="80" spans="1:8" x14ac:dyDescent="0.3">
      <c r="B80" s="393" t="s">
        <v>820</v>
      </c>
      <c r="C80" s="123">
        <v>2.67</v>
      </c>
      <c r="D80" s="123">
        <v>342.15</v>
      </c>
      <c r="E80" s="135">
        <f>(E67+E67*3/2)/5</f>
        <v>248775.21709021291</v>
      </c>
      <c r="F80" s="389" t="s">
        <v>814</v>
      </c>
      <c r="G80" s="137">
        <f t="shared" ref="G80:G86" si="2">E80*D80/1000000</f>
        <v>85.118440527416354</v>
      </c>
      <c r="H80" s="165"/>
    </row>
    <row r="81" spans="2:8" x14ac:dyDescent="0.3">
      <c r="B81" s="393" t="s">
        <v>799</v>
      </c>
      <c r="C81" s="123">
        <v>3.68</v>
      </c>
      <c r="D81" s="123">
        <f>D77+D68</f>
        <v>154.75</v>
      </c>
      <c r="E81" s="135">
        <f>E68</f>
        <v>30860919.802590795</v>
      </c>
      <c r="F81" s="136" t="s">
        <v>788</v>
      </c>
      <c r="G81" s="137">
        <f t="shared" si="2"/>
        <v>4775.7273394509257</v>
      </c>
      <c r="H81" s="167"/>
    </row>
    <row r="82" spans="2:8" x14ac:dyDescent="0.3">
      <c r="B82" s="134" t="s">
        <v>801</v>
      </c>
      <c r="C82" s="123">
        <v>3.71</v>
      </c>
      <c r="D82" s="123">
        <v>154.99</v>
      </c>
      <c r="E82" s="135">
        <f>E69</f>
        <v>10287378.321923504</v>
      </c>
      <c r="F82" s="136" t="s">
        <v>788</v>
      </c>
      <c r="G82" s="137">
        <f t="shared" si="2"/>
        <v>1594.4407661149239</v>
      </c>
      <c r="H82" s="167"/>
    </row>
    <row r="83" spans="2:8" x14ac:dyDescent="0.3">
      <c r="B83" s="134" t="s">
        <v>821</v>
      </c>
      <c r="C83" s="123">
        <v>3.25</v>
      </c>
      <c r="D83" s="138">
        <v>151</v>
      </c>
      <c r="E83" s="135">
        <f>E70</f>
        <v>10290393.376437865</v>
      </c>
      <c r="F83" s="136" t="s">
        <v>788</v>
      </c>
      <c r="G83" s="137">
        <f t="shared" si="2"/>
        <v>1553.8493998421175</v>
      </c>
      <c r="H83" s="167"/>
    </row>
    <row r="84" spans="2:8" x14ac:dyDescent="0.3">
      <c r="B84" s="393" t="s">
        <v>832</v>
      </c>
      <c r="C84" s="123">
        <v>2.2200000000000002</v>
      </c>
      <c r="D84" s="123">
        <v>109.94</v>
      </c>
      <c r="E84" s="135">
        <f>(E71+E71/2)/3</f>
        <v>25717641.250061721</v>
      </c>
      <c r="F84" s="136" t="s">
        <v>815</v>
      </c>
      <c r="G84" s="137">
        <f t="shared" si="2"/>
        <v>2827.3974790317857</v>
      </c>
      <c r="H84" s="165"/>
    </row>
    <row r="85" spans="2:8" x14ac:dyDescent="0.3">
      <c r="B85" s="393" t="s">
        <v>802</v>
      </c>
      <c r="C85" s="138">
        <v>3.6</v>
      </c>
      <c r="D85" s="123">
        <v>159.61000000000001</v>
      </c>
      <c r="E85" s="135">
        <f>E72</f>
        <v>543924.22867289116</v>
      </c>
      <c r="F85" s="136" t="s">
        <v>788</v>
      </c>
      <c r="G85" s="137">
        <f t="shared" si="2"/>
        <v>86.815746138480165</v>
      </c>
      <c r="H85" s="167"/>
    </row>
    <row r="86" spans="2:8" x14ac:dyDescent="0.3">
      <c r="B86" s="134" t="s">
        <v>803</v>
      </c>
      <c r="C86" s="123">
        <v>2.84</v>
      </c>
      <c r="D86" s="123">
        <v>151.91</v>
      </c>
      <c r="E86" s="135">
        <f>E73</f>
        <v>0</v>
      </c>
      <c r="F86" s="136" t="s">
        <v>788</v>
      </c>
      <c r="G86" s="390">
        <f t="shared" si="2"/>
        <v>0</v>
      </c>
      <c r="H86" s="167"/>
    </row>
    <row r="87" spans="2:8" ht="15" thickBot="1" x14ac:dyDescent="0.35">
      <c r="B87" s="768" t="s">
        <v>833</v>
      </c>
      <c r="C87" s="391">
        <v>2</v>
      </c>
      <c r="D87" s="140">
        <v>12</v>
      </c>
      <c r="E87" s="140"/>
      <c r="F87" s="140" t="s">
        <v>819</v>
      </c>
      <c r="G87" s="392">
        <f>'R2_Hydro_MEFA'!C12</f>
        <v>3010.2277163305139</v>
      </c>
      <c r="H87" s="167"/>
    </row>
    <row r="88" spans="2:8" x14ac:dyDescent="0.3">
      <c r="B88" s="144"/>
      <c r="C88" s="145"/>
      <c r="D88" s="145"/>
      <c r="E88" s="145"/>
      <c r="F88" s="145"/>
      <c r="G88" s="146"/>
    </row>
    <row r="89" spans="2:8" ht="15" thickBot="1" x14ac:dyDescent="0.35">
      <c r="B89" s="768" t="s">
        <v>804</v>
      </c>
      <c r="C89" s="391">
        <f>C80*G80/G89+C81*G81/G89+C82*G82/G89+C83*G83/G89+C84*G84/G89+C85*G85/G89+C86*G86/G89+C87*G87/G89</f>
        <v>2.9695995144420202</v>
      </c>
      <c r="D89" s="391">
        <f>D80*G80/G89+D81*G81/G89+D82*G82/G89+D83*G83/G89+D84*G84/G89+D85*G85/G89+D86*G86/G89+D87*G87/G89</f>
        <v>115.6016290445192</v>
      </c>
      <c r="E89" s="141">
        <f>SUM(E80:E86)</f>
        <v>77949032.196776986</v>
      </c>
      <c r="F89" s="140"/>
      <c r="G89" s="150">
        <f>SUM(G80:G87)</f>
        <v>13933.576887436162</v>
      </c>
      <c r="H89" s="167"/>
    </row>
    <row r="90" spans="2:8" x14ac:dyDescent="0.3">
      <c r="B90" s="207"/>
      <c r="C90" s="240"/>
      <c r="D90" s="240"/>
      <c r="E90" s="161"/>
      <c r="F90" s="162"/>
      <c r="G90" s="241"/>
      <c r="H90" s="167"/>
    </row>
    <row r="91" spans="2:8" ht="15.6" x14ac:dyDescent="0.35">
      <c r="B91" s="134" t="s">
        <v>805</v>
      </c>
      <c r="C91" s="123"/>
      <c r="D91" s="123">
        <v>106.87</v>
      </c>
      <c r="E91" s="123"/>
      <c r="F91" s="123"/>
      <c r="G91" s="148"/>
    </row>
    <row r="92" spans="2:8" ht="15.6" x14ac:dyDescent="0.35">
      <c r="B92" s="134" t="s">
        <v>826</v>
      </c>
      <c r="C92" s="123"/>
      <c r="D92" s="138">
        <v>78</v>
      </c>
      <c r="E92" s="123"/>
      <c r="F92" s="123"/>
      <c r="G92" s="148"/>
    </row>
    <row r="93" spans="2:8" x14ac:dyDescent="0.3">
      <c r="B93" s="393" t="s">
        <v>74</v>
      </c>
      <c r="C93" s="123">
        <v>1.45</v>
      </c>
      <c r="D93" s="123">
        <v>34.01</v>
      </c>
      <c r="E93" s="123"/>
      <c r="F93" s="123"/>
      <c r="G93" s="148"/>
    </row>
    <row r="94" spans="2:8" ht="43.2" x14ac:dyDescent="0.3">
      <c r="B94" s="393" t="s">
        <v>806</v>
      </c>
      <c r="C94" s="123">
        <v>2.13</v>
      </c>
      <c r="D94" s="123">
        <v>39.979999999999997</v>
      </c>
      <c r="E94" s="394">
        <f>(E86+E80)*3</f>
        <v>746325.65127063869</v>
      </c>
      <c r="F94" s="389" t="s">
        <v>807</v>
      </c>
      <c r="G94" s="137">
        <f>E94*D94/1000000</f>
        <v>29.838099537800133</v>
      </c>
    </row>
    <row r="95" spans="2:8" x14ac:dyDescent="0.3">
      <c r="B95" s="134" t="s">
        <v>808</v>
      </c>
      <c r="C95" s="123">
        <v>0.8</v>
      </c>
      <c r="D95" s="123"/>
      <c r="E95" s="123"/>
      <c r="F95" s="123"/>
      <c r="G95" s="148"/>
    </row>
    <row r="96" spans="2:8" x14ac:dyDescent="0.3">
      <c r="B96" s="134" t="s">
        <v>40</v>
      </c>
      <c r="C96" s="123">
        <v>0.91</v>
      </c>
      <c r="D96" s="138">
        <v>322</v>
      </c>
      <c r="E96" s="395">
        <f>(G96*1000000)/D96</f>
        <v>3504.7221913707126</v>
      </c>
      <c r="F96" s="123"/>
      <c r="G96" s="390">
        <f>'R2_Hydro_MEFA'!F85</f>
        <v>1.1285205456213694</v>
      </c>
    </row>
    <row r="97" spans="1:7" x14ac:dyDescent="0.3">
      <c r="B97" s="134" t="s">
        <v>37</v>
      </c>
      <c r="C97" s="123">
        <v>0.92</v>
      </c>
      <c r="D97" s="138">
        <v>290</v>
      </c>
      <c r="E97" s="395">
        <f>(G97*1000000)/D97</f>
        <v>1029.2252822936637</v>
      </c>
      <c r="F97" s="123"/>
      <c r="G97" s="390">
        <f>'R2_Hydro_MEFA'!F111</f>
        <v>0.29847533186516245</v>
      </c>
    </row>
    <row r="98" spans="1:7" ht="15" thickBot="1" x14ac:dyDescent="0.35">
      <c r="B98" s="139" t="s">
        <v>41</v>
      </c>
      <c r="C98" s="140">
        <v>0.96</v>
      </c>
      <c r="D98" s="391">
        <v>322.39999999999998</v>
      </c>
      <c r="E98" s="396">
        <f>(G98*1000000)/D98</f>
        <v>1874.9996252095918</v>
      </c>
      <c r="F98" s="140"/>
      <c r="G98" s="143">
        <f>'R2_Hydro_MEFA'!F148</f>
        <v>0.60449987916757242</v>
      </c>
    </row>
    <row r="99" spans="1:7" x14ac:dyDescent="0.3">
      <c r="B99" s="144"/>
      <c r="C99" s="145"/>
      <c r="D99" s="145"/>
      <c r="E99" s="145"/>
      <c r="F99" s="145"/>
      <c r="G99" s="146"/>
    </row>
    <row r="100" spans="1:7" x14ac:dyDescent="0.3">
      <c r="B100" s="393" t="s">
        <v>809</v>
      </c>
      <c r="C100" s="138">
        <v>1</v>
      </c>
      <c r="D100" s="123">
        <v>18.02</v>
      </c>
      <c r="E100" s="135">
        <f>E81*6</f>
        <v>185165518.81554478</v>
      </c>
      <c r="F100" s="389" t="s">
        <v>810</v>
      </c>
      <c r="G100" s="137">
        <f>D100*E100/1000000</f>
        <v>3336.682649056117</v>
      </c>
    </row>
    <row r="101" spans="1:7" x14ac:dyDescent="0.3">
      <c r="B101" s="393" t="s">
        <v>811</v>
      </c>
      <c r="C101" s="138">
        <v>1</v>
      </c>
      <c r="D101" s="123">
        <v>18.02</v>
      </c>
      <c r="E101" s="135">
        <f>E82*7</f>
        <v>72011648.25346452</v>
      </c>
      <c r="F101" s="136" t="s">
        <v>812</v>
      </c>
      <c r="G101" s="137">
        <f>D101*E101/1000000</f>
        <v>1297.6499015274305</v>
      </c>
    </row>
    <row r="102" spans="1:7" ht="15" thickBot="1" x14ac:dyDescent="0.35">
      <c r="B102" s="139" t="s">
        <v>830</v>
      </c>
      <c r="C102" s="391">
        <v>1</v>
      </c>
      <c r="D102" s="140">
        <v>18.02</v>
      </c>
      <c r="E102" s="141">
        <f>E83</f>
        <v>10290393.376437865</v>
      </c>
      <c r="F102" s="142" t="s">
        <v>788</v>
      </c>
      <c r="G102" s="150">
        <f>D102*E102/1000000</f>
        <v>185.43288864341034</v>
      </c>
    </row>
    <row r="104" spans="1:7" ht="21" x14ac:dyDescent="0.4">
      <c r="A104" s="188" t="s">
        <v>834</v>
      </c>
    </row>
    <row r="105" spans="1:7" ht="15" thickBot="1" x14ac:dyDescent="0.35">
      <c r="A105" s="125" t="s">
        <v>780</v>
      </c>
    </row>
    <row r="106" spans="1:7" x14ac:dyDescent="0.3">
      <c r="B106" s="129" t="s">
        <v>783</v>
      </c>
      <c r="C106" s="130" t="s">
        <v>784</v>
      </c>
      <c r="D106" s="130" t="s">
        <v>785</v>
      </c>
      <c r="E106" s="130" t="s">
        <v>422</v>
      </c>
      <c r="F106" s="130" t="s">
        <v>786</v>
      </c>
      <c r="G106" s="131" t="s">
        <v>420</v>
      </c>
    </row>
    <row r="107" spans="1:7" x14ac:dyDescent="0.3">
      <c r="B107" s="134" t="s">
        <v>94</v>
      </c>
      <c r="C107" s="123">
        <v>8.91</v>
      </c>
      <c r="D107" s="123">
        <v>58.69</v>
      </c>
      <c r="E107" s="135">
        <f>'R3_Hydro_MEFA'!B7*1000000/D107</f>
        <v>35217755.539427139</v>
      </c>
      <c r="F107" s="136" t="s">
        <v>788</v>
      </c>
      <c r="G107" s="137">
        <f>E107*D107/1000000</f>
        <v>2066.9300726089787</v>
      </c>
    </row>
    <row r="108" spans="1:7" x14ac:dyDescent="0.3">
      <c r="B108" s="134" t="s">
        <v>93</v>
      </c>
      <c r="C108" s="138">
        <v>8.9</v>
      </c>
      <c r="D108" s="123">
        <v>58.93</v>
      </c>
      <c r="E108" s="135">
        <f>'R3_Hydro_MEFA'!B8*1000000/D108</f>
        <v>11618686.104760664</v>
      </c>
      <c r="F108" s="136" t="s">
        <v>788</v>
      </c>
      <c r="G108" s="137">
        <f>E108*D108/1000000</f>
        <v>684.68917215354588</v>
      </c>
    </row>
    <row r="109" spans="1:7" x14ac:dyDescent="0.3">
      <c r="B109" s="134" t="s">
        <v>98</v>
      </c>
      <c r="C109" s="123">
        <v>8.9600000000000009</v>
      </c>
      <c r="D109" s="123">
        <v>63.55</v>
      </c>
      <c r="E109" s="135">
        <f>'R3_Hydro_MEFA'!B9*1000000/D109</f>
        <v>271962.11433644558</v>
      </c>
      <c r="F109" s="136" t="s">
        <v>788</v>
      </c>
      <c r="G109" s="137">
        <f>E109*D109/1000000</f>
        <v>17.283192366081114</v>
      </c>
    </row>
    <row r="110" spans="1:7" ht="15" thickBot="1" x14ac:dyDescent="0.35">
      <c r="B110" s="139" t="s">
        <v>45</v>
      </c>
      <c r="C110" s="140">
        <v>7.87</v>
      </c>
      <c r="D110" s="140">
        <v>55.85</v>
      </c>
      <c r="E110" s="141">
        <f>'R3_Hydro_MEFA'!B10*1000000/D110</f>
        <v>0</v>
      </c>
      <c r="F110" s="142" t="s">
        <v>788</v>
      </c>
      <c r="G110" s="143">
        <f>E110*D110/1000000</f>
        <v>0</v>
      </c>
    </row>
    <row r="111" spans="1:7" x14ac:dyDescent="0.3">
      <c r="B111" s="144"/>
      <c r="C111" s="145"/>
      <c r="D111" s="145"/>
      <c r="E111" s="145"/>
      <c r="F111" s="145"/>
      <c r="G111" s="146"/>
    </row>
    <row r="112" spans="1:7" x14ac:dyDescent="0.3">
      <c r="B112" s="134" t="s">
        <v>99</v>
      </c>
      <c r="C112" s="123"/>
      <c r="D112" s="123"/>
      <c r="E112" s="135">
        <f>SUM(E107:E110)</f>
        <v>47108403.758524247</v>
      </c>
      <c r="F112" s="123"/>
      <c r="G112" s="148"/>
    </row>
    <row r="113" spans="2:7" x14ac:dyDescent="0.3">
      <c r="B113" s="149" t="s">
        <v>796</v>
      </c>
      <c r="C113" s="123"/>
      <c r="D113" s="123">
        <v>96.06</v>
      </c>
      <c r="E113" s="135">
        <f>E107+E108+E109+E110</f>
        <v>47108403.758524247</v>
      </c>
      <c r="F113" s="123"/>
      <c r="G113" s="137">
        <f>E113*D113/1000000</f>
        <v>4525.2332650438393</v>
      </c>
    </row>
    <row r="114" spans="2:7" ht="15" thickBot="1" x14ac:dyDescent="0.35">
      <c r="B114" s="139" t="s">
        <v>798</v>
      </c>
      <c r="C114" s="140">
        <v>1.84</v>
      </c>
      <c r="D114" s="140">
        <v>98.08</v>
      </c>
      <c r="E114" s="140"/>
      <c r="F114" s="140"/>
      <c r="G114" s="150">
        <f>G113*D114/D113</f>
        <v>4620.392240636058</v>
      </c>
    </row>
    <row r="115" spans="2:7" x14ac:dyDescent="0.3">
      <c r="B115" s="144"/>
      <c r="C115" s="145"/>
      <c r="D115" s="145"/>
      <c r="E115" s="145"/>
      <c r="F115" s="145"/>
      <c r="G115" s="146"/>
    </row>
    <row r="116" spans="2:7" x14ac:dyDescent="0.3">
      <c r="B116" s="134" t="s">
        <v>799</v>
      </c>
      <c r="C116" s="123">
        <v>3.68</v>
      </c>
      <c r="D116" s="123">
        <f>D113+D107</f>
        <v>154.75</v>
      </c>
      <c r="E116" s="135">
        <f>E107</f>
        <v>35217755.539427139</v>
      </c>
      <c r="F116" s="136" t="s">
        <v>788</v>
      </c>
      <c r="G116" s="137">
        <f>E116*D116/1000000</f>
        <v>5449.9476697263499</v>
      </c>
    </row>
    <row r="117" spans="2:7" x14ac:dyDescent="0.3">
      <c r="B117" s="134" t="s">
        <v>801</v>
      </c>
      <c r="C117" s="123">
        <v>3.71</v>
      </c>
      <c r="D117" s="123">
        <v>154.99</v>
      </c>
      <c r="E117" s="135">
        <f>E108</f>
        <v>11618686.104760664</v>
      </c>
      <c r="F117" s="136" t="s">
        <v>788</v>
      </c>
      <c r="G117" s="137">
        <f>E117*D117/1000000</f>
        <v>1800.7801593768554</v>
      </c>
    </row>
    <row r="118" spans="2:7" x14ac:dyDescent="0.3">
      <c r="B118" s="134" t="s">
        <v>835</v>
      </c>
      <c r="C118" s="138">
        <v>3.6</v>
      </c>
      <c r="D118" s="123">
        <v>159.61000000000001</v>
      </c>
      <c r="E118" s="135">
        <f>E109</f>
        <v>271962.11433644558</v>
      </c>
      <c r="F118" s="136" t="s">
        <v>788</v>
      </c>
      <c r="G118" s="137">
        <f>E118*D118/1000000</f>
        <v>43.407873069240082</v>
      </c>
    </row>
    <row r="119" spans="2:7" x14ac:dyDescent="0.3">
      <c r="B119" s="134" t="s">
        <v>803</v>
      </c>
      <c r="C119" s="123">
        <v>2.84</v>
      </c>
      <c r="D119" s="123">
        <v>151.91</v>
      </c>
      <c r="E119" s="135">
        <f>E110</f>
        <v>0</v>
      </c>
      <c r="F119" s="136" t="s">
        <v>788</v>
      </c>
      <c r="G119" s="390">
        <f>E119*D119/1000000</f>
        <v>0</v>
      </c>
    </row>
    <row r="120" spans="2:7" ht="15" thickBot="1" x14ac:dyDescent="0.35">
      <c r="B120" s="139"/>
      <c r="C120" s="391"/>
      <c r="D120" s="140"/>
      <c r="E120" s="140"/>
      <c r="F120" s="140"/>
      <c r="G120" s="392"/>
    </row>
    <row r="121" spans="2:7" ht="15" thickBot="1" x14ac:dyDescent="0.35">
      <c r="B121" s="768" t="s">
        <v>804</v>
      </c>
      <c r="C121" s="391">
        <f>C116*G116/G121+C117*G117/G121+C118*G118/G121+C119*G119/G121</f>
        <v>3.6869303310220438</v>
      </c>
      <c r="D121" s="391">
        <f>+D116*G116/G121+D117*G117/G121+D118*G118/G121+D119*G119/G121</f>
        <v>154.83817350370589</v>
      </c>
      <c r="E121" s="141">
        <f>SUM(E116:E119)</f>
        <v>47108403.758524247</v>
      </c>
      <c r="F121" s="140"/>
      <c r="G121" s="150">
        <f>SUM(G116:G119)</f>
        <v>7294.1357021724452</v>
      </c>
    </row>
    <row r="122" spans="2:7" x14ac:dyDescent="0.3">
      <c r="B122" s="144"/>
      <c r="C122" s="145"/>
      <c r="D122" s="145"/>
      <c r="E122" s="145"/>
      <c r="F122" s="145"/>
      <c r="G122" s="146"/>
    </row>
    <row r="123" spans="2:7" ht="15.6" x14ac:dyDescent="0.35">
      <c r="B123" s="134" t="s">
        <v>805</v>
      </c>
      <c r="C123" s="123"/>
      <c r="D123" s="123">
        <v>106.87</v>
      </c>
      <c r="E123" s="123"/>
      <c r="F123" s="123"/>
      <c r="G123" s="148"/>
    </row>
    <row r="124" spans="2:7" x14ac:dyDescent="0.3">
      <c r="B124" s="134"/>
      <c r="C124" s="123"/>
      <c r="D124" s="138"/>
      <c r="E124" s="123"/>
      <c r="F124" s="632">
        <f>(Stoichiometry!G116/(Stoichiometry!J6/1000)+Stoichiometry!G117/(Stoichiometry!J5/1000)+Stoichiometry!G118/(Stoichiometry!J9/1000)+Stoichiometry!G119/(Stoichiometry!J10/1000))*O124</f>
        <v>0</v>
      </c>
      <c r="G124" s="148"/>
    </row>
    <row r="125" spans="2:7" x14ac:dyDescent="0.3">
      <c r="B125" s="393" t="s">
        <v>74</v>
      </c>
      <c r="C125" s="123">
        <v>1.45</v>
      </c>
      <c r="D125" s="123">
        <v>34.01</v>
      </c>
      <c r="E125" s="123"/>
      <c r="F125" s="123"/>
      <c r="G125" s="148"/>
    </row>
    <row r="126" spans="2:7" ht="43.2" x14ac:dyDescent="0.3">
      <c r="B126" s="393" t="s">
        <v>806</v>
      </c>
      <c r="C126" s="123">
        <v>2.13</v>
      </c>
      <c r="D126" s="123">
        <v>39.979999999999997</v>
      </c>
      <c r="E126" s="394">
        <f>E119*3</f>
        <v>0</v>
      </c>
      <c r="F126" s="389" t="s">
        <v>807</v>
      </c>
      <c r="G126" s="137">
        <f>E126*D126/1000000</f>
        <v>0</v>
      </c>
    </row>
    <row r="127" spans="2:7" x14ac:dyDescent="0.3">
      <c r="B127" s="393" t="s">
        <v>808</v>
      </c>
      <c r="C127" s="123">
        <v>0.8</v>
      </c>
      <c r="D127" s="123"/>
      <c r="E127" s="123"/>
      <c r="F127" s="123"/>
      <c r="G127" s="148"/>
    </row>
    <row r="128" spans="2:7" x14ac:dyDescent="0.3">
      <c r="B128" s="134" t="s">
        <v>37</v>
      </c>
      <c r="C128" s="123">
        <v>0.92</v>
      </c>
      <c r="D128" s="138">
        <v>290</v>
      </c>
      <c r="E128" s="138">
        <f>(G128*1000000)/D128</f>
        <v>1903.818617951986</v>
      </c>
      <c r="F128" s="123"/>
      <c r="G128" s="390">
        <f>'R3_Hydro_MEFA'!F67</f>
        <v>0.55210739920607599</v>
      </c>
    </row>
    <row r="129" spans="1:7" ht="15" thickBot="1" x14ac:dyDescent="0.35">
      <c r="B129" s="139"/>
      <c r="C129" s="140"/>
      <c r="D129" s="391"/>
      <c r="E129" s="396"/>
      <c r="F129" s="140"/>
      <c r="G129" s="143"/>
    </row>
    <row r="130" spans="1:7" x14ac:dyDescent="0.3">
      <c r="B130" s="393" t="s">
        <v>836</v>
      </c>
      <c r="C130" s="138">
        <v>1</v>
      </c>
      <c r="D130" s="123">
        <v>18.02</v>
      </c>
      <c r="E130" s="135">
        <f>E116*6</f>
        <v>211306533.23656285</v>
      </c>
      <c r="F130" s="389" t="s">
        <v>810</v>
      </c>
      <c r="G130" s="137">
        <f>D130*E130/1000000</f>
        <v>3807.7437289228624</v>
      </c>
    </row>
    <row r="131" spans="1:7" x14ac:dyDescent="0.3">
      <c r="B131" s="134" t="s">
        <v>837</v>
      </c>
      <c r="C131" s="138">
        <v>1</v>
      </c>
      <c r="D131" s="123">
        <v>18.02</v>
      </c>
      <c r="E131" s="135">
        <f>E117*7</f>
        <v>81330802.733324647</v>
      </c>
      <c r="F131" s="136" t="s">
        <v>812</v>
      </c>
      <c r="G131" s="137">
        <f>D131*E131/1000000</f>
        <v>1465.5810652545101</v>
      </c>
    </row>
    <row r="132" spans="1:7" ht="15" thickBot="1" x14ac:dyDescent="0.35">
      <c r="B132" s="139"/>
      <c r="C132" s="391"/>
      <c r="D132" s="140"/>
      <c r="E132" s="141"/>
      <c r="F132" s="142"/>
      <c r="G132" s="150"/>
    </row>
    <row r="133" spans="1:7" x14ac:dyDescent="0.3">
      <c r="C133" s="180"/>
      <c r="E133" s="167"/>
      <c r="F133" s="246"/>
      <c r="G133" s="167"/>
    </row>
    <row r="134" spans="1:7" ht="15" thickBot="1" x14ac:dyDescent="0.35">
      <c r="A134" s="125" t="s">
        <v>813</v>
      </c>
    </row>
    <row r="135" spans="1:7" x14ac:dyDescent="0.3">
      <c r="B135" s="129" t="s">
        <v>783</v>
      </c>
      <c r="C135" s="130" t="s">
        <v>784</v>
      </c>
      <c r="D135" s="130" t="s">
        <v>785</v>
      </c>
      <c r="E135" s="130" t="s">
        <v>422</v>
      </c>
      <c r="F135" s="130" t="s">
        <v>786</v>
      </c>
      <c r="G135" s="131" t="s">
        <v>420</v>
      </c>
    </row>
    <row r="136" spans="1:7" x14ac:dyDescent="0.3">
      <c r="B136" s="134" t="s">
        <v>97</v>
      </c>
      <c r="C136" s="138">
        <v>2.7</v>
      </c>
      <c r="D136" s="123">
        <v>26.92</v>
      </c>
      <c r="E136" s="135">
        <f>'R3_Hydro_MEFA'!T114*1000000/D136</f>
        <v>248775.21709021294</v>
      </c>
      <c r="F136" s="389" t="s">
        <v>814</v>
      </c>
      <c r="G136" s="137">
        <f t="shared" ref="G136:G137" si="3">E136*D136/1000000</f>
        <v>6.6970288440685328</v>
      </c>
    </row>
    <row r="137" spans="1:7" x14ac:dyDescent="0.3">
      <c r="B137" s="134" t="s">
        <v>96</v>
      </c>
      <c r="C137" s="123">
        <v>7.47</v>
      </c>
      <c r="D137" s="123">
        <v>54.94</v>
      </c>
      <c r="E137" s="135">
        <f>'R3_Hydro_MEFA'!T115*1000000/D137</f>
        <v>10290393.376437865</v>
      </c>
      <c r="F137" s="136" t="s">
        <v>788</v>
      </c>
      <c r="G137" s="137">
        <f t="shared" si="3"/>
        <v>565.35421210149639</v>
      </c>
    </row>
    <row r="138" spans="1:7" x14ac:dyDescent="0.3">
      <c r="B138" s="134" t="s">
        <v>95</v>
      </c>
      <c r="C138" s="123">
        <v>0.53</v>
      </c>
      <c r="D138" s="123">
        <v>6.94</v>
      </c>
      <c r="E138" s="135">
        <f>'R3_Hydro_MEFA'!T116*1000000/D138</f>
        <v>44234342.950106151</v>
      </c>
      <c r="F138" s="136" t="s">
        <v>815</v>
      </c>
      <c r="G138" s="137">
        <f>E138*D138/1000000</f>
        <v>306.98634007373676</v>
      </c>
    </row>
    <row r="139" spans="1:7" x14ac:dyDescent="0.3">
      <c r="B139" s="134" t="s">
        <v>45</v>
      </c>
      <c r="C139" s="123">
        <v>7.87</v>
      </c>
      <c r="D139" s="123">
        <v>55.85</v>
      </c>
      <c r="E139" s="135">
        <f>'R3_Hydro_MEFA'!T117*1000000/D139</f>
        <v>0</v>
      </c>
      <c r="F139" s="136" t="s">
        <v>788</v>
      </c>
      <c r="G139" s="390">
        <f>E139*D139/1000000</f>
        <v>0</v>
      </c>
    </row>
    <row r="140" spans="1:7" x14ac:dyDescent="0.3">
      <c r="B140" s="134" t="s">
        <v>816</v>
      </c>
      <c r="C140" s="123">
        <v>1.55</v>
      </c>
      <c r="D140" s="123">
        <v>40.08</v>
      </c>
      <c r="E140" s="135">
        <f>'R3_Hydro_MEFA'!T119*1000000/D140</f>
        <v>68280794.448192418</v>
      </c>
      <c r="F140" s="389" t="s">
        <v>788</v>
      </c>
      <c r="G140" s="390">
        <f t="shared" ref="G140:G142" si="4">E140*D140/1000000</f>
        <v>2736.6942414835521</v>
      </c>
    </row>
    <row r="141" spans="1:7" x14ac:dyDescent="0.3">
      <c r="B141" s="134" t="s">
        <v>817</v>
      </c>
      <c r="C141" s="123">
        <v>3.34</v>
      </c>
      <c r="D141" s="123">
        <v>56.08</v>
      </c>
      <c r="E141" s="135"/>
      <c r="F141" s="162"/>
      <c r="G141" s="390">
        <f t="shared" si="4"/>
        <v>0</v>
      </c>
    </row>
    <row r="142" spans="1:7" x14ac:dyDescent="0.3">
      <c r="B142" s="134" t="s">
        <v>838</v>
      </c>
      <c r="C142" s="123">
        <v>2.65</v>
      </c>
      <c r="D142" s="123">
        <v>60.08</v>
      </c>
      <c r="E142" s="135">
        <f>'R3_Hydro_MEFA'!T118*1000000/D142</f>
        <v>23573000.857307799</v>
      </c>
      <c r="F142" s="123" t="s">
        <v>819</v>
      </c>
      <c r="G142" s="390">
        <f t="shared" si="4"/>
        <v>1416.2658915070524</v>
      </c>
    </row>
    <row r="143" spans="1:7" x14ac:dyDescent="0.3">
      <c r="B143" s="144"/>
      <c r="C143" s="145"/>
      <c r="D143" s="145"/>
      <c r="E143" s="145"/>
      <c r="F143" s="145"/>
      <c r="G143" s="146"/>
    </row>
    <row r="144" spans="1:7" x14ac:dyDescent="0.3">
      <c r="B144" s="134" t="s">
        <v>99</v>
      </c>
      <c r="C144" s="123"/>
      <c r="D144" s="123"/>
      <c r="E144" s="135">
        <f>SUM(E136:E140)</f>
        <v>123054305.99182665</v>
      </c>
      <c r="F144" s="123"/>
      <c r="G144" s="148"/>
    </row>
    <row r="145" spans="2:7" x14ac:dyDescent="0.3">
      <c r="B145" s="149" t="s">
        <v>796</v>
      </c>
      <c r="C145" s="123"/>
      <c r="D145" s="123">
        <v>96.06</v>
      </c>
      <c r="E145" s="135">
        <f>E136*3/2+E137+E138/2+E139+E140</f>
        <v>101061522.12531868</v>
      </c>
      <c r="F145" s="123"/>
      <c r="G145" s="137">
        <f>E145*D145/1000000</f>
        <v>9707.9698153581121</v>
      </c>
    </row>
    <row r="146" spans="2:7" ht="15" thickBot="1" x14ac:dyDescent="0.35">
      <c r="B146" s="139" t="s">
        <v>798</v>
      </c>
      <c r="C146" s="140">
        <v>1.84</v>
      </c>
      <c r="D146" s="140">
        <v>98.08</v>
      </c>
      <c r="E146" s="140"/>
      <c r="F146" s="140"/>
      <c r="G146" s="150">
        <f>G145*D146/D145</f>
        <v>9912.1140900512564</v>
      </c>
    </row>
    <row r="147" spans="2:7" x14ac:dyDescent="0.3">
      <c r="B147" s="144"/>
      <c r="C147" s="145"/>
      <c r="D147" s="145"/>
      <c r="E147" s="145"/>
      <c r="F147" s="145"/>
      <c r="G147" s="146"/>
    </row>
    <row r="148" spans="2:7" ht="15.6" x14ac:dyDescent="0.35">
      <c r="B148" s="134" t="s">
        <v>839</v>
      </c>
      <c r="C148" s="123">
        <v>2.67</v>
      </c>
      <c r="D148" s="123">
        <v>342.15</v>
      </c>
      <c r="E148" s="135">
        <f>(E136+E136*3/2)/5</f>
        <v>124387.60854510646</v>
      </c>
      <c r="F148" s="389" t="s">
        <v>814</v>
      </c>
      <c r="G148" s="137">
        <f>E148*D148/1000000</f>
        <v>42.559220263708177</v>
      </c>
    </row>
    <row r="149" spans="2:7" x14ac:dyDescent="0.3">
      <c r="B149" s="134" t="s">
        <v>840</v>
      </c>
      <c r="C149" s="123">
        <v>3.25</v>
      </c>
      <c r="D149" s="138">
        <v>151</v>
      </c>
      <c r="E149" s="135">
        <f>E137</f>
        <v>10290393.376437865</v>
      </c>
      <c r="F149" s="136" t="s">
        <v>788</v>
      </c>
      <c r="G149" s="137">
        <f>E149*D149/1000000</f>
        <v>1553.8493998421175</v>
      </c>
    </row>
    <row r="150" spans="2:7" ht="15.6" x14ac:dyDescent="0.35">
      <c r="B150" s="134" t="s">
        <v>841</v>
      </c>
      <c r="C150" s="123">
        <v>2.2200000000000002</v>
      </c>
      <c r="D150" s="123">
        <v>109.94</v>
      </c>
      <c r="E150" s="135">
        <f>(E138+E138/2)/3</f>
        <v>22117171.475053076</v>
      </c>
      <c r="F150" s="136" t="s">
        <v>815</v>
      </c>
      <c r="G150" s="137">
        <f>E150*D150/1000000</f>
        <v>2431.5618319673354</v>
      </c>
    </row>
    <row r="151" spans="2:7" x14ac:dyDescent="0.3">
      <c r="B151" s="134" t="s">
        <v>803</v>
      </c>
      <c r="C151" s="123">
        <v>2.84</v>
      </c>
      <c r="D151" s="123">
        <v>151.91</v>
      </c>
      <c r="E151" s="135">
        <f>E139</f>
        <v>0</v>
      </c>
      <c r="F151" s="136" t="s">
        <v>788</v>
      </c>
      <c r="G151" s="390">
        <f>E151*D151/1000000</f>
        <v>0</v>
      </c>
    </row>
    <row r="152" spans="2:7" x14ac:dyDescent="0.3">
      <c r="B152" s="207" t="s">
        <v>823</v>
      </c>
      <c r="C152" s="162">
        <v>2.96</v>
      </c>
      <c r="D152" s="162">
        <v>136.11000000000001</v>
      </c>
      <c r="E152" s="135">
        <f>E140</f>
        <v>68280794.448192418</v>
      </c>
      <c r="F152" s="389" t="s">
        <v>824</v>
      </c>
      <c r="G152" s="390">
        <f>E152*D152/1000000</f>
        <v>9293.6989323434718</v>
      </c>
    </row>
    <row r="153" spans="2:7" ht="15" thickBot="1" x14ac:dyDescent="0.35">
      <c r="B153" s="139" t="s">
        <v>825</v>
      </c>
      <c r="C153" s="391">
        <v>2.65</v>
      </c>
      <c r="D153" s="140">
        <v>60.08</v>
      </c>
      <c r="E153" s="141"/>
      <c r="F153" s="140" t="s">
        <v>819</v>
      </c>
      <c r="G153" s="392">
        <f>'R3_Hydro_MEFA'!T118</f>
        <v>1416.2658915070524</v>
      </c>
    </row>
    <row r="154" spans="2:7" x14ac:dyDescent="0.3">
      <c r="B154" s="144"/>
      <c r="C154" s="145"/>
      <c r="D154" s="145"/>
      <c r="E154" s="145"/>
      <c r="F154" s="145"/>
      <c r="G154" s="146"/>
    </row>
    <row r="155" spans="2:7" ht="15" thickBot="1" x14ac:dyDescent="0.35">
      <c r="B155" s="768" t="s">
        <v>804</v>
      </c>
      <c r="C155" s="391">
        <f>C148*G148/G155+C149*G149/G155+C150*G150/G155+C151*G151/G155+C152*G152/G155+C153*G153/G155</f>
        <v>2.837857786980106</v>
      </c>
      <c r="D155" s="391">
        <f>D148*G148/G155+D149*G149/G155+D150*G150/G155+D151*G151/G155+D152*G152/G155+D153*G153/G155</f>
        <v>126.65094437537516</v>
      </c>
      <c r="E155" s="141">
        <f>SUM(E148:E152)</f>
        <v>100812746.90822846</v>
      </c>
      <c r="F155" s="140"/>
      <c r="G155" s="150">
        <f>SUM(G148:G153)</f>
        <v>14737.935275923686</v>
      </c>
    </row>
    <row r="156" spans="2:7" x14ac:dyDescent="0.3">
      <c r="B156" s="144"/>
      <c r="C156" s="145"/>
      <c r="D156" s="145"/>
      <c r="E156" s="145"/>
      <c r="F156" s="145"/>
      <c r="G156" s="146"/>
    </row>
    <row r="157" spans="2:7" ht="15.6" x14ac:dyDescent="0.35">
      <c r="B157" s="134" t="s">
        <v>805</v>
      </c>
      <c r="C157" s="123"/>
      <c r="D157" s="123">
        <v>106.87</v>
      </c>
      <c r="E157" s="123"/>
      <c r="F157" s="123"/>
      <c r="G157" s="148"/>
    </row>
    <row r="158" spans="2:7" ht="15.6" x14ac:dyDescent="0.35">
      <c r="B158" s="134" t="s">
        <v>826</v>
      </c>
      <c r="C158" s="123"/>
      <c r="D158" s="138">
        <v>78</v>
      </c>
      <c r="E158" s="123"/>
      <c r="F158" s="123"/>
      <c r="G158" s="148"/>
    </row>
    <row r="159" spans="2:7" ht="15.6" x14ac:dyDescent="0.35">
      <c r="B159" s="207" t="s">
        <v>827</v>
      </c>
      <c r="C159" s="123"/>
      <c r="D159" s="123">
        <v>74.09</v>
      </c>
      <c r="E159" s="123"/>
      <c r="F159" s="123"/>
      <c r="G159" s="148"/>
    </row>
    <row r="160" spans="2:7" x14ac:dyDescent="0.3">
      <c r="B160" s="393" t="s">
        <v>74</v>
      </c>
      <c r="C160" s="123">
        <v>1.45</v>
      </c>
      <c r="D160" s="123">
        <v>34.01</v>
      </c>
      <c r="E160" s="123"/>
      <c r="F160" s="123"/>
      <c r="G160" s="148"/>
    </row>
    <row r="161" spans="2:7" ht="43.2" x14ac:dyDescent="0.3">
      <c r="B161" s="393" t="s">
        <v>828</v>
      </c>
      <c r="C161" s="123">
        <v>2.13</v>
      </c>
      <c r="D161" s="123">
        <v>39.979999999999997</v>
      </c>
      <c r="E161" s="394">
        <f>(E151+E148)*3+E152*2</f>
        <v>136934751.72202015</v>
      </c>
      <c r="F161" s="389" t="s">
        <v>829</v>
      </c>
      <c r="G161" s="137">
        <f>E161*D161/1000000</f>
        <v>5474.6513738463645</v>
      </c>
    </row>
    <row r="162" spans="2:7" x14ac:dyDescent="0.3">
      <c r="B162" s="134" t="s">
        <v>808</v>
      </c>
      <c r="C162" s="123">
        <v>0.8</v>
      </c>
      <c r="D162" s="123"/>
      <c r="E162" s="123"/>
      <c r="F162" s="123"/>
      <c r="G162" s="148"/>
    </row>
    <row r="163" spans="2:7" ht="15" thickBot="1" x14ac:dyDescent="0.35">
      <c r="B163" s="139" t="s">
        <v>41</v>
      </c>
      <c r="C163" s="140">
        <v>0.96</v>
      </c>
      <c r="D163" s="391">
        <v>322.39999999999998</v>
      </c>
      <c r="E163" s="396">
        <f>(G163*1000000)/D163</f>
        <v>0</v>
      </c>
      <c r="F163" s="140"/>
      <c r="G163" s="143">
        <f>'R3_Hydro_MEFA'!F160</f>
        <v>0</v>
      </c>
    </row>
    <row r="164" spans="2:7" ht="15" thickBot="1" x14ac:dyDescent="0.35">
      <c r="B164" s="139" t="s">
        <v>830</v>
      </c>
      <c r="C164" s="391">
        <v>1</v>
      </c>
      <c r="D164" s="140">
        <v>18.02</v>
      </c>
      <c r="E164" s="141">
        <f>E149</f>
        <v>10290393.376437865</v>
      </c>
      <c r="F164" s="142" t="s">
        <v>788</v>
      </c>
      <c r="G164" s="150">
        <f>D164*E164/1000000</f>
        <v>185.43288864341034</v>
      </c>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0">
    <tabColor theme="0" tint="-0.499984740745262"/>
  </sheetPr>
  <dimension ref="A1:N45"/>
  <sheetViews>
    <sheetView zoomScale="70" zoomScaleNormal="70" workbookViewId="0">
      <selection activeCell="G39" sqref="G39"/>
    </sheetView>
  </sheetViews>
  <sheetFormatPr baseColWidth="10" defaultColWidth="11.44140625" defaultRowHeight="14.4" x14ac:dyDescent="0.3"/>
  <cols>
    <col min="1" max="1" width="8.44140625" customWidth="1"/>
    <col min="2" max="2" width="40.33203125" customWidth="1"/>
    <col min="3" max="3" width="31.44140625" customWidth="1"/>
    <col min="4" max="4" width="46.77734375" style="121" customWidth="1"/>
    <col min="5" max="5" width="33.77734375" customWidth="1"/>
    <col min="6" max="6" width="49" customWidth="1"/>
    <col min="7" max="7" width="73.109375" customWidth="1"/>
    <col min="9" max="9" width="17.6640625" customWidth="1"/>
  </cols>
  <sheetData>
    <row r="1" spans="1:10" ht="21" x14ac:dyDescent="0.4">
      <c r="A1" s="188" t="s">
        <v>1066</v>
      </c>
    </row>
    <row r="2" spans="1:10" ht="14.55" customHeight="1" x14ac:dyDescent="0.3">
      <c r="A2" s="125" t="s">
        <v>1067</v>
      </c>
      <c r="E2" s="586"/>
      <c r="F2" s="586"/>
      <c r="G2" s="586"/>
      <c r="H2" s="121"/>
    </row>
    <row r="3" spans="1:10" x14ac:dyDescent="0.3">
      <c r="E3" s="586"/>
      <c r="F3" s="586"/>
      <c r="G3" s="586"/>
      <c r="H3" s="121"/>
    </row>
    <row r="5" spans="1:10" ht="28.8" x14ac:dyDescent="0.3">
      <c r="B5" s="124" t="s">
        <v>842</v>
      </c>
      <c r="C5" s="124" t="s">
        <v>843</v>
      </c>
      <c r="D5" s="151" t="s">
        <v>844</v>
      </c>
      <c r="E5" s="151" t="s">
        <v>846</v>
      </c>
      <c r="F5" s="252" t="s">
        <v>1069</v>
      </c>
      <c r="G5" s="151" t="s">
        <v>847</v>
      </c>
    </row>
    <row r="6" spans="1:10" ht="21.6" x14ac:dyDescent="0.3">
      <c r="B6" s="123" t="s">
        <v>848</v>
      </c>
      <c r="C6" s="698" t="s">
        <v>205</v>
      </c>
      <c r="D6" s="698" t="s">
        <v>849</v>
      </c>
      <c r="E6" s="926" t="s">
        <v>1049</v>
      </c>
      <c r="F6" s="932" t="s">
        <v>1070</v>
      </c>
      <c r="G6" s="123"/>
    </row>
    <row r="7" spans="1:10" ht="14.55" customHeight="1" x14ac:dyDescent="0.3">
      <c r="B7" s="698" t="s">
        <v>70</v>
      </c>
      <c r="C7" s="698" t="s">
        <v>850</v>
      </c>
      <c r="D7" s="698" t="s">
        <v>1101</v>
      </c>
      <c r="E7" s="926" t="s">
        <v>1049</v>
      </c>
      <c r="F7" s="932" t="s">
        <v>1071</v>
      </c>
      <c r="G7" s="123"/>
    </row>
    <row r="8" spans="1:10" ht="28.8" x14ac:dyDescent="0.3">
      <c r="B8" s="698" t="s">
        <v>66</v>
      </c>
      <c r="C8" s="698" t="s">
        <v>851</v>
      </c>
      <c r="D8" s="698" t="s">
        <v>1102</v>
      </c>
      <c r="E8" s="926" t="s">
        <v>1049</v>
      </c>
      <c r="F8" s="932" t="s">
        <v>1072</v>
      </c>
      <c r="G8" s="123"/>
    </row>
    <row r="9" spans="1:10" ht="28.8" x14ac:dyDescent="0.3">
      <c r="B9" s="698" t="s">
        <v>74</v>
      </c>
      <c r="C9" s="123" t="s">
        <v>208</v>
      </c>
      <c r="D9" s="698" t="s">
        <v>852</v>
      </c>
      <c r="E9" s="926" t="s">
        <v>1049</v>
      </c>
      <c r="F9" s="932" t="s">
        <v>1073</v>
      </c>
      <c r="G9" s="123"/>
      <c r="I9" s="121"/>
      <c r="J9" s="121"/>
    </row>
    <row r="10" spans="1:10" ht="21.6" x14ac:dyDescent="0.3">
      <c r="B10" s="766" t="s">
        <v>59</v>
      </c>
      <c r="C10" s="710" t="s">
        <v>853</v>
      </c>
      <c r="D10" s="698" t="s">
        <v>854</v>
      </c>
      <c r="E10" s="926" t="s">
        <v>1049</v>
      </c>
      <c r="F10" s="932" t="s">
        <v>1074</v>
      </c>
      <c r="G10" s="123" t="s">
        <v>370</v>
      </c>
      <c r="I10" s="121"/>
      <c r="J10" s="121"/>
    </row>
    <row r="11" spans="1:10" ht="21.6" x14ac:dyDescent="0.3">
      <c r="B11" s="123" t="s">
        <v>855</v>
      </c>
      <c r="C11" s="698" t="s">
        <v>187</v>
      </c>
      <c r="D11" s="698" t="s">
        <v>856</v>
      </c>
      <c r="E11" s="926" t="s">
        <v>1049</v>
      </c>
      <c r="F11" s="932" t="s">
        <v>1075</v>
      </c>
      <c r="G11" s="123" t="s">
        <v>90</v>
      </c>
      <c r="I11" s="121"/>
      <c r="J11" s="121"/>
    </row>
    <row r="12" spans="1:10" ht="21.6" x14ac:dyDescent="0.3">
      <c r="B12" s="123" t="s">
        <v>857</v>
      </c>
      <c r="C12" s="123" t="s">
        <v>853</v>
      </c>
      <c r="D12" s="698" t="s">
        <v>1103</v>
      </c>
      <c r="E12" s="926" t="s">
        <v>1049</v>
      </c>
      <c r="F12" s="934" t="s">
        <v>1076</v>
      </c>
      <c r="G12" s="123"/>
    </row>
    <row r="13" spans="1:10" ht="21.6" x14ac:dyDescent="0.3">
      <c r="B13" s="123" t="s">
        <v>858</v>
      </c>
      <c r="C13" s="123" t="s">
        <v>859</v>
      </c>
      <c r="D13" s="698" t="s">
        <v>860</v>
      </c>
      <c r="E13" s="926" t="s">
        <v>1049</v>
      </c>
      <c r="F13" s="932" t="s">
        <v>1077</v>
      </c>
      <c r="G13" s="123" t="s">
        <v>861</v>
      </c>
    </row>
    <row r="14" spans="1:10" ht="28.8" x14ac:dyDescent="0.3">
      <c r="B14" s="123" t="s">
        <v>98</v>
      </c>
      <c r="C14" s="698" t="s">
        <v>862</v>
      </c>
      <c r="D14" s="698" t="s">
        <v>1104</v>
      </c>
      <c r="E14" s="926" t="s">
        <v>1049</v>
      </c>
      <c r="F14" s="932" t="s">
        <v>1078</v>
      </c>
      <c r="G14" s="123"/>
    </row>
    <row r="15" spans="1:10" ht="21.6" x14ac:dyDescent="0.3">
      <c r="B15" s="123" t="s">
        <v>55</v>
      </c>
      <c r="C15" s="698" t="s">
        <v>863</v>
      </c>
      <c r="D15" s="698" t="s">
        <v>1105</v>
      </c>
      <c r="E15" s="926" t="s">
        <v>1049</v>
      </c>
      <c r="F15" s="932" t="s">
        <v>1079</v>
      </c>
      <c r="G15" s="123" t="s">
        <v>1115</v>
      </c>
    </row>
    <row r="16" spans="1:10" ht="21.6" x14ac:dyDescent="0.3">
      <c r="B16" s="698" t="s">
        <v>792</v>
      </c>
      <c r="C16" s="123" t="s">
        <v>864</v>
      </c>
      <c r="D16" s="698" t="s">
        <v>865</v>
      </c>
      <c r="E16" s="926" t="s">
        <v>1049</v>
      </c>
      <c r="F16" s="932" t="s">
        <v>1080</v>
      </c>
      <c r="G16" s="123"/>
    </row>
    <row r="17" spans="2:14" ht="21.6" x14ac:dyDescent="0.3">
      <c r="B17" s="698" t="s">
        <v>791</v>
      </c>
      <c r="C17" s="698" t="s">
        <v>866</v>
      </c>
      <c r="D17" s="698" t="s">
        <v>867</v>
      </c>
      <c r="E17" s="926" t="s">
        <v>1049</v>
      </c>
      <c r="F17" s="932" t="s">
        <v>1081</v>
      </c>
      <c r="G17" s="123"/>
    </row>
    <row r="18" spans="2:14" ht="21.6" x14ac:dyDescent="0.3">
      <c r="B18" s="710" t="s">
        <v>868</v>
      </c>
      <c r="C18" s="766" t="s">
        <v>869</v>
      </c>
      <c r="D18" s="698" t="s">
        <v>1106</v>
      </c>
      <c r="E18" s="926" t="s">
        <v>1049</v>
      </c>
      <c r="F18" s="932" t="s">
        <v>1082</v>
      </c>
      <c r="G18" s="123" t="s">
        <v>1116</v>
      </c>
    </row>
    <row r="19" spans="2:14" ht="21.6" x14ac:dyDescent="0.3">
      <c r="B19" s="698" t="s">
        <v>789</v>
      </c>
      <c r="C19" s="698" t="s">
        <v>870</v>
      </c>
      <c r="D19" s="937" t="s">
        <v>1107</v>
      </c>
      <c r="E19" s="926" t="s">
        <v>1049</v>
      </c>
      <c r="F19" s="932" t="s">
        <v>1083</v>
      </c>
      <c r="G19" s="123" t="s">
        <v>1117</v>
      </c>
      <c r="I19" s="711"/>
    </row>
    <row r="20" spans="2:14" ht="21.6" x14ac:dyDescent="0.3">
      <c r="B20" s="766" t="s">
        <v>93</v>
      </c>
      <c r="C20" s="766" t="s">
        <v>1112</v>
      </c>
      <c r="D20" s="937" t="s">
        <v>871</v>
      </c>
      <c r="E20" s="926" t="s">
        <v>1049</v>
      </c>
      <c r="F20" s="932" t="s">
        <v>1084</v>
      </c>
      <c r="G20" s="710"/>
      <c r="I20" s="711"/>
    </row>
    <row r="21" spans="2:14" ht="21.6" x14ac:dyDescent="0.3">
      <c r="B21" s="698" t="s">
        <v>872</v>
      </c>
      <c r="C21" s="123" t="s">
        <v>873</v>
      </c>
      <c r="D21" s="937" t="s">
        <v>874</v>
      </c>
      <c r="E21" s="926" t="s">
        <v>1049</v>
      </c>
      <c r="F21" s="932" t="s">
        <v>1085</v>
      </c>
      <c r="G21" s="123"/>
      <c r="I21" s="711"/>
    </row>
    <row r="22" spans="2:14" ht="28.8" x14ac:dyDescent="0.3">
      <c r="B22" s="123" t="s">
        <v>875</v>
      </c>
      <c r="C22" s="123" t="s">
        <v>876</v>
      </c>
      <c r="D22" s="698" t="s">
        <v>877</v>
      </c>
      <c r="E22" s="926" t="s">
        <v>1049</v>
      </c>
      <c r="F22" s="932" t="s">
        <v>1086</v>
      </c>
      <c r="G22" s="698" t="s">
        <v>1118</v>
      </c>
    </row>
    <row r="23" spans="2:14" ht="28.8" x14ac:dyDescent="0.3">
      <c r="B23" s="698" t="s">
        <v>1124</v>
      </c>
      <c r="C23" s="698" t="s">
        <v>1125</v>
      </c>
      <c r="D23" s="698" t="s">
        <v>878</v>
      </c>
      <c r="E23" s="926" t="s">
        <v>1049</v>
      </c>
      <c r="F23" s="932" t="s">
        <v>1087</v>
      </c>
      <c r="G23" s="710"/>
    </row>
    <row r="24" spans="2:14" ht="21.6" x14ac:dyDescent="0.3">
      <c r="B24" s="698" t="s">
        <v>879</v>
      </c>
      <c r="C24" s="698" t="s">
        <v>880</v>
      </c>
      <c r="D24" s="698" t="s">
        <v>881</v>
      </c>
      <c r="E24" s="926" t="s">
        <v>1049</v>
      </c>
      <c r="F24" s="932" t="s">
        <v>1088</v>
      </c>
      <c r="G24" s="123"/>
      <c r="N24" s="246"/>
    </row>
    <row r="25" spans="2:14" ht="25.2" customHeight="1" x14ac:dyDescent="0.3">
      <c r="B25" s="123" t="s">
        <v>45</v>
      </c>
      <c r="C25" s="698" t="s">
        <v>882</v>
      </c>
      <c r="D25" s="698" t="s">
        <v>1127</v>
      </c>
      <c r="E25" s="926" t="s">
        <v>1049</v>
      </c>
      <c r="F25" s="932" t="s">
        <v>1128</v>
      </c>
      <c r="G25" s="123" t="s">
        <v>1129</v>
      </c>
    </row>
    <row r="26" spans="2:14" ht="27.45" customHeight="1" x14ac:dyDescent="0.3">
      <c r="B26" s="123" t="s">
        <v>883</v>
      </c>
      <c r="C26" s="698" t="s">
        <v>884</v>
      </c>
      <c r="D26" s="698" t="s">
        <v>885</v>
      </c>
      <c r="E26" s="926" t="s">
        <v>1049</v>
      </c>
      <c r="F26" s="932" t="s">
        <v>1089</v>
      </c>
      <c r="G26" s="123" t="s">
        <v>1119</v>
      </c>
    </row>
    <row r="27" spans="2:14" ht="28.8" x14ac:dyDescent="0.3">
      <c r="B27" s="123" t="s">
        <v>886</v>
      </c>
      <c r="C27" s="698" t="s">
        <v>887</v>
      </c>
      <c r="D27" s="698" t="s">
        <v>888</v>
      </c>
      <c r="E27" s="926" t="s">
        <v>1049</v>
      </c>
      <c r="F27" s="932" t="s">
        <v>1090</v>
      </c>
      <c r="G27" s="123"/>
    </row>
    <row r="28" spans="2:14" x14ac:dyDescent="0.3">
      <c r="B28" s="710" t="s">
        <v>889</v>
      </c>
      <c r="C28" s="766" t="s">
        <v>886</v>
      </c>
      <c r="D28" s="698"/>
      <c r="E28" s="926" t="s">
        <v>1049</v>
      </c>
      <c r="F28" s="932"/>
      <c r="G28" s="698" t="s">
        <v>890</v>
      </c>
    </row>
    <row r="29" spans="2:14" ht="26.55" customHeight="1" x14ac:dyDescent="0.3">
      <c r="B29" s="698" t="s">
        <v>891</v>
      </c>
      <c r="C29" s="698" t="s">
        <v>892</v>
      </c>
      <c r="D29" s="698" t="s">
        <v>893</v>
      </c>
      <c r="E29" s="926" t="s">
        <v>1049</v>
      </c>
      <c r="F29" s="932" t="s">
        <v>1091</v>
      </c>
      <c r="G29" s="698"/>
    </row>
    <row r="30" spans="2:14" ht="27.45" customHeight="1" x14ac:dyDescent="0.3">
      <c r="B30" s="123" t="s">
        <v>894</v>
      </c>
      <c r="C30" s="123" t="s">
        <v>892</v>
      </c>
      <c r="D30" s="698" t="s">
        <v>893</v>
      </c>
      <c r="E30" s="926" t="s">
        <v>1049</v>
      </c>
      <c r="F30" s="932" t="s">
        <v>1091</v>
      </c>
      <c r="G30" s="698"/>
    </row>
    <row r="31" spans="2:14" ht="28.8" x14ac:dyDescent="0.3">
      <c r="B31" s="123" t="s">
        <v>895</v>
      </c>
      <c r="C31" s="698" t="s">
        <v>896</v>
      </c>
      <c r="D31" s="698" t="s">
        <v>897</v>
      </c>
      <c r="E31" s="926" t="s">
        <v>1049</v>
      </c>
      <c r="F31" s="932" t="s">
        <v>1092</v>
      </c>
      <c r="G31" s="123"/>
    </row>
    <row r="32" spans="2:14" ht="28.8" x14ac:dyDescent="0.3">
      <c r="B32" s="698" t="s">
        <v>898</v>
      </c>
      <c r="C32" s="123" t="s">
        <v>899</v>
      </c>
      <c r="D32" s="698" t="s">
        <v>1108</v>
      </c>
      <c r="E32" s="926" t="s">
        <v>1049</v>
      </c>
      <c r="F32" s="932" t="s">
        <v>1093</v>
      </c>
      <c r="G32" s="698" t="s">
        <v>900</v>
      </c>
    </row>
    <row r="33" spans="2:7" ht="21.6" x14ac:dyDescent="0.3">
      <c r="B33" s="123" t="s">
        <v>275</v>
      </c>
      <c r="C33" s="123" t="s">
        <v>901</v>
      </c>
      <c r="D33" s="698" t="s">
        <v>1109</v>
      </c>
      <c r="E33" s="926" t="s">
        <v>1049</v>
      </c>
      <c r="F33" s="932" t="s">
        <v>1094</v>
      </c>
      <c r="G33" s="123"/>
    </row>
    <row r="34" spans="2:7" ht="21.6" x14ac:dyDescent="0.3">
      <c r="B34" s="698" t="s">
        <v>902</v>
      </c>
      <c r="C34" s="123" t="s">
        <v>903</v>
      </c>
      <c r="D34" s="698" t="s">
        <v>904</v>
      </c>
      <c r="E34" s="926" t="s">
        <v>1049</v>
      </c>
      <c r="F34" s="932" t="s">
        <v>1095</v>
      </c>
      <c r="G34" s="123"/>
    </row>
    <row r="35" spans="2:7" ht="21.6" x14ac:dyDescent="0.3">
      <c r="B35" s="123" t="s">
        <v>905</v>
      </c>
      <c r="C35" s="123" t="s">
        <v>906</v>
      </c>
      <c r="D35" s="698" t="s">
        <v>907</v>
      </c>
      <c r="E35" s="926" t="s">
        <v>1049</v>
      </c>
      <c r="F35" s="934" t="s">
        <v>1096</v>
      </c>
      <c r="G35" s="698" t="s">
        <v>1120</v>
      </c>
    </row>
    <row r="36" spans="2:7" ht="28.8" x14ac:dyDescent="0.3">
      <c r="B36" s="698" t="s">
        <v>132</v>
      </c>
      <c r="C36" s="123" t="s">
        <v>908</v>
      </c>
      <c r="D36" s="698" t="s">
        <v>1110</v>
      </c>
      <c r="E36" s="926" t="s">
        <v>1049</v>
      </c>
      <c r="F36" s="932" t="s">
        <v>1097</v>
      </c>
      <c r="G36" s="123"/>
    </row>
    <row r="37" spans="2:7" ht="28.8" x14ac:dyDescent="0.3">
      <c r="B37" s="123" t="s">
        <v>50</v>
      </c>
      <c r="C37" s="123" t="s">
        <v>909</v>
      </c>
      <c r="D37" s="698" t="s">
        <v>1111</v>
      </c>
      <c r="E37" s="926" t="s">
        <v>1049</v>
      </c>
      <c r="F37" s="932" t="s">
        <v>1098</v>
      </c>
      <c r="G37" s="123"/>
    </row>
    <row r="38" spans="2:7" ht="27.45" customHeight="1" x14ac:dyDescent="0.3">
      <c r="B38" s="698" t="s">
        <v>910</v>
      </c>
      <c r="C38" s="123" t="s">
        <v>911</v>
      </c>
      <c r="D38" s="698" t="s">
        <v>912</v>
      </c>
      <c r="E38" s="926" t="s">
        <v>1049</v>
      </c>
      <c r="F38" s="932" t="s">
        <v>1099</v>
      </c>
      <c r="G38" s="123"/>
    </row>
    <row r="39" spans="2:7" ht="27.45" customHeight="1" x14ac:dyDescent="0.3">
      <c r="B39" s="163" t="s">
        <v>913</v>
      </c>
      <c r="C39" s="162" t="s">
        <v>914</v>
      </c>
      <c r="D39" s="698" t="s">
        <v>915</v>
      </c>
      <c r="E39" s="926" t="s">
        <v>1049</v>
      </c>
      <c r="F39" s="932" t="s">
        <v>1100</v>
      </c>
      <c r="G39" s="123"/>
    </row>
    <row r="40" spans="2:7" ht="28.8" x14ac:dyDescent="0.3">
      <c r="B40" s="123" t="s">
        <v>916</v>
      </c>
      <c r="C40" s="123" t="s">
        <v>917</v>
      </c>
      <c r="D40" s="767" t="s">
        <v>918</v>
      </c>
      <c r="E40" s="449">
        <f>C45</f>
        <v>380</v>
      </c>
      <c r="F40" s="253"/>
      <c r="G40" s="123" t="s">
        <v>919</v>
      </c>
    </row>
    <row r="43" spans="2:7" ht="15.6" x14ac:dyDescent="0.3">
      <c r="B43" s="2" t="s">
        <v>1148</v>
      </c>
      <c r="D43" s="251"/>
      <c r="F43" s="121"/>
    </row>
    <row r="44" spans="2:7" ht="30.45" customHeight="1" x14ac:dyDescent="0.3">
      <c r="B44" s="443" t="s">
        <v>1150</v>
      </c>
      <c r="C44" s="449">
        <v>380</v>
      </c>
      <c r="D44" s="253" t="s">
        <v>919</v>
      </c>
      <c r="E44" s="936" t="s">
        <v>918</v>
      </c>
      <c r="F44" t="s">
        <v>1121</v>
      </c>
    </row>
    <row r="45" spans="2:7" ht="15.6" x14ac:dyDescent="0.3">
      <c r="B45" s="444" t="s">
        <v>920</v>
      </c>
      <c r="C45" s="956">
        <f>Macro!H12</f>
        <v>380</v>
      </c>
      <c r="D45" s="170"/>
      <c r="F45" s="957" t="s">
        <v>1152</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tabColor rgb="FF003F57"/>
  </sheetPr>
  <dimension ref="A1:T116"/>
  <sheetViews>
    <sheetView zoomScale="70" zoomScaleNormal="70" workbookViewId="0">
      <selection activeCell="I14" sqref="I14"/>
    </sheetView>
  </sheetViews>
  <sheetFormatPr baseColWidth="10" defaultColWidth="9.109375" defaultRowHeight="13.8" x14ac:dyDescent="0.25"/>
  <cols>
    <col min="1" max="1" width="3.109375" style="4" customWidth="1"/>
    <col min="2" max="4" width="21.6640625" style="4" customWidth="1"/>
    <col min="5" max="5" width="22.33203125" style="4" customWidth="1"/>
    <col min="6" max="7" width="21.6640625" style="4" customWidth="1"/>
    <col min="8" max="8" width="21.77734375" style="4" customWidth="1"/>
    <col min="9" max="9" width="23.77734375" style="4" customWidth="1"/>
    <col min="10" max="13" width="21.6640625" style="4" customWidth="1"/>
    <col min="14" max="14" width="29.109375" style="4" customWidth="1"/>
    <col min="15" max="15" width="6.44140625" style="4" customWidth="1"/>
    <col min="16" max="16" width="28.6640625" style="4" customWidth="1"/>
    <col min="17" max="17" width="22.6640625" style="4" customWidth="1"/>
    <col min="18" max="18" width="7" style="4" customWidth="1"/>
    <col min="19" max="19" width="58.44140625" style="4" bestFit="1" customWidth="1"/>
    <col min="20" max="20" width="13.6640625" style="4" customWidth="1"/>
    <col min="21" max="16384" width="9.109375" style="4"/>
  </cols>
  <sheetData>
    <row r="1" spans="1:20" ht="45" customHeight="1" x14ac:dyDescent="0.25">
      <c r="A1" s="3"/>
      <c r="B1" s="3"/>
      <c r="C1" s="1067" t="s">
        <v>12</v>
      </c>
      <c r="D1" s="1067"/>
      <c r="E1" s="1067"/>
      <c r="F1" s="1067"/>
      <c r="G1" s="1067"/>
      <c r="H1" s="1067"/>
      <c r="I1" s="1067"/>
      <c r="J1" s="3"/>
      <c r="K1" s="3"/>
      <c r="L1" s="3"/>
      <c r="M1" s="3"/>
      <c r="N1" s="3"/>
    </row>
    <row r="2" spans="1:20" x14ac:dyDescent="0.25">
      <c r="A2" s="5"/>
      <c r="B2" s="5"/>
      <c r="C2" s="5"/>
      <c r="D2" s="5"/>
      <c r="E2" s="5"/>
      <c r="F2" s="5"/>
      <c r="G2" s="5"/>
      <c r="H2" s="5"/>
      <c r="I2" s="5"/>
      <c r="J2" s="5"/>
      <c r="K2" s="5"/>
      <c r="L2" s="5"/>
      <c r="M2" s="5"/>
      <c r="N2" s="5"/>
    </row>
    <row r="4" spans="1:20" ht="17.399999999999999" x14ac:dyDescent="0.3">
      <c r="B4" s="6" t="s">
        <v>13</v>
      </c>
    </row>
    <row r="6" spans="1:20" ht="14.25" customHeight="1" x14ac:dyDescent="0.25">
      <c r="B6" s="1064" t="s">
        <v>14</v>
      </c>
      <c r="C6" s="1066"/>
      <c r="D6" s="1066"/>
      <c r="E6" s="1065"/>
      <c r="F6" s="1064" t="s">
        <v>15</v>
      </c>
      <c r="G6" s="1066"/>
      <c r="H6" s="1066"/>
      <c r="I6" s="1065"/>
      <c r="J6" s="1064" t="s">
        <v>16</v>
      </c>
      <c r="K6" s="1066"/>
      <c r="L6" s="1066"/>
      <c r="M6" s="1066"/>
      <c r="N6" s="1065"/>
      <c r="P6" s="1064" t="s">
        <v>1063</v>
      </c>
      <c r="Q6" s="1065"/>
      <c r="S6" s="1068" t="s">
        <v>1062</v>
      </c>
      <c r="T6" s="1065"/>
    </row>
    <row r="7" spans="1:20" ht="14.25" customHeight="1" x14ac:dyDescent="0.25">
      <c r="B7" s="7"/>
      <c r="D7" s="887"/>
      <c r="E7" s="8"/>
      <c r="F7" s="7"/>
      <c r="H7" s="887"/>
      <c r="I7" s="8"/>
      <c r="J7" s="7"/>
      <c r="N7" s="8"/>
      <c r="P7" s="781" t="s">
        <v>17</v>
      </c>
      <c r="Q7" s="722"/>
      <c r="S7" s="718" t="str">
        <f>'R1_Econ.'!B12&amp;": "&amp;'R1_Econ.'!C12</f>
        <v>Storage: System container</v>
      </c>
      <c r="T7" s="722">
        <v>5</v>
      </c>
    </row>
    <row r="8" spans="1:20" ht="14.25" customHeight="1" x14ac:dyDescent="0.3">
      <c r="B8" s="7" t="s">
        <v>18</v>
      </c>
      <c r="D8" s="885">
        <v>2</v>
      </c>
      <c r="E8" s="12" t="s">
        <v>19</v>
      </c>
      <c r="F8" s="7" t="s">
        <v>20</v>
      </c>
      <c r="H8" s="891">
        <v>2</v>
      </c>
      <c r="I8" s="8"/>
      <c r="J8" s="16" t="s">
        <v>21</v>
      </c>
      <c r="N8" s="8"/>
      <c r="P8" s="717" t="s">
        <v>22</v>
      </c>
      <c r="Q8" s="723"/>
      <c r="S8" s="717" t="str">
        <f>'R1_Econ.'!B13&amp;": "&amp;'R1_Econ.'!C13</f>
        <v>Storage (defective): Hazardous material container (F-90)</v>
      </c>
      <c r="T8" s="723">
        <v>5</v>
      </c>
    </row>
    <row r="9" spans="1:20" ht="14.25" customHeight="1" x14ac:dyDescent="0.25">
      <c r="B9" s="7"/>
      <c r="D9" s="887"/>
      <c r="E9" s="8"/>
      <c r="F9" s="7"/>
      <c r="H9" s="887"/>
      <c r="I9" s="8"/>
      <c r="J9" s="16"/>
      <c r="N9" s="8"/>
      <c r="P9" s="717" t="s">
        <v>23</v>
      </c>
      <c r="Q9" s="723"/>
      <c r="S9" s="717" t="str">
        <f>'R1_Econ.'!B14&amp;": "&amp;'R1_Econ.'!C14</f>
        <v>Discharge: Unloading place &amp; device</v>
      </c>
      <c r="T9" s="723">
        <v>5</v>
      </c>
    </row>
    <row r="10" spans="1:20" ht="14.25" customHeight="1" x14ac:dyDescent="0.3">
      <c r="B10" s="7" t="s">
        <v>24</v>
      </c>
      <c r="D10" s="885" t="b">
        <v>0</v>
      </c>
      <c r="E10" s="18" t="s">
        <v>25</v>
      </c>
      <c r="F10" s="7" t="s">
        <v>26</v>
      </c>
      <c r="H10" s="958">
        <v>16.649999999999999</v>
      </c>
      <c r="I10" s="19" t="s">
        <v>1151</v>
      </c>
      <c r="J10" s="16" t="s">
        <v>28</v>
      </c>
      <c r="N10" s="8"/>
      <c r="P10" s="717" t="s">
        <v>29</v>
      </c>
      <c r="Q10" s="723"/>
      <c r="S10" s="717" t="str">
        <f>'R1_Econ.'!B15&amp;": "&amp;'R1_Econ.'!C15</f>
        <v>Disassembly: Disassembly area including tools</v>
      </c>
      <c r="T10" s="723">
        <v>5</v>
      </c>
    </row>
    <row r="11" spans="1:20" ht="14.25" customHeight="1" x14ac:dyDescent="0.3">
      <c r="B11" s="7"/>
      <c r="C11" s="12"/>
      <c r="D11" s="888"/>
      <c r="E11" s="13"/>
      <c r="F11" s="7"/>
      <c r="H11" s="888"/>
      <c r="I11" s="13"/>
      <c r="J11" s="16"/>
      <c r="N11" s="8"/>
      <c r="P11" s="717" t="s">
        <v>30</v>
      </c>
      <c r="Q11" s="723"/>
      <c r="S11" s="717" t="str">
        <f>'R1_Econ.'!B16&amp;": "&amp;'R1_Econ.'!C16</f>
        <v>Melting down: Shaft furnace</v>
      </c>
      <c r="T11" s="723">
        <v>5</v>
      </c>
    </row>
    <row r="12" spans="1:20" ht="14.25" customHeight="1" x14ac:dyDescent="0.35">
      <c r="B12" s="7" t="s">
        <v>31</v>
      </c>
      <c r="D12" s="885" t="b">
        <v>1</v>
      </c>
      <c r="E12" s="18" t="s">
        <v>32</v>
      </c>
      <c r="F12" s="7" t="s">
        <v>33</v>
      </c>
      <c r="H12" s="955">
        <v>380</v>
      </c>
      <c r="I12" s="13" t="s">
        <v>34</v>
      </c>
      <c r="J12" s="16" t="s">
        <v>35</v>
      </c>
      <c r="N12" s="8"/>
      <c r="P12" s="717" t="s">
        <v>36</v>
      </c>
      <c r="Q12" s="723"/>
      <c r="S12" s="717" t="str">
        <f>'R1_Econ.'!B17&amp;": "&amp;'R1_Econ.'!C17</f>
        <v>Exhaust gas cleaning: Plasma torch, pocket filter, gas scrubbing</v>
      </c>
      <c r="T12" s="723">
        <v>5</v>
      </c>
    </row>
    <row r="13" spans="1:20" ht="14.25" customHeight="1" x14ac:dyDescent="0.3">
      <c r="B13" s="7"/>
      <c r="D13" s="887"/>
      <c r="E13" s="8"/>
      <c r="F13" s="7"/>
      <c r="H13" s="887"/>
      <c r="I13" s="13"/>
      <c r="J13" s="7"/>
      <c r="N13" s="8"/>
      <c r="P13" s="717" t="s">
        <v>37</v>
      </c>
      <c r="Q13" s="723"/>
      <c r="S13" s="717" t="str">
        <f>'R1_Econ.'!B18&amp;": "&amp;'R1_Econ.'!C18</f>
        <v>Mill 1: Granulator (alloy)</v>
      </c>
      <c r="T13" s="723">
        <v>5</v>
      </c>
    </row>
    <row r="14" spans="1:20" ht="14.25" customHeight="1" x14ac:dyDescent="0.3">
      <c r="B14" s="7" t="s">
        <v>38</v>
      </c>
      <c r="D14" s="885" t="b">
        <v>0</v>
      </c>
      <c r="E14" s="18" t="s">
        <v>32</v>
      </c>
      <c r="F14" s="7" t="s">
        <v>39</v>
      </c>
      <c r="H14" s="892">
        <v>1</v>
      </c>
      <c r="I14" s="13"/>
      <c r="J14" s="7"/>
      <c r="N14" s="8"/>
      <c r="P14" s="717" t="s">
        <v>40</v>
      </c>
      <c r="Q14" s="723"/>
      <c r="S14" s="717" t="str">
        <f>'R1_Econ.'!B19&amp;": "&amp;'R1_Econ.'!C19</f>
        <v>Mill 2: Granulator (slag)</v>
      </c>
      <c r="T14" s="723">
        <v>5</v>
      </c>
    </row>
    <row r="15" spans="1:20" ht="14.25" customHeight="1" x14ac:dyDescent="0.3">
      <c r="B15" s="7"/>
      <c r="D15" s="887"/>
      <c r="E15" s="18"/>
      <c r="F15" s="7"/>
      <c r="H15" s="886"/>
      <c r="I15" s="13"/>
      <c r="J15" s="7"/>
      <c r="N15" s="8"/>
      <c r="P15" s="717" t="s">
        <v>41</v>
      </c>
      <c r="Q15" s="723"/>
      <c r="S15" s="717" t="str">
        <f>'R1_Econ.'!B20&amp;": "&amp;'R1_Econ.'!C20</f>
        <v>Exposure: Rotary kiln</v>
      </c>
      <c r="T15" s="723">
        <v>5</v>
      </c>
    </row>
    <row r="16" spans="1:20" ht="14.25" customHeight="1" x14ac:dyDescent="0.3">
      <c r="B16" s="7" t="s">
        <v>42</v>
      </c>
      <c r="D16" s="959" t="s">
        <v>43</v>
      </c>
      <c r="E16" s="12" t="s">
        <v>44</v>
      </c>
      <c r="F16" s="7"/>
      <c r="I16" s="13"/>
      <c r="J16" s="7"/>
      <c r="N16" s="8"/>
      <c r="P16" s="717" t="s">
        <v>45</v>
      </c>
      <c r="Q16" s="723"/>
      <c r="S16" s="717" t="str">
        <f>'R1_Econ.'!B21&amp;": "&amp;'R1_Econ.'!C21</f>
        <v>Leaching: Reactor</v>
      </c>
      <c r="T16" s="723">
        <v>5</v>
      </c>
    </row>
    <row r="17" spans="1:20" ht="14.25" customHeight="1" x14ac:dyDescent="0.3">
      <c r="B17" s="7"/>
      <c r="D17" s="887"/>
      <c r="E17" s="12"/>
      <c r="F17" s="7"/>
      <c r="I17" s="13"/>
      <c r="J17" s="7"/>
      <c r="N17" s="8"/>
      <c r="P17" s="717" t="s">
        <v>46</v>
      </c>
      <c r="Q17" s="723"/>
      <c r="S17" s="717" t="str">
        <f>'R1_Econ.'!B22&amp;": "&amp;'R1_Econ.'!C22</f>
        <v>Cementation Cu: Reactor</v>
      </c>
      <c r="T17" s="723">
        <v>5</v>
      </c>
    </row>
    <row r="18" spans="1:20" ht="14.25" customHeight="1" x14ac:dyDescent="0.3">
      <c r="B18" s="7" t="s">
        <v>47</v>
      </c>
      <c r="D18" s="889">
        <v>2</v>
      </c>
      <c r="E18" s="12"/>
      <c r="F18" s="7"/>
      <c r="I18" s="13"/>
      <c r="J18" s="7"/>
      <c r="N18" s="8"/>
      <c r="P18" s="717" t="s">
        <v>48</v>
      </c>
      <c r="Q18" s="723" t="s">
        <v>49</v>
      </c>
      <c r="S18" s="717" t="str">
        <f>'R1_Econ.'!B23&amp;": "&amp;'R1_Econ.'!C23</f>
        <v>Filtration Cu: Band filter &lt;50um</v>
      </c>
      <c r="T18" s="723">
        <v>5</v>
      </c>
    </row>
    <row r="19" spans="1:20" ht="14.25" customHeight="1" x14ac:dyDescent="0.3">
      <c r="B19" s="7"/>
      <c r="D19" s="887"/>
      <c r="E19" s="12"/>
      <c r="F19" s="7"/>
      <c r="I19" s="13"/>
      <c r="J19" s="7"/>
      <c r="N19" s="8"/>
      <c r="P19" s="717" t="s">
        <v>50</v>
      </c>
      <c r="Q19" s="723"/>
      <c r="S19" s="717" t="str">
        <f>'R1_Econ.'!B24&amp;": "&amp;'R1_Econ.'!C24</f>
        <v>Oxidation Fe: Reactor</v>
      </c>
      <c r="T19" s="723">
        <v>5</v>
      </c>
    </row>
    <row r="20" spans="1:20" ht="14.25" customHeight="1" x14ac:dyDescent="0.3">
      <c r="B20" s="7" t="s">
        <v>51</v>
      </c>
      <c r="D20" s="889">
        <v>3</v>
      </c>
      <c r="E20" s="12"/>
      <c r="F20" s="7"/>
      <c r="I20" s="13"/>
      <c r="J20" s="7"/>
      <c r="N20" s="8"/>
      <c r="P20" s="717" t="s">
        <v>52</v>
      </c>
      <c r="Q20" s="723"/>
      <c r="S20" s="717" t="str">
        <f>'R1_Econ.'!B25&amp;": "&amp;'R1_Econ.'!C25</f>
        <v>Precipitation Fe: Reaktor</v>
      </c>
      <c r="T20" s="723">
        <v>5</v>
      </c>
    </row>
    <row r="21" spans="1:20" ht="14.25" customHeight="1" x14ac:dyDescent="0.3">
      <c r="B21" s="7"/>
      <c r="D21" s="887"/>
      <c r="E21" s="12"/>
      <c r="F21" s="7"/>
      <c r="I21" s="13"/>
      <c r="J21" s="7"/>
      <c r="N21" s="8"/>
      <c r="P21" s="717" t="s">
        <v>53</v>
      </c>
      <c r="Q21" s="723"/>
      <c r="S21" s="717" t="str">
        <f>'R1_Econ.'!B26&amp;": "&amp;'R1_Econ.'!C26</f>
        <v>Filtration Fe: Band filter &lt;15um</v>
      </c>
      <c r="T21" s="723">
        <v>5</v>
      </c>
    </row>
    <row r="22" spans="1:20" ht="14.25" customHeight="1" x14ac:dyDescent="0.3">
      <c r="B22" s="9" t="s">
        <v>54</v>
      </c>
      <c r="C22" s="5"/>
      <c r="D22" s="890" t="b">
        <v>0</v>
      </c>
      <c r="E22" s="681" t="str">
        <f>IF(D22=FALSE,"extern. treatment consid.","")</f>
        <v>extern. treatment consid.</v>
      </c>
      <c r="F22" s="9"/>
      <c r="G22" s="5"/>
      <c r="H22" s="5"/>
      <c r="I22" s="10"/>
      <c r="J22" s="9"/>
      <c r="K22" s="5"/>
      <c r="L22" s="5"/>
      <c r="M22" s="5"/>
      <c r="N22" s="10"/>
      <c r="P22" s="717" t="s">
        <v>55</v>
      </c>
      <c r="Q22" s="723"/>
      <c r="S22" s="717" t="str">
        <f>'R1_Econ.'!B27&amp;": "&amp;'R1_Econ.'!C27</f>
        <v xml:space="preserve">Extraction Co: Reactor </v>
      </c>
      <c r="T22" s="723">
        <v>5</v>
      </c>
    </row>
    <row r="23" spans="1:20" ht="14.25" customHeight="1" x14ac:dyDescent="0.25">
      <c r="A23" s="5"/>
      <c r="B23" s="5"/>
      <c r="C23" s="5"/>
      <c r="D23" s="5"/>
      <c r="E23" s="5"/>
      <c r="F23" s="5"/>
      <c r="G23" s="5"/>
      <c r="H23" s="5"/>
      <c r="I23" s="5"/>
      <c r="J23" s="5"/>
      <c r="K23" s="5"/>
      <c r="L23" s="5"/>
      <c r="M23" s="5"/>
      <c r="N23" s="5"/>
      <c r="P23" s="717" t="s">
        <v>56</v>
      </c>
      <c r="Q23" s="723"/>
      <c r="S23" s="717" t="str">
        <f>'R1_Econ.'!B28&amp;": "&amp;'R1_Econ.'!C28</f>
        <v xml:space="preserve">Scrubbing co: Reactor </v>
      </c>
      <c r="T23" s="723">
        <v>5</v>
      </c>
    </row>
    <row r="24" spans="1:20" ht="14.25" customHeight="1" x14ac:dyDescent="0.25">
      <c r="P24" s="717" t="s">
        <v>57</v>
      </c>
      <c r="Q24" s="723"/>
      <c r="S24" s="717" t="str">
        <f>'R1_Econ.'!B29&amp;": "&amp;'R1_Econ.'!C29</f>
        <v xml:space="preserve">Stripping Co: Reactor </v>
      </c>
      <c r="T24" s="723">
        <v>5</v>
      </c>
    </row>
    <row r="25" spans="1:20" ht="14.25" customHeight="1" x14ac:dyDescent="0.3">
      <c r="B25" s="6" t="s">
        <v>58</v>
      </c>
      <c r="P25" s="717" t="s">
        <v>59</v>
      </c>
      <c r="Q25" s="723"/>
      <c r="S25" s="717" t="str">
        <f>'R1_Econ.'!B30&amp;": "&amp;'R1_Econ.'!C30</f>
        <v>Crystallization Ni: Evaporation crystallizer</v>
      </c>
      <c r="T25" s="723">
        <v>5</v>
      </c>
    </row>
    <row r="26" spans="1:20" ht="14.25" customHeight="1" x14ac:dyDescent="0.25">
      <c r="P26" s="717" t="s">
        <v>60</v>
      </c>
      <c r="Q26" s="723"/>
      <c r="S26" s="717" t="str">
        <f>'R1_Econ.'!B31&amp;": "&amp;'R1_Econ.'!C31</f>
        <v>Crystallization Co: Evaporation crystallizer</v>
      </c>
      <c r="T26" s="723">
        <v>5</v>
      </c>
    </row>
    <row r="27" spans="1:20" ht="14.25" customHeight="1" x14ac:dyDescent="0.25">
      <c r="B27" s="1064" t="s">
        <v>61</v>
      </c>
      <c r="C27" s="1066"/>
      <c r="D27" s="1066"/>
      <c r="E27" s="1066"/>
      <c r="F27" s="1066"/>
      <c r="G27" s="1066"/>
      <c r="H27" s="1066"/>
      <c r="I27" s="1066"/>
      <c r="J27" s="1066"/>
      <c r="K27" s="1066"/>
      <c r="L27" s="1066"/>
      <c r="M27" s="1066"/>
      <c r="N27" s="1065"/>
      <c r="P27" s="717" t="s">
        <v>62</v>
      </c>
      <c r="Q27" s="723"/>
      <c r="S27" s="717" t="str">
        <f>'R1_Econ.'!B32&amp;": "&amp;'R1_Econ.'!C32</f>
        <v>Digestion: Rotary kiln</v>
      </c>
      <c r="T27" s="723">
        <v>5</v>
      </c>
    </row>
    <row r="28" spans="1:20" ht="14.25" customHeight="1" x14ac:dyDescent="0.25">
      <c r="B28" s="16"/>
      <c r="C28" s="11"/>
      <c r="D28" s="11"/>
      <c r="E28" s="11"/>
      <c r="F28" s="11"/>
      <c r="G28" s="11"/>
      <c r="H28" s="11"/>
      <c r="I28" s="11"/>
      <c r="J28" s="11"/>
      <c r="K28" s="11"/>
      <c r="L28" s="11"/>
      <c r="M28" s="11"/>
      <c r="N28" s="17"/>
      <c r="P28" s="717" t="s">
        <v>63</v>
      </c>
      <c r="Q28" s="723"/>
      <c r="S28" s="717" t="str">
        <f>'R1_Econ.'!B33&amp;": "&amp;'R1_Econ.'!C33</f>
        <v xml:space="preserve">Leaching: Reactor </v>
      </c>
      <c r="T28" s="723">
        <v>5</v>
      </c>
    </row>
    <row r="29" spans="1:20" ht="14.25" customHeight="1" x14ac:dyDescent="0.25">
      <c r="B29" s="16"/>
      <c r="C29" s="11"/>
      <c r="D29" s="11"/>
      <c r="E29" s="11"/>
      <c r="F29" s="11"/>
      <c r="G29" s="11"/>
      <c r="H29" s="11"/>
      <c r="I29" s="11"/>
      <c r="J29" s="11"/>
      <c r="K29" s="11"/>
      <c r="L29" s="11"/>
      <c r="M29" s="11"/>
      <c r="N29" s="17"/>
      <c r="P29" s="717" t="s">
        <v>64</v>
      </c>
      <c r="Q29" s="723"/>
      <c r="S29" s="717" t="str">
        <f>'R1_Econ.'!B34&amp;": "&amp;'R1_Econ.'!C34</f>
        <v>Filtration SiO2, CaSO4: Chamber filter press</v>
      </c>
      <c r="T29" s="723">
        <v>5</v>
      </c>
    </row>
    <row r="30" spans="1:20" ht="14.25" customHeight="1" x14ac:dyDescent="0.25">
      <c r="B30" s="16"/>
      <c r="C30" s="11"/>
      <c r="D30" s="11"/>
      <c r="E30" s="11"/>
      <c r="F30" s="11"/>
      <c r="G30" s="11"/>
      <c r="H30" s="11"/>
      <c r="I30" s="11"/>
      <c r="J30" s="11"/>
      <c r="K30" s="11"/>
      <c r="L30" s="11"/>
      <c r="M30" s="11"/>
      <c r="N30" s="17"/>
      <c r="P30" s="717" t="s">
        <v>65</v>
      </c>
      <c r="Q30" s="723"/>
      <c r="S30" s="717" t="str">
        <f>'R1_Econ.'!B35&amp;": "&amp;'R1_Econ.'!C35</f>
        <v>Oxidation Fe: Reactor</v>
      </c>
      <c r="T30" s="723">
        <v>5</v>
      </c>
    </row>
    <row r="31" spans="1:20" ht="14.25" customHeight="1" x14ac:dyDescent="0.25">
      <c r="B31" s="16"/>
      <c r="C31" s="11"/>
      <c r="D31" s="11"/>
      <c r="E31" s="11"/>
      <c r="F31" s="11"/>
      <c r="G31" s="11"/>
      <c r="H31" s="11"/>
      <c r="I31" s="11"/>
      <c r="J31" s="11"/>
      <c r="K31" s="11"/>
      <c r="L31" s="11"/>
      <c r="M31" s="11"/>
      <c r="N31" s="17"/>
      <c r="P31" s="717" t="s">
        <v>65</v>
      </c>
      <c r="Q31" s="723"/>
      <c r="S31" s="717" t="str">
        <f>'R1_Econ.'!B36&amp;": "&amp;'R1_Econ.'!C36</f>
        <v xml:space="preserve">Precipitation Fe, Al: Reactor </v>
      </c>
      <c r="T31" s="723">
        <v>5</v>
      </c>
    </row>
    <row r="32" spans="1:20" ht="14.25" customHeight="1" x14ac:dyDescent="0.25">
      <c r="B32" s="16"/>
      <c r="C32" s="11"/>
      <c r="D32" s="11"/>
      <c r="E32" s="11"/>
      <c r="F32" s="11"/>
      <c r="G32" s="11"/>
      <c r="H32" s="11"/>
      <c r="I32" s="11"/>
      <c r="J32" s="11"/>
      <c r="K32" s="11"/>
      <c r="L32" s="11"/>
      <c r="M32" s="11"/>
      <c r="N32" s="17"/>
      <c r="P32" s="717" t="s">
        <v>66</v>
      </c>
      <c r="Q32" s="723"/>
      <c r="S32" s="717" t="str">
        <f>'R1_Econ.'!B37&amp;": "&amp;'R1_Econ.'!C37</f>
        <v>Filtration Fe, Al: Band filter</v>
      </c>
      <c r="T32" s="723">
        <v>5</v>
      </c>
    </row>
    <row r="33" spans="2:20" ht="14.25" customHeight="1" x14ac:dyDescent="0.25">
      <c r="B33" s="16"/>
      <c r="C33" s="11"/>
      <c r="D33" s="11"/>
      <c r="E33" s="11"/>
      <c r="F33" s="11"/>
      <c r="G33" s="11"/>
      <c r="H33" s="11"/>
      <c r="I33" s="11"/>
      <c r="J33" s="11"/>
      <c r="K33" s="11"/>
      <c r="L33" s="11"/>
      <c r="M33" s="11"/>
      <c r="N33" s="17"/>
      <c r="P33" s="717" t="s">
        <v>67</v>
      </c>
      <c r="Q33" s="723"/>
      <c r="S33" s="717" t="str">
        <f>'R1_Econ.'!B38&amp;": "&amp;'R1_Econ.'!C38</f>
        <v>Extraction Mn: Reactor</v>
      </c>
      <c r="T33" s="723">
        <v>5</v>
      </c>
    </row>
    <row r="34" spans="2:20" ht="14.25" customHeight="1" x14ac:dyDescent="0.25">
      <c r="B34" s="16"/>
      <c r="C34" s="11"/>
      <c r="D34" s="11"/>
      <c r="E34" s="11"/>
      <c r="F34" s="11"/>
      <c r="G34" s="11"/>
      <c r="H34" s="11"/>
      <c r="I34" s="11"/>
      <c r="J34" s="11"/>
      <c r="K34" s="11"/>
      <c r="L34" s="11"/>
      <c r="M34" s="11"/>
      <c r="N34" s="17"/>
      <c r="P34" s="717" t="s">
        <v>68</v>
      </c>
      <c r="Q34" s="723"/>
      <c r="S34" s="717" t="str">
        <f>'R1_Econ.'!B39&amp;": "&amp;'R1_Econ.'!C39</f>
        <v xml:space="preserve">Scrubbing Mn: Reactor </v>
      </c>
      <c r="T34" s="723">
        <v>5</v>
      </c>
    </row>
    <row r="35" spans="2:20" ht="14.25" customHeight="1" x14ac:dyDescent="0.25">
      <c r="B35" s="16"/>
      <c r="C35" s="11"/>
      <c r="D35" s="11"/>
      <c r="E35" s="11"/>
      <c r="F35" s="11"/>
      <c r="G35" s="11"/>
      <c r="H35" s="11"/>
      <c r="I35" s="11"/>
      <c r="J35" s="11"/>
      <c r="K35" s="11"/>
      <c r="L35" s="11"/>
      <c r="M35" s="11"/>
      <c r="N35" s="17"/>
      <c r="P35" s="717" t="s">
        <v>69</v>
      </c>
      <c r="Q35" s="723"/>
      <c r="S35" s="717" t="str">
        <f>'R1_Econ.'!B40&amp;": "&amp;'R1_Econ.'!C40</f>
        <v>Stripping Mn: Reactor</v>
      </c>
      <c r="T35" s="723">
        <v>5</v>
      </c>
    </row>
    <row r="36" spans="2:20" ht="14.25" customHeight="1" x14ac:dyDescent="0.25">
      <c r="B36" s="16"/>
      <c r="C36" s="11"/>
      <c r="D36" s="11"/>
      <c r="E36" s="11"/>
      <c r="F36" s="11"/>
      <c r="G36" s="11"/>
      <c r="H36" s="11"/>
      <c r="I36" s="11"/>
      <c r="J36" s="11"/>
      <c r="K36" s="11"/>
      <c r="L36" s="11"/>
      <c r="M36" s="11"/>
      <c r="N36" s="17"/>
      <c r="P36" s="719" t="s">
        <v>70</v>
      </c>
      <c r="Q36" s="723"/>
      <c r="S36" s="719" t="str">
        <f>'R1_Econ.'!B41&amp;": "&amp;'R1_Econ.'!C41</f>
        <v>Crystallization Mn: Evaporation crystallizer</v>
      </c>
      <c r="T36" s="723">
        <v>5</v>
      </c>
    </row>
    <row r="37" spans="2:20" ht="14.25" customHeight="1" x14ac:dyDescent="0.25">
      <c r="B37" s="16"/>
      <c r="C37" s="11"/>
      <c r="D37" s="11"/>
      <c r="E37" s="11"/>
      <c r="F37" s="11"/>
      <c r="G37" s="11"/>
      <c r="H37" s="11"/>
      <c r="I37" s="11"/>
      <c r="J37" s="11"/>
      <c r="K37" s="11"/>
      <c r="L37" s="11"/>
      <c r="M37" s="11"/>
      <c r="N37" s="17"/>
      <c r="P37" s="719" t="s">
        <v>71</v>
      </c>
      <c r="Q37" s="724"/>
      <c r="S37" s="719" t="str">
        <f>'R1_Econ.'!B42&amp;": "&amp;'R1_Econ.'!C42</f>
        <v>Concentration Li: Evaporator</v>
      </c>
      <c r="T37" s="724">
        <v>5</v>
      </c>
    </row>
    <row r="38" spans="2:20" ht="14.25" customHeight="1" x14ac:dyDescent="0.25">
      <c r="B38" s="16"/>
      <c r="C38" s="11"/>
      <c r="D38" s="11"/>
      <c r="E38" s="11"/>
      <c r="F38" s="11"/>
      <c r="G38" s="11"/>
      <c r="H38" s="11"/>
      <c r="I38" s="11"/>
      <c r="J38" s="11"/>
      <c r="K38" s="11"/>
      <c r="L38" s="11"/>
      <c r="M38" s="11"/>
      <c r="N38" s="17"/>
      <c r="P38" s="719" t="s">
        <v>72</v>
      </c>
      <c r="Q38" s="724"/>
      <c r="S38" s="719" t="str">
        <f>'R1_Econ.'!B43&amp;": "&amp;'R1_Econ.'!C43</f>
        <v xml:space="preserve">Precipitation Li (90 ° C): Reactor </v>
      </c>
      <c r="T38" s="724">
        <v>5</v>
      </c>
    </row>
    <row r="39" spans="2:20" ht="14.25" customHeight="1" x14ac:dyDescent="0.25">
      <c r="B39" s="16"/>
      <c r="C39" s="11"/>
      <c r="D39" s="11"/>
      <c r="E39" s="11"/>
      <c r="F39" s="11"/>
      <c r="G39" s="11"/>
      <c r="H39" s="11"/>
      <c r="I39" s="11"/>
      <c r="J39" s="11"/>
      <c r="K39" s="11"/>
      <c r="L39" s="11"/>
      <c r="M39" s="11"/>
      <c r="N39" s="17"/>
      <c r="P39" s="719" t="s">
        <v>73</v>
      </c>
      <c r="Q39" s="724"/>
      <c r="S39" s="719" t="str">
        <f>'R1_Econ.'!B44&amp;": "&amp;'R1_Econ.'!C44</f>
        <v>Filtration Li: Band filter</v>
      </c>
      <c r="T39" s="724">
        <v>5</v>
      </c>
    </row>
    <row r="40" spans="2:20" ht="14.25" customHeight="1" x14ac:dyDescent="0.25">
      <c r="B40" s="16"/>
      <c r="C40" s="11"/>
      <c r="D40" s="11"/>
      <c r="E40" s="11"/>
      <c r="F40" s="11"/>
      <c r="G40" s="11"/>
      <c r="H40" s="11"/>
      <c r="I40" s="11"/>
      <c r="J40" s="11"/>
      <c r="K40" s="11"/>
      <c r="L40" s="11"/>
      <c r="M40" s="11"/>
      <c r="N40" s="17"/>
      <c r="P40" s="720" t="s">
        <v>74</v>
      </c>
      <c r="Q40" s="725"/>
      <c r="S40" s="719" t="str">
        <f>'R1_Econ.'!B45&amp;": "&amp;'R1_Econ.'!C45</f>
        <v>Wastewater: Evaporator</v>
      </c>
      <c r="T40" s="724">
        <v>5</v>
      </c>
    </row>
    <row r="41" spans="2:20" ht="14.25" customHeight="1" x14ac:dyDescent="0.25">
      <c r="B41" s="16"/>
      <c r="C41" s="11"/>
      <c r="D41" s="11"/>
      <c r="E41" s="11"/>
      <c r="F41" s="11"/>
      <c r="G41" s="11"/>
      <c r="H41" s="11"/>
      <c r="I41" s="11"/>
      <c r="J41" s="11"/>
      <c r="K41" s="11"/>
      <c r="L41" s="11"/>
      <c r="M41" s="11"/>
      <c r="N41" s="17"/>
      <c r="Q41" s="726"/>
      <c r="S41" s="1062" t="s">
        <v>1064</v>
      </c>
      <c r="T41" s="1063"/>
    </row>
    <row r="42" spans="2:20" ht="14.25" customHeight="1" x14ac:dyDescent="0.25">
      <c r="B42" s="16"/>
      <c r="C42" s="11"/>
      <c r="D42" s="11"/>
      <c r="E42" s="11"/>
      <c r="F42" s="11"/>
      <c r="G42" s="11"/>
      <c r="H42" s="11"/>
      <c r="I42" s="11"/>
      <c r="J42" s="11"/>
      <c r="K42" s="11"/>
      <c r="L42" s="11"/>
      <c r="M42" s="11"/>
      <c r="N42" s="17"/>
      <c r="S42" s="721" t="str">
        <f>'R2_Econ.'!B12&amp;": "&amp;'R2_Econ.'!C12</f>
        <v>Storage: System container</v>
      </c>
      <c r="T42" s="722">
        <v>5</v>
      </c>
    </row>
    <row r="43" spans="2:20" ht="14.25" customHeight="1" x14ac:dyDescent="0.25">
      <c r="B43" s="16"/>
      <c r="C43" s="11"/>
      <c r="D43" s="11"/>
      <c r="E43" s="11"/>
      <c r="F43" s="11"/>
      <c r="G43" s="11"/>
      <c r="H43" s="11"/>
      <c r="I43" s="11"/>
      <c r="J43" s="11"/>
      <c r="K43" s="11"/>
      <c r="L43" s="11"/>
      <c r="M43" s="11"/>
      <c r="N43" s="17"/>
      <c r="S43" s="719" t="str">
        <f>'R2_Econ.'!B13&amp;": "&amp;'R2_Econ.'!C13</f>
        <v>Storage (defective): Hazardous material container (F-90)</v>
      </c>
      <c r="T43" s="723">
        <v>5</v>
      </c>
    </row>
    <row r="44" spans="2:20" ht="14.25" customHeight="1" x14ac:dyDescent="0.25">
      <c r="B44" s="16"/>
      <c r="C44" s="11"/>
      <c r="D44" s="11"/>
      <c r="E44" s="11"/>
      <c r="F44" s="11"/>
      <c r="G44" s="11"/>
      <c r="H44" s="11"/>
      <c r="I44" s="11"/>
      <c r="J44" s="11"/>
      <c r="K44" s="11"/>
      <c r="L44" s="11"/>
      <c r="M44" s="11"/>
      <c r="N44" s="17"/>
      <c r="S44" s="719" t="str">
        <f>'R2_Econ.'!B14&amp;": "&amp;'R2_Econ.'!C14</f>
        <v>Discharge: Unloading place &amp; device</v>
      </c>
      <c r="T44" s="723">
        <v>5</v>
      </c>
    </row>
    <row r="45" spans="2:20" ht="14.25" customHeight="1" x14ac:dyDescent="0.25">
      <c r="B45" s="7"/>
      <c r="N45" s="8"/>
      <c r="S45" s="719" t="str">
        <f>'R2_Econ.'!B15&amp;": "&amp;'R2_Econ.'!C15</f>
        <v>Disassembly: Disassembly area including tools</v>
      </c>
      <c r="T45" s="723">
        <v>5</v>
      </c>
    </row>
    <row r="46" spans="2:20" ht="14.25" customHeight="1" x14ac:dyDescent="0.25">
      <c r="B46" s="9"/>
      <c r="C46" s="5"/>
      <c r="D46" s="5"/>
      <c r="E46" s="5"/>
      <c r="F46" s="5"/>
      <c r="G46" s="5"/>
      <c r="H46" s="5"/>
      <c r="I46" s="5"/>
      <c r="J46" s="5"/>
      <c r="K46" s="5"/>
      <c r="L46" s="5"/>
      <c r="M46" s="5"/>
      <c r="N46" s="10"/>
      <c r="S46" s="719" t="str">
        <f>'R2_Econ.'!B16&amp;": "&amp;'R2_Econ.'!C16</f>
        <v>Shredder 1: Shredder</v>
      </c>
      <c r="T46" s="723">
        <v>5</v>
      </c>
    </row>
    <row r="47" spans="2:20" ht="14.25" customHeight="1" x14ac:dyDescent="0.25">
      <c r="S47" s="719" t="str">
        <f>'R2_Econ.'!B17&amp;": "&amp;'R2_Econ.'!C17</f>
        <v>Drying: Mixing dryer</v>
      </c>
      <c r="T47" s="723">
        <v>5</v>
      </c>
    </row>
    <row r="48" spans="2:20" ht="14.25" customHeight="1" x14ac:dyDescent="0.25">
      <c r="S48" s="719" t="str">
        <f>'R2_Econ.'!B18&amp;": "&amp;'R2_Econ.'!C18</f>
        <v>Exhaust gas cleaning: Plasma torch, pocket filter, gas scrubbing</v>
      </c>
      <c r="T48" s="723">
        <v>5</v>
      </c>
    </row>
    <row r="49" spans="19:20" ht="14.25" customHeight="1" x14ac:dyDescent="0.25">
      <c r="S49" s="719" t="str">
        <f>'R2_Econ.'!B19&amp;": "&amp;'R2_Econ.'!C19</f>
        <v>Magnetic separation: Magnetic separator</v>
      </c>
      <c r="T49" s="723">
        <v>5</v>
      </c>
    </row>
    <row r="50" spans="19:20" ht="14.25" customHeight="1" x14ac:dyDescent="0.25">
      <c r="S50" s="719" t="str">
        <f>'R2_Econ.'!B20&amp;": "&amp;'R2_Econ.'!C20</f>
        <v>Zig-zag sighting 1: Aerial sighting</v>
      </c>
      <c r="T50" s="723">
        <v>5</v>
      </c>
    </row>
    <row r="51" spans="19:20" ht="14.25" customHeight="1" x14ac:dyDescent="0.25">
      <c r="S51" s="719" t="str">
        <f>'R2_Econ.'!B21&amp;": "&amp;'R2_Econ.'!C21</f>
        <v>Shredder 2: Granulator</v>
      </c>
      <c r="T51" s="723">
        <v>5</v>
      </c>
    </row>
    <row r="52" spans="19:20" x14ac:dyDescent="0.25">
      <c r="S52" s="719" t="str">
        <f>'R2_Econ.'!B22&amp;": "&amp;'R2_Econ.'!C22</f>
        <v>Sieving: Sieve</v>
      </c>
      <c r="T52" s="723">
        <v>5</v>
      </c>
    </row>
    <row r="53" spans="19:20" x14ac:dyDescent="0.25">
      <c r="S53" s="719" t="str">
        <f>'R2_Econ.'!B23&amp;": "&amp;'R2_Econ.'!C23</f>
        <v>Zig-zag sighting 2: Aerial sighting</v>
      </c>
      <c r="T53" s="723">
        <v>5</v>
      </c>
    </row>
    <row r="54" spans="19:20" x14ac:dyDescent="0.25">
      <c r="S54" s="719" t="str">
        <f>'R2_Econ.'!B24&amp;": "&amp;'R2_Econ.'!C24</f>
        <v>Electrolyte recovery: Extraction (DMC and water), solvent cleaning</v>
      </c>
      <c r="T54" s="723">
        <v>5</v>
      </c>
    </row>
    <row r="55" spans="19:20" x14ac:dyDescent="0.25">
      <c r="S55" s="719" t="str">
        <f>'R2_Econ.'!B25&amp;": "&amp;'R2_Econ.'!C25</f>
        <v>Digestion: Rotary kiln</v>
      </c>
      <c r="T55" s="723">
        <v>5</v>
      </c>
    </row>
    <row r="56" spans="19:20" x14ac:dyDescent="0.25">
      <c r="S56" s="719" t="str">
        <f>'R2_Econ.'!B26&amp;": "&amp;'R2_Econ.'!C26</f>
        <v xml:space="preserve">Leaching: Reactor </v>
      </c>
      <c r="T56" s="723">
        <v>5</v>
      </c>
    </row>
    <row r="57" spans="19:20" x14ac:dyDescent="0.25">
      <c r="S57" s="719" t="str">
        <f>'R2_Econ.'!B27&amp;": "&amp;'R2_Econ.'!C27</f>
        <v>Filtration C: Chamber filter press</v>
      </c>
      <c r="T57" s="723">
        <v>5</v>
      </c>
    </row>
    <row r="58" spans="19:20" x14ac:dyDescent="0.25">
      <c r="S58" s="719" t="str">
        <f>'R2_Econ.'!B28&amp;": "&amp;'R2_Econ.'!C28</f>
        <v>Washing C: Sprinkling</v>
      </c>
      <c r="T58" s="723">
        <v>5</v>
      </c>
    </row>
    <row r="59" spans="19:20" x14ac:dyDescent="0.25">
      <c r="S59" s="719" t="str">
        <f>'R2_Econ.'!B29&amp;": "&amp;'R2_Econ.'!C29</f>
        <v xml:space="preserve">Cementation Cu: Reactor </v>
      </c>
      <c r="T59" s="723">
        <v>5</v>
      </c>
    </row>
    <row r="60" spans="19:20" x14ac:dyDescent="0.25">
      <c r="S60" s="719" t="str">
        <f>'R2_Econ.'!B30&amp;": "&amp;'R2_Econ.'!C30</f>
        <v>Filtration Cu: Band filter &lt;50um</v>
      </c>
      <c r="T60" s="723">
        <v>5</v>
      </c>
    </row>
    <row r="61" spans="19:20" x14ac:dyDescent="0.25">
      <c r="S61" s="719" t="str">
        <f>'R2_Econ.'!B31&amp;": "&amp;'R2_Econ.'!C31</f>
        <v>Oxidation: Reactor</v>
      </c>
      <c r="T61" s="723">
        <v>5</v>
      </c>
    </row>
    <row r="62" spans="19:20" x14ac:dyDescent="0.25">
      <c r="S62" s="719" t="str">
        <f>'R2_Econ.'!B32&amp;": "&amp;'R2_Econ.'!C32</f>
        <v>Precipitation Al + Fe: Reactor</v>
      </c>
      <c r="T62" s="723">
        <v>5</v>
      </c>
    </row>
    <row r="63" spans="19:20" x14ac:dyDescent="0.25">
      <c r="S63" s="719" t="str">
        <f>'R2_Econ.'!B33&amp;": "&amp;'R2_Econ.'!C33</f>
        <v>Filtration Al+Fe: Band filter &lt;15um</v>
      </c>
      <c r="T63" s="723">
        <v>5</v>
      </c>
    </row>
    <row r="64" spans="19:20" x14ac:dyDescent="0.25">
      <c r="S64" s="719" t="str">
        <f>'R2_Econ.'!B34&amp;": "&amp;'R2_Econ.'!C34</f>
        <v>Extraction Co+Ni: Reactor</v>
      </c>
      <c r="T64" s="723">
        <v>5</v>
      </c>
    </row>
    <row r="65" spans="19:20" x14ac:dyDescent="0.25">
      <c r="S65" s="719" t="str">
        <f>'R2_Econ.'!B35&amp;": "&amp;'R2_Econ.'!C35</f>
        <v>Scrubbing Co+Ni: Reactor</v>
      </c>
      <c r="T65" s="723">
        <v>5</v>
      </c>
    </row>
    <row r="66" spans="19:20" x14ac:dyDescent="0.25">
      <c r="S66" s="719" t="str">
        <f>'R2_Econ.'!B36&amp;": "&amp;'R2_Econ.'!C36</f>
        <v>Stripping Co+Ni: Reactor</v>
      </c>
      <c r="T66" s="723">
        <v>5</v>
      </c>
    </row>
    <row r="67" spans="19:20" x14ac:dyDescent="0.25">
      <c r="S67" s="719" t="str">
        <f>'R2_Econ.'!B37&amp;": "&amp;'R2_Econ.'!C37</f>
        <v>Extraction Co: Reactor</v>
      </c>
      <c r="T67" s="723">
        <v>5</v>
      </c>
    </row>
    <row r="68" spans="19:20" x14ac:dyDescent="0.25">
      <c r="S68" s="719" t="str">
        <f>'R2_Econ.'!B38&amp;": "&amp;'R2_Econ.'!C38</f>
        <v>Scrubbing Co: Reactor</v>
      </c>
      <c r="T68" s="723">
        <v>5</v>
      </c>
    </row>
    <row r="69" spans="19:20" x14ac:dyDescent="0.25">
      <c r="S69" s="719" t="str">
        <f>'R2_Econ.'!B39&amp;": "&amp;'R2_Econ.'!C39</f>
        <v>Stripping Co: Reactor</v>
      </c>
      <c r="T69" s="723">
        <v>5</v>
      </c>
    </row>
    <row r="70" spans="19:20" x14ac:dyDescent="0.25">
      <c r="S70" s="719" t="str">
        <f>'R2_Econ.'!B40&amp;": "&amp;'R2_Econ.'!C40</f>
        <v>Cristallisation Ni: Evaporation crystallizer</v>
      </c>
      <c r="T70" s="723">
        <v>5</v>
      </c>
    </row>
    <row r="71" spans="19:20" x14ac:dyDescent="0.25">
      <c r="S71" s="719" t="str">
        <f>'R2_Econ.'!B41&amp;": "&amp;'R2_Econ.'!C41</f>
        <v>Cristallisation Co: Evaporation crystallizer</v>
      </c>
      <c r="T71" s="723">
        <v>5</v>
      </c>
    </row>
    <row r="72" spans="19:20" x14ac:dyDescent="0.25">
      <c r="S72" s="719" t="str">
        <f>'R2_Econ.'!B42&amp;": "&amp;'R2_Econ.'!C42</f>
        <v>Extraction Mn: Reactor</v>
      </c>
      <c r="T72" s="724">
        <v>5</v>
      </c>
    </row>
    <row r="73" spans="19:20" x14ac:dyDescent="0.25">
      <c r="S73" s="719" t="str">
        <f>'R2_Econ.'!B43&amp;": "&amp;'R2_Econ.'!C43</f>
        <v>Scrubbing Mn: Reactor</v>
      </c>
      <c r="T73" s="724">
        <v>5</v>
      </c>
    </row>
    <row r="74" spans="19:20" x14ac:dyDescent="0.25">
      <c r="S74" s="719" t="str">
        <f>'R2_Econ.'!B44&amp;": "&amp;'R2_Econ.'!C44</f>
        <v>Stripping Mn: Reactor</v>
      </c>
      <c r="T74" s="724">
        <v>5</v>
      </c>
    </row>
    <row r="75" spans="19:20" x14ac:dyDescent="0.25">
      <c r="S75" s="719" t="str">
        <f>'R2_Econ.'!B45&amp;": "&amp;'R2_Econ.'!C45</f>
        <v>Cristallisation Mn: Evaporation crystallizer</v>
      </c>
      <c r="T75" s="724">
        <v>5</v>
      </c>
    </row>
    <row r="76" spans="19:20" x14ac:dyDescent="0.25">
      <c r="S76" s="719" t="str">
        <f>'R2_Econ.'!B46&amp;": "&amp;'R2_Econ.'!C46</f>
        <v>Concentration Li: Evaporator</v>
      </c>
      <c r="T76" s="724">
        <v>5</v>
      </c>
    </row>
    <row r="77" spans="19:20" x14ac:dyDescent="0.25">
      <c r="S77" s="719" t="str">
        <f>'R2_Econ.'!B47&amp;": "&amp;'R2_Econ.'!C47</f>
        <v>Precipitation Li: Reactor</v>
      </c>
      <c r="T77" s="724">
        <v>5</v>
      </c>
    </row>
    <row r="78" spans="19:20" x14ac:dyDescent="0.25">
      <c r="S78" s="719" t="str">
        <f>'R2_Econ.'!B48&amp;": "&amp;'R2_Econ.'!C48</f>
        <v>Filtration Li: Band filter</v>
      </c>
      <c r="T78" s="724">
        <v>5</v>
      </c>
    </row>
    <row r="79" spans="19:20" x14ac:dyDescent="0.25">
      <c r="S79" s="720" t="str">
        <f>'R2_Econ.'!B49&amp;": "&amp;'R2_Econ.'!C49</f>
        <v>Wastewater: Evaporator</v>
      </c>
      <c r="T79" s="725">
        <v>5</v>
      </c>
    </row>
    <row r="80" spans="19:20" x14ac:dyDescent="0.25">
      <c r="S80" s="1062" t="s">
        <v>1065</v>
      </c>
      <c r="T80" s="1063"/>
    </row>
    <row r="81" spans="19:20" x14ac:dyDescent="0.25">
      <c r="S81" s="721" t="str">
        <f>'R3_Econ.'!B12&amp;": "&amp;'R3_Econ.'!C12</f>
        <v>Storage: System container</v>
      </c>
      <c r="T81" s="722">
        <v>5</v>
      </c>
    </row>
    <row r="82" spans="19:20" x14ac:dyDescent="0.25">
      <c r="S82" s="719" t="str">
        <f>'R3_Econ.'!B13&amp;": "&amp;'R3_Econ.'!C13</f>
        <v>Storage (deffective): Hazardous material container (F-90)</v>
      </c>
      <c r="T82" s="724">
        <v>5</v>
      </c>
    </row>
    <row r="83" spans="19:20" x14ac:dyDescent="0.25">
      <c r="S83" s="719" t="str">
        <f>'R3_Econ.'!B14&amp;": "&amp;'R3_Econ.'!C14</f>
        <v>Discharge: Unloading place &amp; device</v>
      </c>
      <c r="T83" s="724">
        <v>5</v>
      </c>
    </row>
    <row r="84" spans="19:20" x14ac:dyDescent="0.25">
      <c r="S84" s="719" t="str">
        <f>'R3_Econ.'!B15&amp;": "&amp;'R3_Econ.'!C15</f>
        <v>Disassembly: Disassembly area including tools</v>
      </c>
      <c r="T84" s="724">
        <v>5</v>
      </c>
    </row>
    <row r="85" spans="19:20" x14ac:dyDescent="0.25">
      <c r="S85" s="719" t="str">
        <f>'R3_Econ.'!B16&amp;": "&amp;'R3_Econ.'!C16</f>
        <v>Deactivation and evaporation: Rotary kiln</v>
      </c>
      <c r="T85" s="724">
        <v>5</v>
      </c>
    </row>
    <row r="86" spans="19:20" x14ac:dyDescent="0.25">
      <c r="S86" s="719" t="str">
        <f>'R3_Econ.'!B17&amp;": "&amp;'R3_Econ.'!C17</f>
        <v>Exhaust gas cleaning: Plasma torch, pocket filter, gas scrubbing</v>
      </c>
      <c r="T86" s="724">
        <v>5</v>
      </c>
    </row>
    <row r="87" spans="19:20" x14ac:dyDescent="0.25">
      <c r="S87" s="719" t="str">
        <f>'R3_Econ.'!B18&amp;": "&amp;'R3_Econ.'!C18</f>
        <v>Shredder: Granulator</v>
      </c>
      <c r="T87" s="724">
        <v>5</v>
      </c>
    </row>
    <row r="88" spans="19:20" x14ac:dyDescent="0.25">
      <c r="S88" s="719" t="str">
        <f>'R3_Econ.'!B19&amp;": "&amp;'R3_Econ.'!C19</f>
        <v>Magnetic seperation: Magnetic separator</v>
      </c>
      <c r="T88" s="724">
        <v>5</v>
      </c>
    </row>
    <row r="89" spans="19:20" x14ac:dyDescent="0.25">
      <c r="S89" s="719" t="str">
        <f>'R3_Econ.'!B20&amp;": "&amp;'R3_Econ.'!C20</f>
        <v>Sieving: Sieve</v>
      </c>
      <c r="T89" s="724">
        <v>5</v>
      </c>
    </row>
    <row r="90" spans="19:20" x14ac:dyDescent="0.25">
      <c r="S90" s="719" t="str">
        <f>'R3_Econ.'!B21&amp;": "&amp;'R3_Econ.'!C21</f>
        <v>Zigzag sighting: Aerial sighting</v>
      </c>
      <c r="T90" s="724">
        <v>5</v>
      </c>
    </row>
    <row r="91" spans="19:20" x14ac:dyDescent="0.25">
      <c r="S91" s="719" t="str">
        <f>'R3_Econ.'!B22&amp;": "&amp;'R3_Econ.'!C22</f>
        <v>Melting down: Shaft furnace</v>
      </c>
      <c r="T91" s="724">
        <v>5</v>
      </c>
    </row>
    <row r="92" spans="19:20" x14ac:dyDescent="0.25">
      <c r="S92" s="719" t="str">
        <f>'R3_Econ.'!B23&amp;": "&amp;'R3_Econ.'!C23</f>
        <v>Exhaust gas cleaning: Gas scrubber</v>
      </c>
      <c r="T92" s="724">
        <v>5</v>
      </c>
    </row>
    <row r="93" spans="19:20" x14ac:dyDescent="0.25">
      <c r="S93" s="719" t="str">
        <f>'R3_Econ.'!B24&amp;": "&amp;'R3_Econ.'!C24</f>
        <v>Mill (alloy): Mill (Alloy)</v>
      </c>
      <c r="T93" s="724">
        <v>5</v>
      </c>
    </row>
    <row r="94" spans="19:20" x14ac:dyDescent="0.25">
      <c r="S94" s="719" t="str">
        <f>'R3_Econ.'!B25&amp;": "&amp;'R3_Econ.'!C25</f>
        <v>Mill (slag): Mill (Slag)</v>
      </c>
      <c r="T94" s="724">
        <v>5</v>
      </c>
    </row>
    <row r="95" spans="19:20" x14ac:dyDescent="0.25">
      <c r="S95" s="719" t="str">
        <f>'R3_Econ.'!B26&amp;": "&amp;'R3_Econ.'!C26</f>
        <v>Digestion: Rotary kiln</v>
      </c>
      <c r="T95" s="724">
        <v>5</v>
      </c>
    </row>
    <row r="96" spans="19:20" x14ac:dyDescent="0.25">
      <c r="S96" s="719" t="str">
        <f>'R3_Econ.'!B27&amp;": "&amp;'R3_Econ.'!C27</f>
        <v>Leaching: Reactor</v>
      </c>
      <c r="T96" s="724">
        <v>5</v>
      </c>
    </row>
    <row r="97" spans="19:20" x14ac:dyDescent="0.25">
      <c r="S97" s="719" t="str">
        <f>'R3_Econ.'!B28&amp;": "&amp;'R3_Econ.'!C28</f>
        <v xml:space="preserve">Cementation Cu: Reactor </v>
      </c>
      <c r="T97" s="724">
        <v>5</v>
      </c>
    </row>
    <row r="98" spans="19:20" x14ac:dyDescent="0.25">
      <c r="S98" s="719" t="str">
        <f>'R3_Econ.'!B29&amp;": "&amp;'R3_Econ.'!C29</f>
        <v>Filtration Cu: Band filter &lt;50um</v>
      </c>
      <c r="T98" s="724">
        <v>5</v>
      </c>
    </row>
    <row r="99" spans="19:20" x14ac:dyDescent="0.25">
      <c r="S99" s="719" t="str">
        <f>'R3_Econ.'!B30&amp;": "&amp;'R3_Econ.'!C30</f>
        <v>Oxidation Fe: Reactor</v>
      </c>
      <c r="T99" s="724">
        <v>5</v>
      </c>
    </row>
    <row r="100" spans="19:20" x14ac:dyDescent="0.25">
      <c r="S100" s="719" t="str">
        <f>'R3_Econ.'!B31&amp;": "&amp;'R3_Econ.'!C31</f>
        <v>Precipitation Fe: Reactor</v>
      </c>
      <c r="T100" s="724">
        <v>5</v>
      </c>
    </row>
    <row r="101" spans="19:20" x14ac:dyDescent="0.25">
      <c r="S101" s="719" t="str">
        <f>'R3_Econ.'!B32&amp;": "&amp;'R3_Econ.'!C32</f>
        <v>Filtration Fe: Band filter  &lt;15um</v>
      </c>
      <c r="T101" s="724">
        <v>5</v>
      </c>
    </row>
    <row r="102" spans="19:20" x14ac:dyDescent="0.25">
      <c r="S102" s="719" t="str">
        <f>'R3_Econ.'!B33&amp;": "&amp;'R3_Econ.'!C33</f>
        <v xml:space="preserve">Extraction Co: Reactor </v>
      </c>
      <c r="T102" s="724">
        <v>5</v>
      </c>
    </row>
    <row r="103" spans="19:20" x14ac:dyDescent="0.25">
      <c r="S103" s="719" t="str">
        <f>'R3_Econ.'!B34&amp;": "&amp;'R3_Econ.'!C34</f>
        <v>Scrubbing Co: Reactor</v>
      </c>
      <c r="T103" s="724">
        <v>5</v>
      </c>
    </row>
    <row r="104" spans="19:20" x14ac:dyDescent="0.25">
      <c r="S104" s="719" t="str">
        <f>'R3_Econ.'!B35&amp;": "&amp;'R3_Econ.'!C35</f>
        <v>Stripping Co: Reactor</v>
      </c>
      <c r="T104" s="724">
        <v>5</v>
      </c>
    </row>
    <row r="105" spans="19:20" x14ac:dyDescent="0.25">
      <c r="S105" s="719" t="str">
        <f>'R3_Econ.'!B36&amp;": "&amp;'R3_Econ.'!C36</f>
        <v>Cristallisation Ni: Evaporation crystallizer</v>
      </c>
      <c r="T105" s="724">
        <v>5</v>
      </c>
    </row>
    <row r="106" spans="19:20" x14ac:dyDescent="0.25">
      <c r="S106" s="719" t="str">
        <f>'R3_Econ.'!B37&amp;": "&amp;'R3_Econ.'!C37</f>
        <v>Cristallisation Co: Evaporation crystallizer</v>
      </c>
      <c r="T106" s="724">
        <v>5</v>
      </c>
    </row>
    <row r="107" spans="19:20" x14ac:dyDescent="0.25">
      <c r="S107" s="719" t="str">
        <f>'R3_Econ.'!B38&amp;": "&amp;'R3_Econ.'!C38</f>
        <v>Digestion (slag): Rotary kiln</v>
      </c>
      <c r="T107" s="724">
        <v>5</v>
      </c>
    </row>
    <row r="108" spans="19:20" x14ac:dyDescent="0.25">
      <c r="S108" s="719" t="str">
        <f>'R3_Econ.'!B39&amp;": "&amp;'R3_Econ.'!C39</f>
        <v xml:space="preserve">Leaching (slag): Reactor </v>
      </c>
      <c r="T108" s="724">
        <v>5</v>
      </c>
    </row>
    <row r="109" spans="19:20" x14ac:dyDescent="0.25">
      <c r="S109" s="719" t="str">
        <f>'R3_Econ.'!B40&amp;": "&amp;'R3_Econ.'!C40</f>
        <v>Filter SiO2, CaSO4 (slag): Chamber filter press</v>
      </c>
      <c r="T109" s="724">
        <v>5</v>
      </c>
    </row>
    <row r="110" spans="19:20" x14ac:dyDescent="0.25">
      <c r="S110" s="719" t="str">
        <f>'R3_Econ.'!B44&amp;": "&amp;'R3_Econ.'!C44</f>
        <v xml:space="preserve">Extraction Mn (slag): Reactor </v>
      </c>
      <c r="T110" s="724">
        <v>5</v>
      </c>
    </row>
    <row r="111" spans="19:20" x14ac:dyDescent="0.25">
      <c r="S111" s="719" t="str">
        <f>'R3_Econ.'!B45&amp;": "&amp;'R3_Econ.'!C45</f>
        <v xml:space="preserve">Scrubbing Mn (slag): Reactor </v>
      </c>
      <c r="T111" s="724">
        <v>5</v>
      </c>
    </row>
    <row r="112" spans="19:20" x14ac:dyDescent="0.25">
      <c r="S112" s="719" t="str">
        <f>'R3_Econ.'!B46&amp;": "&amp;'R3_Econ.'!C46</f>
        <v xml:space="preserve">Stripping Mn (slag): Reactor </v>
      </c>
      <c r="T112" s="724">
        <v>5</v>
      </c>
    </row>
    <row r="113" spans="19:20" x14ac:dyDescent="0.25">
      <c r="S113" s="719" t="str">
        <f>'R3_Econ.'!B47&amp;": "&amp;'R3_Econ.'!C47</f>
        <v>Cristallisation Mn (slag): Evaporation crystallizer</v>
      </c>
      <c r="T113" s="724">
        <v>5</v>
      </c>
    </row>
    <row r="114" spans="19:20" x14ac:dyDescent="0.25">
      <c r="S114" s="719" t="str">
        <f>'R3_Econ.'!B48&amp;": "&amp;'R3_Econ.'!C48</f>
        <v xml:space="preserve">Precipitation Li (slag): Reactor </v>
      </c>
      <c r="T114" s="724">
        <v>5</v>
      </c>
    </row>
    <row r="115" spans="19:20" x14ac:dyDescent="0.25">
      <c r="S115" s="719" t="str">
        <f>'R3_Econ.'!B49&amp;": "&amp;'R3_Econ.'!C49</f>
        <v>Filtration Li (slag): Band filter</v>
      </c>
      <c r="T115" s="724">
        <v>5</v>
      </c>
    </row>
    <row r="116" spans="19:20" x14ac:dyDescent="0.25">
      <c r="S116" s="720" t="str">
        <f>'R3_Econ.'!B50&amp;": "&amp;'R3_Econ.'!C50</f>
        <v>Wastewater: Evaporator</v>
      </c>
      <c r="T116" s="725">
        <v>5</v>
      </c>
    </row>
  </sheetData>
  <sheetProtection selectLockedCells="1" selectUnlockedCells="1"/>
  <protectedRanges>
    <protectedRange sqref="M29:M37 L29:L36 A27:K41 H8:I12 B11:E11 D8:E8 B6:I7 G20:I20 B8:B9 C9:E9 B13:E13 B15:D15 C20:E20 F9:F15 F19:F20 I13:I15 I19 B16:B20 E16:E19 O6:O39 N6:N20 A23:N23 A25:N26 A6:A20 A1:O5" name="Bereich1"/>
    <protectedRange sqref="F8" name="Bereich1_1"/>
  </protectedRanges>
  <mergeCells count="9">
    <mergeCell ref="S80:T80"/>
    <mergeCell ref="P6:Q6"/>
    <mergeCell ref="F6:I6"/>
    <mergeCell ref="B6:E6"/>
    <mergeCell ref="C1:I1"/>
    <mergeCell ref="J6:N6"/>
    <mergeCell ref="S6:T6"/>
    <mergeCell ref="B27:N27"/>
    <mergeCell ref="S41:T4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8" r:id="rId4" name="Check Box 14">
              <controlPr defaultSize="0" autoFill="0" autoLine="0" autoPict="0" altText="">
                <anchor moveWithCells="1">
                  <from>
                    <xdr:col>3</xdr:col>
                    <xdr:colOff>1203960</xdr:colOff>
                    <xdr:row>8</xdr:row>
                    <xdr:rowOff>175260</xdr:rowOff>
                  </from>
                  <to>
                    <xdr:col>3</xdr:col>
                    <xdr:colOff>1432560</xdr:colOff>
                    <xdr:row>10</xdr:row>
                    <xdr:rowOff>0</xdr:rowOff>
                  </to>
                </anchor>
              </controlPr>
            </control>
          </mc:Choice>
        </mc:AlternateContent>
        <mc:AlternateContent xmlns:mc="http://schemas.openxmlformats.org/markup-compatibility/2006">
          <mc:Choice Requires="x14">
            <control shapeId="1039" r:id="rId5" name="Check Box 15">
              <controlPr defaultSize="0" autoFill="0" autoLine="0" autoPict="0" altText="">
                <anchor moveWithCells="1">
                  <from>
                    <xdr:col>3</xdr:col>
                    <xdr:colOff>1203960</xdr:colOff>
                    <xdr:row>10</xdr:row>
                    <xdr:rowOff>175260</xdr:rowOff>
                  </from>
                  <to>
                    <xdr:col>3</xdr:col>
                    <xdr:colOff>1432560</xdr:colOff>
                    <xdr:row>12</xdr:row>
                    <xdr:rowOff>0</xdr:rowOff>
                  </to>
                </anchor>
              </controlPr>
            </control>
          </mc:Choice>
        </mc:AlternateContent>
        <mc:AlternateContent xmlns:mc="http://schemas.openxmlformats.org/markup-compatibility/2006">
          <mc:Choice Requires="x14">
            <control shapeId="1040" r:id="rId6" name="Check Box 16">
              <controlPr defaultSize="0" autoFill="0" autoLine="0" autoPict="0" altText="">
                <anchor moveWithCells="1">
                  <from>
                    <xdr:col>3</xdr:col>
                    <xdr:colOff>1203960</xdr:colOff>
                    <xdr:row>12</xdr:row>
                    <xdr:rowOff>175260</xdr:rowOff>
                  </from>
                  <to>
                    <xdr:col>3</xdr:col>
                    <xdr:colOff>1432560</xdr:colOff>
                    <xdr:row>14</xdr:row>
                    <xdr:rowOff>0</xdr:rowOff>
                  </to>
                </anchor>
              </controlPr>
            </control>
          </mc:Choice>
        </mc:AlternateContent>
        <mc:AlternateContent xmlns:mc="http://schemas.openxmlformats.org/markup-compatibility/2006">
          <mc:Choice Requires="x14">
            <control shapeId="1052" r:id="rId7" name="Drop Down 28">
              <controlPr defaultSize="0" autoLine="0" autoPict="0">
                <anchor moveWithCells="1">
                  <from>
                    <xdr:col>3</xdr:col>
                    <xdr:colOff>15240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055" r:id="rId8" name="Drop Down 31">
              <controlPr defaultSize="0" autoLine="0" autoPict="0">
                <anchor moveWithCells="1">
                  <from>
                    <xdr:col>7</xdr:col>
                    <xdr:colOff>15240</xdr:colOff>
                    <xdr:row>7</xdr:row>
                    <xdr:rowOff>0</xdr:rowOff>
                  </from>
                  <to>
                    <xdr:col>7</xdr:col>
                    <xdr:colOff>1485900</xdr:colOff>
                    <xdr:row>8</xdr:row>
                    <xdr:rowOff>0</xdr:rowOff>
                  </to>
                </anchor>
              </controlPr>
            </control>
          </mc:Choice>
        </mc:AlternateContent>
        <mc:AlternateContent xmlns:mc="http://schemas.openxmlformats.org/markup-compatibility/2006">
          <mc:Choice Requires="x14">
            <control shapeId="1068" r:id="rId9" name="Drop Down 44">
              <controlPr defaultSize="0" autoLine="0" autoPict="0">
                <anchor moveWithCells="1">
                  <from>
                    <xdr:col>3</xdr:col>
                    <xdr:colOff>0</xdr:colOff>
                    <xdr:row>18</xdr:row>
                    <xdr:rowOff>167640</xdr:rowOff>
                  </from>
                  <to>
                    <xdr:col>3</xdr:col>
                    <xdr:colOff>1638300</xdr:colOff>
                    <xdr:row>19</xdr:row>
                    <xdr:rowOff>167640</xdr:rowOff>
                  </to>
                </anchor>
              </controlPr>
            </control>
          </mc:Choice>
        </mc:AlternateContent>
        <mc:AlternateContent xmlns:mc="http://schemas.openxmlformats.org/markup-compatibility/2006">
          <mc:Choice Requires="x14">
            <control shapeId="1072" r:id="rId10" name="Drop Down 48">
              <controlPr defaultSize="0" autoLine="0" autoPict="0">
                <anchor moveWithCells="1">
                  <from>
                    <xdr:col>3</xdr:col>
                    <xdr:colOff>15240</xdr:colOff>
                    <xdr:row>17</xdr:row>
                    <xdr:rowOff>15240</xdr:rowOff>
                  </from>
                  <to>
                    <xdr:col>3</xdr:col>
                    <xdr:colOff>1653540</xdr:colOff>
                    <xdr:row>18</xdr:row>
                    <xdr:rowOff>15240</xdr:rowOff>
                  </to>
                </anchor>
              </controlPr>
            </control>
          </mc:Choice>
        </mc:AlternateContent>
        <mc:AlternateContent xmlns:mc="http://schemas.openxmlformats.org/markup-compatibility/2006">
          <mc:Choice Requires="x14">
            <control shapeId="1073" r:id="rId11" name="Drop Down 49">
              <controlPr defaultSize="0" autoLine="0" autoPict="0">
                <anchor moveWithCells="1">
                  <from>
                    <xdr:col>7</xdr:col>
                    <xdr:colOff>15240</xdr:colOff>
                    <xdr:row>13</xdr:row>
                    <xdr:rowOff>0</xdr:rowOff>
                  </from>
                  <to>
                    <xdr:col>8</xdr:col>
                    <xdr:colOff>7620</xdr:colOff>
                    <xdr:row>14</xdr:row>
                    <xdr:rowOff>0</xdr:rowOff>
                  </to>
                </anchor>
              </controlPr>
            </control>
          </mc:Choice>
        </mc:AlternateContent>
        <mc:AlternateContent xmlns:mc="http://schemas.openxmlformats.org/markup-compatibility/2006">
          <mc:Choice Requires="x14">
            <control shapeId="1074" r:id="rId12" name="Check Box 50">
              <controlPr defaultSize="0" autoFill="0" autoLine="0" autoPict="0" altText="">
                <anchor moveWithCells="1">
                  <from>
                    <xdr:col>3</xdr:col>
                    <xdr:colOff>1242060</xdr:colOff>
                    <xdr:row>20</xdr:row>
                    <xdr:rowOff>152400</xdr:rowOff>
                  </from>
                  <to>
                    <xdr:col>4</xdr:col>
                    <xdr:colOff>15240</xdr:colOff>
                    <xdr:row>21</xdr:row>
                    <xdr:rowOff>167640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21">
    <tabColor theme="0" tint="-0.499984740745262"/>
  </sheetPr>
  <dimension ref="A1:L45"/>
  <sheetViews>
    <sheetView zoomScale="85" zoomScaleNormal="85" workbookViewId="0">
      <selection activeCell="D15" sqref="D15"/>
    </sheetView>
  </sheetViews>
  <sheetFormatPr baseColWidth="10" defaultColWidth="11.44140625" defaultRowHeight="14.4" x14ac:dyDescent="0.3"/>
  <cols>
    <col min="1" max="1" width="8.44140625" customWidth="1"/>
    <col min="2" max="2" width="40.33203125" customWidth="1"/>
    <col min="3" max="3" width="31.44140625" customWidth="1"/>
    <col min="4" max="4" width="20.33203125" style="251" customWidth="1"/>
    <col min="5" max="5" width="46.77734375" style="121" customWidth="1"/>
    <col min="6" max="6" width="17.77734375" customWidth="1"/>
    <col min="7" max="7" width="19.77734375" customWidth="1"/>
    <col min="8" max="8" width="70.6640625" customWidth="1"/>
    <col min="10" max="10" width="17.6640625" customWidth="1"/>
  </cols>
  <sheetData>
    <row r="1" spans="1:10" ht="21" x14ac:dyDescent="0.4">
      <c r="A1" s="188" t="s">
        <v>1066</v>
      </c>
    </row>
    <row r="2" spans="1:10" ht="14.55" customHeight="1" x14ac:dyDescent="0.3">
      <c r="A2" s="125" t="s">
        <v>1067</v>
      </c>
      <c r="F2" s="586"/>
      <c r="G2" s="586"/>
      <c r="H2" s="586"/>
      <c r="I2" s="121"/>
    </row>
    <row r="3" spans="1:10" x14ac:dyDescent="0.3">
      <c r="F3" s="586"/>
      <c r="G3" s="586"/>
      <c r="H3" s="586"/>
      <c r="I3" s="121"/>
    </row>
    <row r="5" spans="1:10" ht="43.2" x14ac:dyDescent="0.3">
      <c r="B5" s="124" t="s">
        <v>842</v>
      </c>
      <c r="C5" s="124" t="s">
        <v>843</v>
      </c>
      <c r="D5" s="252" t="s">
        <v>1069</v>
      </c>
      <c r="E5" s="151" t="s">
        <v>1068</v>
      </c>
      <c r="F5" s="151" t="s">
        <v>845</v>
      </c>
      <c r="G5" s="151" t="s">
        <v>846</v>
      </c>
      <c r="H5" s="151" t="s">
        <v>847</v>
      </c>
    </row>
    <row r="6" spans="1:10" ht="31.8" x14ac:dyDescent="0.3">
      <c r="B6" s="123" t="s">
        <v>848</v>
      </c>
      <c r="C6" s="698" t="s">
        <v>205</v>
      </c>
      <c r="D6" s="932" t="s">
        <v>1070</v>
      </c>
      <c r="E6" s="698" t="s">
        <v>849</v>
      </c>
      <c r="F6" s="1041">
        <v>3.0216183562523601E-4</v>
      </c>
      <c r="G6" s="931">
        <v>3.0216183562523601E-4</v>
      </c>
      <c r="H6" s="123"/>
    </row>
    <row r="7" spans="1:10" ht="43.2" customHeight="1" x14ac:dyDescent="0.3">
      <c r="B7" s="698" t="s">
        <v>70</v>
      </c>
      <c r="C7" s="698" t="s">
        <v>850</v>
      </c>
      <c r="D7" s="932" t="s">
        <v>1071</v>
      </c>
      <c r="E7" s="698" t="s">
        <v>1101</v>
      </c>
      <c r="F7" s="1042">
        <v>0.123841706952823</v>
      </c>
      <c r="G7" s="933">
        <v>0.123841706952823</v>
      </c>
      <c r="H7" s="123"/>
    </row>
    <row r="8" spans="1:10" ht="31.8" x14ac:dyDescent="0.3">
      <c r="B8" s="698" t="s">
        <v>66</v>
      </c>
      <c r="C8" s="698" t="s">
        <v>851</v>
      </c>
      <c r="D8" s="932" t="s">
        <v>1072</v>
      </c>
      <c r="E8" s="698" t="s">
        <v>1102</v>
      </c>
      <c r="F8" s="1043">
        <v>0.89086377518662097</v>
      </c>
      <c r="G8" s="931">
        <v>0.89086377518662097</v>
      </c>
      <c r="H8" s="123"/>
    </row>
    <row r="9" spans="1:10" ht="31.8" x14ac:dyDescent="0.3">
      <c r="B9" s="698" t="s">
        <v>74</v>
      </c>
      <c r="C9" s="123" t="s">
        <v>208</v>
      </c>
      <c r="D9" s="932" t="s">
        <v>1073</v>
      </c>
      <c r="E9" s="698" t="s">
        <v>852</v>
      </c>
      <c r="F9" s="1043">
        <v>1.78062722373809</v>
      </c>
      <c r="G9" s="933">
        <v>1.78062722373809</v>
      </c>
      <c r="H9" s="123"/>
      <c r="J9" s="121"/>
    </row>
    <row r="10" spans="1:10" ht="31.8" x14ac:dyDescent="0.3">
      <c r="B10" s="766" t="s">
        <v>59</v>
      </c>
      <c r="C10" s="710" t="s">
        <v>853</v>
      </c>
      <c r="D10" s="932" t="s">
        <v>1074</v>
      </c>
      <c r="E10" s="698" t="s">
        <v>854</v>
      </c>
      <c r="F10" s="1044">
        <v>0.93362117954734303</v>
      </c>
      <c r="G10" s="933">
        <v>0.93362117954734303</v>
      </c>
      <c r="H10" s="123" t="s">
        <v>370</v>
      </c>
      <c r="J10" s="121"/>
    </row>
    <row r="11" spans="1:10" ht="31.8" x14ac:dyDescent="0.3">
      <c r="B11" s="123" t="s">
        <v>855</v>
      </c>
      <c r="C11" s="698" t="s">
        <v>187</v>
      </c>
      <c r="D11" s="932" t="s">
        <v>1075</v>
      </c>
      <c r="E11" s="698" t="s">
        <v>856</v>
      </c>
      <c r="F11" s="1043">
        <v>0.18805126489888599</v>
      </c>
      <c r="G11" s="933">
        <v>0.18805126489888599</v>
      </c>
      <c r="H11" s="123" t="s">
        <v>90</v>
      </c>
      <c r="J11" s="121"/>
    </row>
    <row r="12" spans="1:10" ht="31.8" x14ac:dyDescent="0.3">
      <c r="B12" s="123" t="s">
        <v>857</v>
      </c>
      <c r="C12" s="123" t="s">
        <v>853</v>
      </c>
      <c r="D12" s="934" t="s">
        <v>1076</v>
      </c>
      <c r="E12" s="698" t="s">
        <v>1103</v>
      </c>
      <c r="F12" s="1043">
        <v>3.0876232910219401</v>
      </c>
      <c r="G12" s="931">
        <v>3.0876232910219401</v>
      </c>
      <c r="H12" s="123"/>
    </row>
    <row r="13" spans="1:10" ht="31.8" x14ac:dyDescent="0.3">
      <c r="B13" s="123" t="s">
        <v>858</v>
      </c>
      <c r="C13" s="123" t="s">
        <v>859</v>
      </c>
      <c r="D13" s="932" t="s">
        <v>1077</v>
      </c>
      <c r="E13" s="698" t="s">
        <v>860</v>
      </c>
      <c r="F13" s="1043">
        <v>1.02775953645623</v>
      </c>
      <c r="G13" s="933">
        <v>1.02775953645623</v>
      </c>
      <c r="H13" s="123" t="s">
        <v>861</v>
      </c>
    </row>
    <row r="14" spans="1:10" ht="31.8" x14ac:dyDescent="0.3">
      <c r="B14" s="123" t="s">
        <v>98</v>
      </c>
      <c r="C14" s="698" t="s">
        <v>862</v>
      </c>
      <c r="D14" s="932" t="s">
        <v>1078</v>
      </c>
      <c r="E14" s="698" t="s">
        <v>1104</v>
      </c>
      <c r="F14" s="1043">
        <v>6.9885013521882504</v>
      </c>
      <c r="G14" s="933">
        <v>6.9885013521882504</v>
      </c>
      <c r="H14" s="123"/>
    </row>
    <row r="15" spans="1:10" ht="31.8" x14ac:dyDescent="0.3">
      <c r="B15" s="123" t="s">
        <v>55</v>
      </c>
      <c r="C15" s="698" t="s">
        <v>863</v>
      </c>
      <c r="D15" s="932" t="s">
        <v>1079</v>
      </c>
      <c r="E15" s="698" t="s">
        <v>1105</v>
      </c>
      <c r="F15" s="1043">
        <v>7.4014060783665503</v>
      </c>
      <c r="G15" s="933">
        <v>7.4014060783665503</v>
      </c>
      <c r="H15" s="123" t="s">
        <v>1115</v>
      </c>
    </row>
    <row r="16" spans="1:10" ht="31.8" x14ac:dyDescent="0.3">
      <c r="B16" s="698" t="s">
        <v>792</v>
      </c>
      <c r="C16" s="123" t="s">
        <v>864</v>
      </c>
      <c r="D16" s="932" t="s">
        <v>1080</v>
      </c>
      <c r="E16" s="698" t="s">
        <v>865</v>
      </c>
      <c r="F16" s="1043">
        <v>0.88881663769215702</v>
      </c>
      <c r="G16" s="933">
        <v>0.88881663769215702</v>
      </c>
      <c r="H16" s="123"/>
    </row>
    <row r="17" spans="2:12" ht="31.8" x14ac:dyDescent="0.3">
      <c r="B17" s="698" t="s">
        <v>791</v>
      </c>
      <c r="C17" s="698" t="s">
        <v>866</v>
      </c>
      <c r="D17" s="932" t="s">
        <v>1081</v>
      </c>
      <c r="E17" s="698" t="s">
        <v>867</v>
      </c>
      <c r="F17" s="1043">
        <v>5.30216890574264</v>
      </c>
      <c r="G17" s="933">
        <v>5.30216890574264</v>
      </c>
      <c r="H17" s="123"/>
    </row>
    <row r="18" spans="2:12" ht="31.8" x14ac:dyDescent="0.3">
      <c r="B18" s="710" t="s">
        <v>868</v>
      </c>
      <c r="C18" s="766" t="s">
        <v>869</v>
      </c>
      <c r="D18" s="932" t="s">
        <v>1082</v>
      </c>
      <c r="E18" s="698" t="s">
        <v>1106</v>
      </c>
      <c r="F18" s="1044">
        <v>18.115765113496199</v>
      </c>
      <c r="G18" s="933">
        <v>18.115765113496199</v>
      </c>
      <c r="H18" s="123" t="s">
        <v>1116</v>
      </c>
    </row>
    <row r="19" spans="2:12" ht="31.8" x14ac:dyDescent="0.3">
      <c r="B19" s="698" t="s">
        <v>789</v>
      </c>
      <c r="C19" s="698" t="s">
        <v>870</v>
      </c>
      <c r="D19" s="932" t="s">
        <v>1083</v>
      </c>
      <c r="E19" s="935" t="s">
        <v>1107</v>
      </c>
      <c r="F19" s="1043">
        <v>30.687961733245999</v>
      </c>
      <c r="G19" s="933">
        <v>30.687961733245999</v>
      </c>
      <c r="H19" s="123" t="s">
        <v>1117</v>
      </c>
      <c r="J19" s="711"/>
    </row>
    <row r="20" spans="2:12" ht="54" customHeight="1" x14ac:dyDescent="0.3">
      <c r="B20" s="766" t="s">
        <v>93</v>
      </c>
      <c r="C20" s="766" t="s">
        <v>1112</v>
      </c>
      <c r="D20" s="932" t="s">
        <v>1084</v>
      </c>
      <c r="E20" s="935" t="s">
        <v>871</v>
      </c>
      <c r="F20" s="1044">
        <v>47.324882552236502</v>
      </c>
      <c r="G20" s="933">
        <v>47.324882552236502</v>
      </c>
      <c r="H20" s="710"/>
      <c r="J20" s="711"/>
    </row>
    <row r="21" spans="2:12" ht="31.8" x14ac:dyDescent="0.3">
      <c r="B21" s="698" t="s">
        <v>872</v>
      </c>
      <c r="C21" s="123" t="s">
        <v>873</v>
      </c>
      <c r="D21" s="932" t="s">
        <v>1085</v>
      </c>
      <c r="E21" s="935" t="s">
        <v>874</v>
      </c>
      <c r="F21" s="1043">
        <v>7.92464955695747</v>
      </c>
      <c r="G21" s="933">
        <v>7.92464955695747</v>
      </c>
      <c r="H21" s="123"/>
      <c r="J21" s="711"/>
    </row>
    <row r="22" spans="2:12" ht="31.8" x14ac:dyDescent="0.3">
      <c r="B22" s="123" t="s">
        <v>875</v>
      </c>
      <c r="C22" s="123" t="s">
        <v>876</v>
      </c>
      <c r="D22" s="932" t="s">
        <v>1086</v>
      </c>
      <c r="E22" s="698" t="s">
        <v>877</v>
      </c>
      <c r="F22" s="1043">
        <v>2.4540744473661888</v>
      </c>
      <c r="G22" s="933">
        <f>0.0773277806707269*31.736</f>
        <v>2.4540744473661888</v>
      </c>
      <c r="H22" s="698" t="s">
        <v>1118</v>
      </c>
    </row>
    <row r="23" spans="2:12" ht="31.8" x14ac:dyDescent="0.3">
      <c r="B23" s="123" t="s">
        <v>1124</v>
      </c>
      <c r="C23" s="123" t="s">
        <v>1125</v>
      </c>
      <c r="D23" s="932" t="s">
        <v>1087</v>
      </c>
      <c r="E23" s="698" t="s">
        <v>878</v>
      </c>
      <c r="F23" s="1045">
        <v>4.0755744529006703E-3</v>
      </c>
      <c r="G23" s="933">
        <v>4.0755744529006703E-3</v>
      </c>
      <c r="H23" s="710"/>
    </row>
    <row r="24" spans="2:12" ht="31.8" x14ac:dyDescent="0.3">
      <c r="B24" s="698" t="s">
        <v>879</v>
      </c>
      <c r="C24" s="698" t="s">
        <v>880</v>
      </c>
      <c r="D24" s="932" t="s">
        <v>1088</v>
      </c>
      <c r="E24" s="698" t="s">
        <v>881</v>
      </c>
      <c r="F24" s="1043">
        <v>2.36572683303653</v>
      </c>
      <c r="G24" s="931">
        <v>2.36572683303653</v>
      </c>
      <c r="H24" s="123"/>
      <c r="L24" s="246"/>
    </row>
    <row r="25" spans="2:12" ht="55.8" customHeight="1" x14ac:dyDescent="0.3">
      <c r="B25" s="123" t="s">
        <v>45</v>
      </c>
      <c r="C25" s="698" t="s">
        <v>882</v>
      </c>
      <c r="D25" s="932" t="s">
        <v>1128</v>
      </c>
      <c r="E25" s="698" t="s">
        <v>1126</v>
      </c>
      <c r="F25" s="1043">
        <v>1.7927209331059499</v>
      </c>
      <c r="G25" s="933">
        <v>1.7927209331059499</v>
      </c>
      <c r="H25" s="123" t="s">
        <v>1129</v>
      </c>
    </row>
    <row r="26" spans="2:12" ht="31.8" x14ac:dyDescent="0.3">
      <c r="B26" s="123" t="s">
        <v>883</v>
      </c>
      <c r="C26" s="698" t="s">
        <v>884</v>
      </c>
      <c r="D26" s="932" t="s">
        <v>1089</v>
      </c>
      <c r="E26" s="698" t="s">
        <v>885</v>
      </c>
      <c r="F26" s="1043">
        <v>7.2692171906594796</v>
      </c>
      <c r="G26" s="933">
        <v>7.2692171906594796</v>
      </c>
      <c r="H26" s="123" t="s">
        <v>1119</v>
      </c>
    </row>
    <row r="27" spans="2:12" ht="31.8" x14ac:dyDescent="0.3">
      <c r="B27" s="123" t="s">
        <v>886</v>
      </c>
      <c r="C27" s="698" t="s">
        <v>887</v>
      </c>
      <c r="D27" s="932" t="s">
        <v>1090</v>
      </c>
      <c r="E27" s="698" t="s">
        <v>888</v>
      </c>
      <c r="F27" s="1043">
        <v>1.37240987234004</v>
      </c>
      <c r="G27" s="933">
        <v>1.37240987234004</v>
      </c>
      <c r="H27" s="123"/>
    </row>
    <row r="28" spans="2:12" ht="25.2" customHeight="1" x14ac:dyDescent="0.3">
      <c r="B28" s="710" t="s">
        <v>889</v>
      </c>
      <c r="C28" s="766" t="s">
        <v>886</v>
      </c>
      <c r="D28" s="932"/>
      <c r="E28" s="698"/>
      <c r="F28" s="1044"/>
      <c r="G28" s="933"/>
      <c r="H28" s="698" t="s">
        <v>890</v>
      </c>
    </row>
    <row r="29" spans="2:12" ht="31.8" x14ac:dyDescent="0.3">
      <c r="B29" s="698" t="s">
        <v>891</v>
      </c>
      <c r="C29" s="698" t="s">
        <v>892</v>
      </c>
      <c r="D29" s="932" t="s">
        <v>1091</v>
      </c>
      <c r="E29" s="698" t="s">
        <v>893</v>
      </c>
      <c r="F29" s="1043">
        <v>1.05898484596833</v>
      </c>
      <c r="G29" s="933">
        <v>1.05898484596833</v>
      </c>
      <c r="H29" s="698"/>
    </row>
    <row r="30" spans="2:12" ht="31.8" x14ac:dyDescent="0.3">
      <c r="B30" s="123" t="s">
        <v>894</v>
      </c>
      <c r="C30" s="123" t="s">
        <v>892</v>
      </c>
      <c r="D30" s="932" t="s">
        <v>1091</v>
      </c>
      <c r="E30" s="698" t="s">
        <v>893</v>
      </c>
      <c r="F30" s="1043">
        <v>1.05898484596833</v>
      </c>
      <c r="G30" s="933">
        <v>1.05898484596833</v>
      </c>
      <c r="H30" s="698"/>
    </row>
    <row r="31" spans="2:12" ht="31.8" x14ac:dyDescent="0.3">
      <c r="B31" s="123" t="s">
        <v>895</v>
      </c>
      <c r="C31" s="698" t="s">
        <v>896</v>
      </c>
      <c r="D31" s="932" t="s">
        <v>1092</v>
      </c>
      <c r="E31" s="698" t="s">
        <v>897</v>
      </c>
      <c r="F31" s="1043">
        <v>2.4046047358672702</v>
      </c>
      <c r="G31" s="933">
        <v>2.4046047358672702</v>
      </c>
      <c r="H31" s="123"/>
    </row>
    <row r="32" spans="2:12" ht="31.8" x14ac:dyDescent="0.3">
      <c r="B32" s="698" t="s">
        <v>898</v>
      </c>
      <c r="C32" s="123" t="s">
        <v>899</v>
      </c>
      <c r="D32" s="932" t="s">
        <v>1093</v>
      </c>
      <c r="E32" s="698" t="s">
        <v>1108</v>
      </c>
      <c r="F32" s="1043">
        <v>0.22275871606011299</v>
      </c>
      <c r="G32" s="933">
        <v>0.22275871606011299</v>
      </c>
      <c r="H32" s="698" t="s">
        <v>900</v>
      </c>
    </row>
    <row r="33" spans="2:8" ht="31.8" x14ac:dyDescent="0.3">
      <c r="B33" s="123" t="s">
        <v>275</v>
      </c>
      <c r="C33" s="123" t="s">
        <v>901</v>
      </c>
      <c r="D33" s="932" t="s">
        <v>1094</v>
      </c>
      <c r="E33" s="698" t="s">
        <v>1109</v>
      </c>
      <c r="F33" s="1042">
        <v>5.5156258787448197E-3</v>
      </c>
      <c r="G33" s="933">
        <v>5.5156258787448197E-3</v>
      </c>
      <c r="H33" s="123"/>
    </row>
    <row r="34" spans="2:8" ht="31.8" x14ac:dyDescent="0.3">
      <c r="B34" s="698" t="s">
        <v>902</v>
      </c>
      <c r="C34" s="123" t="s">
        <v>903</v>
      </c>
      <c r="D34" s="932" t="s">
        <v>1095</v>
      </c>
      <c r="E34" s="698" t="s">
        <v>904</v>
      </c>
      <c r="F34" s="1043">
        <v>2.76093978407695E-2</v>
      </c>
      <c r="G34" s="933">
        <v>2.76093978407695E-2</v>
      </c>
      <c r="H34" s="123"/>
    </row>
    <row r="35" spans="2:8" ht="31.8" x14ac:dyDescent="0.3">
      <c r="B35" s="123" t="s">
        <v>905</v>
      </c>
      <c r="C35" s="123" t="s">
        <v>906</v>
      </c>
      <c r="D35" s="934" t="s">
        <v>1096</v>
      </c>
      <c r="E35" s="698" t="s">
        <v>907</v>
      </c>
      <c r="F35" s="1043">
        <v>0.31740161592445798</v>
      </c>
      <c r="G35" s="933">
        <v>0.31740161592445798</v>
      </c>
      <c r="H35" s="698" t="s">
        <v>1120</v>
      </c>
    </row>
    <row r="36" spans="2:8" ht="31.8" x14ac:dyDescent="0.3">
      <c r="B36" s="698" t="s">
        <v>132</v>
      </c>
      <c r="C36" s="123" t="s">
        <v>908</v>
      </c>
      <c r="D36" s="932" t="s">
        <v>1097</v>
      </c>
      <c r="E36" s="698" t="s">
        <v>1110</v>
      </c>
      <c r="F36" s="1043">
        <v>0.33462762145363201</v>
      </c>
      <c r="G36" s="933">
        <v>0.33462762145363201</v>
      </c>
      <c r="H36" s="123"/>
    </row>
    <row r="37" spans="2:8" ht="31.8" x14ac:dyDescent="0.3">
      <c r="B37" s="123" t="s">
        <v>50</v>
      </c>
      <c r="C37" s="123" t="s">
        <v>909</v>
      </c>
      <c r="D37" s="932" t="s">
        <v>1098</v>
      </c>
      <c r="E37" s="698" t="s">
        <v>1111</v>
      </c>
      <c r="F37" s="1043">
        <v>23.373808915996801</v>
      </c>
      <c r="G37" s="933">
        <v>23.373808915996801</v>
      </c>
      <c r="H37" s="123"/>
    </row>
    <row r="38" spans="2:8" ht="31.8" x14ac:dyDescent="0.3">
      <c r="B38" s="698" t="s">
        <v>910</v>
      </c>
      <c r="C38" s="123" t="s">
        <v>911</v>
      </c>
      <c r="D38" s="932" t="s">
        <v>1099</v>
      </c>
      <c r="E38" s="698" t="s">
        <v>912</v>
      </c>
      <c r="F38" s="1043">
        <v>0.46693753526885901</v>
      </c>
      <c r="G38" s="933">
        <v>0.46693753526885901</v>
      </c>
      <c r="H38" s="123"/>
    </row>
    <row r="39" spans="2:8" ht="31.8" x14ac:dyDescent="0.3">
      <c r="B39" s="163" t="s">
        <v>913</v>
      </c>
      <c r="C39" s="162" t="s">
        <v>914</v>
      </c>
      <c r="D39" s="932" t="s">
        <v>1100</v>
      </c>
      <c r="E39" s="698" t="s">
        <v>915</v>
      </c>
      <c r="F39" s="1046">
        <v>3.8428324805605103E-2</v>
      </c>
      <c r="G39" s="933">
        <v>3.8428324805605103E-2</v>
      </c>
      <c r="H39" s="123"/>
    </row>
    <row r="40" spans="2:8" ht="49.8" customHeight="1" x14ac:dyDescent="0.3">
      <c r="B40" s="123" t="s">
        <v>1114</v>
      </c>
      <c r="C40" s="123" t="s">
        <v>1113</v>
      </c>
      <c r="D40" s="253"/>
      <c r="E40" s="767" t="s">
        <v>918</v>
      </c>
      <c r="F40" s="1047">
        <f>C45</f>
        <v>380</v>
      </c>
      <c r="G40" s="449">
        <f>C45</f>
        <v>380</v>
      </c>
      <c r="H40" s="123" t="s">
        <v>919</v>
      </c>
    </row>
    <row r="43" spans="2:8" ht="15.6" x14ac:dyDescent="0.3">
      <c r="B43" s="2" t="s">
        <v>1148</v>
      </c>
    </row>
    <row r="44" spans="2:8" ht="28.8" x14ac:dyDescent="0.3">
      <c r="B44" s="443" t="s">
        <v>1150</v>
      </c>
      <c r="C44" s="449">
        <f>'CO2-Eq.'!C44</f>
        <v>380</v>
      </c>
      <c r="D44" s="253" t="s">
        <v>919</v>
      </c>
      <c r="E44" s="767" t="s">
        <v>918</v>
      </c>
      <c r="F44" s="957" t="s">
        <v>1152</v>
      </c>
    </row>
    <row r="45" spans="2:8" x14ac:dyDescent="0.3">
      <c r="B45" s="444" t="s">
        <v>920</v>
      </c>
      <c r="C45" s="956">
        <f>'CO2-Eq.'!C45</f>
        <v>380</v>
      </c>
      <c r="D45" s="445" t="s">
        <v>919</v>
      </c>
      <c r="E45" s="170"/>
      <c r="F45" t="s">
        <v>1121</v>
      </c>
    </row>
  </sheetData>
  <pageMargins left="0.7" right="0.7" top="0.78740157499999996" bottom="0.78740157499999996"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8">
    <tabColor theme="0" tint="-0.499984740745262"/>
  </sheetPr>
  <dimension ref="B1:X116"/>
  <sheetViews>
    <sheetView zoomScale="70" zoomScaleNormal="70" workbookViewId="0">
      <selection activeCell="I7" sqref="I7"/>
    </sheetView>
  </sheetViews>
  <sheetFormatPr baseColWidth="10" defaultColWidth="8.77734375" defaultRowHeight="14.4" x14ac:dyDescent="0.3"/>
  <cols>
    <col min="2" max="2" width="30.6640625" bestFit="1" customWidth="1"/>
    <col min="3" max="3" width="12.6640625" customWidth="1"/>
    <col min="6" max="6" width="39.6640625" customWidth="1"/>
    <col min="7" max="7" width="39.109375" customWidth="1"/>
    <col min="8" max="8" width="8.109375" customWidth="1"/>
    <col min="9" max="9" width="15.33203125" customWidth="1"/>
    <col min="10" max="10" width="25.6640625" customWidth="1"/>
    <col min="11" max="11" width="19.77734375" customWidth="1"/>
    <col min="12" max="12" width="18.33203125" customWidth="1"/>
    <col min="13" max="13" width="26.109375" customWidth="1"/>
    <col min="14" max="14" width="30" customWidth="1"/>
    <col min="15" max="15" width="18.6640625" customWidth="1"/>
    <col min="16" max="16" width="18.33203125" customWidth="1"/>
    <col min="17" max="17" width="24.33203125" customWidth="1"/>
    <col min="18" max="18" width="25.6640625" customWidth="1"/>
    <col min="19" max="19" width="23" customWidth="1"/>
    <col min="20" max="20" width="9.44140625" customWidth="1"/>
  </cols>
  <sheetData>
    <row r="1" spans="2:10" ht="46.8" x14ac:dyDescent="0.45">
      <c r="B1" s="753" t="s">
        <v>921</v>
      </c>
    </row>
    <row r="2" spans="2:10" ht="18" x14ac:dyDescent="0.35">
      <c r="B2" s="290"/>
    </row>
    <row r="3" spans="2:10" ht="29.55" customHeight="1" x14ac:dyDescent="0.35">
      <c r="B3" s="291" t="s">
        <v>101</v>
      </c>
      <c r="C3" s="1159" t="s">
        <v>921</v>
      </c>
      <c r="D3" s="1160"/>
      <c r="E3" s="1161"/>
      <c r="F3" s="292" t="s">
        <v>606</v>
      </c>
      <c r="G3" s="292" t="s">
        <v>285</v>
      </c>
      <c r="I3" s="1158" t="s">
        <v>922</v>
      </c>
      <c r="J3" s="1158"/>
    </row>
    <row r="4" spans="2:10" x14ac:dyDescent="0.3">
      <c r="B4" s="293"/>
      <c r="C4" s="293" t="s">
        <v>923</v>
      </c>
      <c r="D4" s="293" t="s">
        <v>79</v>
      </c>
      <c r="E4" s="293" t="s">
        <v>924</v>
      </c>
      <c r="F4" s="293"/>
      <c r="G4" s="293"/>
      <c r="I4" s="1158"/>
      <c r="J4" s="1158"/>
    </row>
    <row r="5" spans="2:10" ht="14.55" customHeight="1" x14ac:dyDescent="0.3">
      <c r="B5" s="162"/>
      <c r="C5" s="173"/>
      <c r="D5" s="173"/>
      <c r="E5" s="173"/>
      <c r="F5" s="173"/>
      <c r="G5" s="173"/>
      <c r="I5" s="1158"/>
      <c r="J5" s="1158"/>
    </row>
    <row r="6" spans="2:10" x14ac:dyDescent="0.3">
      <c r="B6" s="294" t="s">
        <v>925</v>
      </c>
      <c r="C6" s="294"/>
      <c r="D6" s="869">
        <v>0.99</v>
      </c>
      <c r="E6" s="294">
        <v>0.99</v>
      </c>
      <c r="F6" s="295" t="s">
        <v>135</v>
      </c>
      <c r="G6" s="294"/>
      <c r="H6" s="256"/>
      <c r="I6" s="70"/>
      <c r="J6" s="70"/>
    </row>
    <row r="7" spans="2:10" x14ac:dyDescent="0.3">
      <c r="B7" s="294"/>
      <c r="C7" s="294"/>
      <c r="D7" s="294"/>
      <c r="E7" s="294"/>
      <c r="F7" s="295"/>
      <c r="G7" s="294"/>
      <c r="H7" s="256"/>
    </row>
    <row r="8" spans="2:10" x14ac:dyDescent="0.3">
      <c r="B8" s="870" t="s">
        <v>926</v>
      </c>
      <c r="C8" s="294"/>
      <c r="D8" s="294"/>
      <c r="E8" s="294"/>
      <c r="F8" s="295"/>
      <c r="G8" s="294"/>
      <c r="H8" s="256"/>
    </row>
    <row r="9" spans="2:10" ht="14.55" customHeight="1" x14ac:dyDescent="0.3">
      <c r="B9" s="294" t="s">
        <v>93</v>
      </c>
      <c r="C9" s="295"/>
      <c r="D9" s="874">
        <v>0.96</v>
      </c>
      <c r="E9" s="296">
        <f>D9</f>
        <v>0.96</v>
      </c>
      <c r="F9" s="295" t="s">
        <v>927</v>
      </c>
      <c r="G9" s="294" t="s">
        <v>928</v>
      </c>
    </row>
    <row r="10" spans="2:10" ht="14.55" customHeight="1" x14ac:dyDescent="0.3">
      <c r="B10" s="294" t="s">
        <v>94</v>
      </c>
      <c r="C10" s="295"/>
      <c r="D10" s="874">
        <v>0.98</v>
      </c>
      <c r="E10" s="296">
        <f t="shared" ref="E10:E12" si="0">D10</f>
        <v>0.98</v>
      </c>
      <c r="F10" s="295" t="s">
        <v>927</v>
      </c>
      <c r="G10" s="294" t="s">
        <v>928</v>
      </c>
      <c r="I10" s="121"/>
      <c r="J10" s="121"/>
    </row>
    <row r="11" spans="2:10" x14ac:dyDescent="0.3">
      <c r="B11" s="294" t="s">
        <v>98</v>
      </c>
      <c r="C11" s="295"/>
      <c r="D11" s="874">
        <v>0.95</v>
      </c>
      <c r="E11" s="296">
        <f t="shared" si="0"/>
        <v>0.95</v>
      </c>
      <c r="F11" s="295" t="s">
        <v>927</v>
      </c>
      <c r="G11" s="294" t="s">
        <v>928</v>
      </c>
      <c r="I11" s="121"/>
      <c r="J11" s="121"/>
    </row>
    <row r="12" spans="2:10" x14ac:dyDescent="0.3">
      <c r="B12" s="755" t="s">
        <v>929</v>
      </c>
      <c r="C12" s="297"/>
      <c r="D12" s="877">
        <v>0.99</v>
      </c>
      <c r="E12" s="296">
        <f t="shared" si="0"/>
        <v>0.99</v>
      </c>
      <c r="F12" s="295" t="s">
        <v>927</v>
      </c>
      <c r="G12" s="300" t="s">
        <v>930</v>
      </c>
      <c r="H12" s="297"/>
      <c r="I12" s="121"/>
      <c r="J12" s="121"/>
    </row>
    <row r="13" spans="2:10" x14ac:dyDescent="0.3">
      <c r="B13" s="300"/>
      <c r="C13" s="297"/>
      <c r="D13" s="301"/>
      <c r="E13" s="301"/>
      <c r="F13" s="297"/>
      <c r="G13" s="300"/>
      <c r="H13" s="297"/>
      <c r="I13" s="121"/>
      <c r="J13" s="121"/>
    </row>
    <row r="14" spans="2:10" x14ac:dyDescent="0.3">
      <c r="B14" s="871" t="s">
        <v>931</v>
      </c>
      <c r="C14" s="297"/>
      <c r="D14" s="297"/>
      <c r="E14" s="297"/>
      <c r="F14" s="297"/>
      <c r="G14" s="297"/>
      <c r="H14" s="299"/>
      <c r="I14" s="121"/>
      <c r="J14" s="121"/>
    </row>
    <row r="15" spans="2:10" x14ac:dyDescent="0.3">
      <c r="B15" s="754" t="s">
        <v>96</v>
      </c>
      <c r="C15" s="294"/>
      <c r="D15" s="874">
        <v>0.95</v>
      </c>
      <c r="E15" s="296">
        <f>D15</f>
        <v>0.95</v>
      </c>
      <c r="F15" s="295" t="s">
        <v>135</v>
      </c>
      <c r="G15" s="754" t="s">
        <v>928</v>
      </c>
      <c r="H15" s="256"/>
    </row>
    <row r="16" spans="2:10" x14ac:dyDescent="0.3">
      <c r="B16" s="294" t="s">
        <v>95</v>
      </c>
      <c r="C16" s="294"/>
      <c r="D16" s="874">
        <f>'R1_Hydro_MEFA'!T124</f>
        <v>0.86</v>
      </c>
      <c r="E16" s="296">
        <f t="shared" ref="E16:E20" si="1">D16</f>
        <v>0.86</v>
      </c>
      <c r="F16" s="295" t="s">
        <v>927</v>
      </c>
      <c r="G16" s="754" t="s">
        <v>932</v>
      </c>
      <c r="H16" s="256"/>
    </row>
    <row r="17" spans="2:24" x14ac:dyDescent="0.3">
      <c r="B17" s="294" t="s">
        <v>97</v>
      </c>
      <c r="C17" s="294"/>
      <c r="D17" s="874">
        <v>0.97</v>
      </c>
      <c r="E17" s="296">
        <f t="shared" si="1"/>
        <v>0.97</v>
      </c>
      <c r="F17" s="295" t="s">
        <v>927</v>
      </c>
      <c r="G17" s="294" t="s">
        <v>928</v>
      </c>
    </row>
    <row r="18" spans="2:24" x14ac:dyDescent="0.3">
      <c r="B18" s="294" t="s">
        <v>933</v>
      </c>
      <c r="C18" s="294"/>
      <c r="D18" s="874">
        <v>0.99</v>
      </c>
      <c r="E18" s="296">
        <f t="shared" si="1"/>
        <v>0.99</v>
      </c>
      <c r="F18" s="295" t="s">
        <v>927</v>
      </c>
      <c r="G18" s="295" t="s">
        <v>930</v>
      </c>
    </row>
    <row r="19" spans="2:24" x14ac:dyDescent="0.3">
      <c r="B19" s="163" t="s">
        <v>934</v>
      </c>
      <c r="C19" s="162"/>
      <c r="D19" s="874">
        <v>0.98</v>
      </c>
      <c r="E19" s="296">
        <f t="shared" si="1"/>
        <v>0.98</v>
      </c>
      <c r="F19" s="295" t="s">
        <v>927</v>
      </c>
      <c r="G19" s="163" t="s">
        <v>935</v>
      </c>
      <c r="H19" s="297"/>
    </row>
    <row r="20" spans="2:24" x14ac:dyDescent="0.3">
      <c r="B20" s="163" t="s">
        <v>936</v>
      </c>
      <c r="C20" s="162"/>
      <c r="D20" s="874">
        <v>0.99</v>
      </c>
      <c r="E20" s="296">
        <f t="shared" si="1"/>
        <v>0.99</v>
      </c>
      <c r="F20" s="295" t="s">
        <v>927</v>
      </c>
      <c r="G20" s="163" t="s">
        <v>935</v>
      </c>
    </row>
    <row r="21" spans="2:24" x14ac:dyDescent="0.3">
      <c r="B21" s="162"/>
      <c r="C21" s="162"/>
      <c r="D21" s="162"/>
      <c r="E21" s="162"/>
      <c r="F21" s="162"/>
      <c r="G21" s="162"/>
    </row>
    <row r="22" spans="2:24" x14ac:dyDescent="0.3">
      <c r="B22" s="156" t="s">
        <v>937</v>
      </c>
      <c r="C22" s="162"/>
      <c r="D22" s="162"/>
      <c r="E22" s="162"/>
      <c r="F22" s="162"/>
      <c r="G22" s="162"/>
    </row>
    <row r="23" spans="2:24" x14ac:dyDescent="0.3">
      <c r="B23" s="754" t="s">
        <v>938</v>
      </c>
      <c r="C23" s="303">
        <f>E11</f>
        <v>0.95</v>
      </c>
      <c r="D23" s="869">
        <v>0.95</v>
      </c>
      <c r="E23" s="302">
        <f t="shared" ref="E23:E28" si="2">C23*D23</f>
        <v>0.90249999999999997</v>
      </c>
      <c r="F23" s="295" t="s">
        <v>135</v>
      </c>
      <c r="G23" s="294" t="s">
        <v>939</v>
      </c>
    </row>
    <row r="24" spans="2:24" x14ac:dyDescent="0.3">
      <c r="B24" s="754" t="s">
        <v>940</v>
      </c>
      <c r="C24" s="303">
        <f>E12</f>
        <v>0.99</v>
      </c>
      <c r="D24" s="869">
        <v>0.9</v>
      </c>
      <c r="E24" s="302">
        <f t="shared" si="2"/>
        <v>0.89100000000000001</v>
      </c>
      <c r="F24" s="295" t="s">
        <v>135</v>
      </c>
      <c r="G24" s="294" t="s">
        <v>941</v>
      </c>
    </row>
    <row r="25" spans="2:24" x14ac:dyDescent="0.3">
      <c r="B25" s="754" t="s">
        <v>942</v>
      </c>
      <c r="C25" s="303">
        <f>E9</f>
        <v>0.96</v>
      </c>
      <c r="D25" s="874">
        <v>0.99</v>
      </c>
      <c r="E25" s="304">
        <f t="shared" si="2"/>
        <v>0.95039999999999991</v>
      </c>
      <c r="F25" s="300" t="s">
        <v>943</v>
      </c>
      <c r="G25" s="294"/>
    </row>
    <row r="26" spans="2:24" x14ac:dyDescent="0.3">
      <c r="B26" s="754" t="s">
        <v>352</v>
      </c>
      <c r="C26" s="303">
        <f>E25</f>
        <v>0.95039999999999991</v>
      </c>
      <c r="D26" s="875">
        <v>0.99</v>
      </c>
      <c r="E26" s="298">
        <f t="shared" si="2"/>
        <v>0.94089599999999995</v>
      </c>
      <c r="F26" s="300" t="s">
        <v>943</v>
      </c>
      <c r="G26" s="299"/>
      <c r="H26" s="297"/>
    </row>
    <row r="27" spans="2:24" x14ac:dyDescent="0.3">
      <c r="B27" s="299" t="s">
        <v>195</v>
      </c>
      <c r="C27" s="303">
        <f>E26</f>
        <v>0.94089599999999995</v>
      </c>
      <c r="D27" s="876">
        <v>0.99</v>
      </c>
      <c r="E27" s="301">
        <f t="shared" si="2"/>
        <v>0.93148703999999993</v>
      </c>
      <c r="F27" s="300" t="s">
        <v>943</v>
      </c>
      <c r="G27" s="299" t="s">
        <v>944</v>
      </c>
      <c r="H27" s="297"/>
    </row>
    <row r="28" spans="2:24" x14ac:dyDescent="0.3">
      <c r="B28" s="756" t="s">
        <v>945</v>
      </c>
      <c r="C28" s="303">
        <f>E25</f>
        <v>0.95039999999999991</v>
      </c>
      <c r="D28" s="876">
        <v>0.99</v>
      </c>
      <c r="E28" s="301">
        <f t="shared" si="2"/>
        <v>0.94089599999999995</v>
      </c>
      <c r="F28" s="300" t="s">
        <v>943</v>
      </c>
      <c r="G28" s="299" t="s">
        <v>946</v>
      </c>
      <c r="H28" s="297"/>
    </row>
    <row r="29" spans="2:24" x14ac:dyDescent="0.3">
      <c r="B29" s="297"/>
      <c r="C29" s="446"/>
      <c r="D29" s="297"/>
      <c r="E29" s="297"/>
      <c r="F29" s="297"/>
      <c r="G29" s="297"/>
      <c r="H29" s="297"/>
    </row>
    <row r="30" spans="2:24" x14ac:dyDescent="0.3">
      <c r="B30" s="872" t="s">
        <v>947</v>
      </c>
      <c r="C30" s="446"/>
      <c r="D30" s="297"/>
      <c r="E30" s="297"/>
      <c r="F30" s="297"/>
      <c r="G30" s="297"/>
      <c r="H30" s="297"/>
    </row>
    <row r="31" spans="2:24" x14ac:dyDescent="0.3">
      <c r="B31" s="300" t="s">
        <v>427</v>
      </c>
      <c r="C31" s="303">
        <f>E19</f>
        <v>0.98</v>
      </c>
      <c r="D31" s="876">
        <v>0.9</v>
      </c>
      <c r="E31" s="299">
        <f t="shared" ref="E31:E37" si="3">C31*D31</f>
        <v>0.88200000000000001</v>
      </c>
      <c r="F31" s="295" t="s">
        <v>135</v>
      </c>
      <c r="G31" s="297" t="s">
        <v>948</v>
      </c>
      <c r="H31" s="297"/>
      <c r="U31" s="257"/>
      <c r="V31" s="257"/>
      <c r="W31" s="257"/>
      <c r="X31" s="257"/>
    </row>
    <row r="32" spans="2:24" x14ac:dyDescent="0.3">
      <c r="B32" s="300" t="s">
        <v>427</v>
      </c>
      <c r="C32" s="303">
        <f>E20</f>
        <v>0.99</v>
      </c>
      <c r="D32" s="876">
        <v>0.98</v>
      </c>
      <c r="E32" s="299">
        <f t="shared" si="3"/>
        <v>0.97019999999999995</v>
      </c>
      <c r="F32" s="295" t="s">
        <v>135</v>
      </c>
      <c r="G32" s="297" t="s">
        <v>949</v>
      </c>
      <c r="H32" s="297"/>
      <c r="U32" s="257"/>
      <c r="V32" s="257"/>
      <c r="W32" s="257"/>
      <c r="X32" s="257"/>
    </row>
    <row r="33" spans="2:24" x14ac:dyDescent="0.3">
      <c r="B33" s="756" t="s">
        <v>940</v>
      </c>
      <c r="C33" s="303">
        <f>E18</f>
        <v>0.99</v>
      </c>
      <c r="D33" s="876">
        <v>0.9</v>
      </c>
      <c r="E33" s="302">
        <f t="shared" si="3"/>
        <v>0.89100000000000001</v>
      </c>
      <c r="F33" s="941" t="s">
        <v>135</v>
      </c>
      <c r="G33" s="299" t="s">
        <v>941</v>
      </c>
      <c r="H33" s="297"/>
      <c r="U33" s="257"/>
      <c r="V33" s="257"/>
      <c r="W33" s="257"/>
      <c r="X33" s="257"/>
    </row>
    <row r="34" spans="2:24" x14ac:dyDescent="0.3">
      <c r="B34" s="299" t="s">
        <v>950</v>
      </c>
      <c r="C34" s="296">
        <f>E17</f>
        <v>0.97</v>
      </c>
      <c r="D34" s="876">
        <v>0.9</v>
      </c>
      <c r="E34" s="302">
        <f t="shared" si="3"/>
        <v>0.873</v>
      </c>
      <c r="F34" s="941" t="s">
        <v>135</v>
      </c>
      <c r="G34" s="299" t="s">
        <v>951</v>
      </c>
      <c r="H34" s="297"/>
      <c r="U34" s="257"/>
      <c r="V34" s="257"/>
      <c r="W34" s="257"/>
      <c r="X34" s="257"/>
    </row>
    <row r="35" spans="2:24" x14ac:dyDescent="0.3">
      <c r="B35" s="754" t="s">
        <v>394</v>
      </c>
      <c r="C35" s="296">
        <f>E15</f>
        <v>0.95</v>
      </c>
      <c r="D35" s="874">
        <v>0.99</v>
      </c>
      <c r="E35" s="304">
        <f t="shared" si="3"/>
        <v>0.9405</v>
      </c>
      <c r="F35" s="940" t="s">
        <v>954</v>
      </c>
      <c r="G35" s="256"/>
      <c r="H35" s="297"/>
      <c r="U35" s="257"/>
      <c r="V35" s="257"/>
      <c r="W35" s="257"/>
      <c r="X35" s="257"/>
    </row>
    <row r="36" spans="2:24" x14ac:dyDescent="0.3">
      <c r="B36" s="754" t="s">
        <v>200</v>
      </c>
      <c r="C36" s="296">
        <f>E35</f>
        <v>0.9405</v>
      </c>
      <c r="D36" s="869">
        <v>0.99</v>
      </c>
      <c r="E36" s="302">
        <f>C36*D36</f>
        <v>0.93109500000000001</v>
      </c>
      <c r="F36" s="940" t="s">
        <v>954</v>
      </c>
      <c r="G36" s="256" t="s">
        <v>952</v>
      </c>
      <c r="H36" s="297"/>
      <c r="U36" s="257"/>
      <c r="V36" s="257"/>
      <c r="W36" s="257"/>
      <c r="X36" s="257"/>
    </row>
    <row r="37" spans="2:24" x14ac:dyDescent="0.3">
      <c r="B37" s="305" t="s">
        <v>953</v>
      </c>
      <c r="C37" s="447">
        <f>E16</f>
        <v>0.86</v>
      </c>
      <c r="D37" s="878">
        <v>0.85</v>
      </c>
      <c r="E37" s="306">
        <f t="shared" si="3"/>
        <v>0.73099999999999998</v>
      </c>
      <c r="F37" s="759" t="s">
        <v>954</v>
      </c>
      <c r="G37" s="939" t="s">
        <v>424</v>
      </c>
      <c r="U37" s="257"/>
      <c r="V37" s="257"/>
      <c r="W37" s="257"/>
      <c r="X37" s="257"/>
    </row>
    <row r="38" spans="2:24" x14ac:dyDescent="0.3">
      <c r="B38" s="257"/>
      <c r="C38" s="257"/>
      <c r="D38" s="257"/>
      <c r="E38" s="307"/>
      <c r="F38" s="257"/>
      <c r="G38" s="257"/>
      <c r="U38" s="257"/>
      <c r="V38" s="257"/>
      <c r="W38" s="257"/>
      <c r="X38" s="257"/>
    </row>
    <row r="39" spans="2:24" x14ac:dyDescent="0.3">
      <c r="B39" s="257"/>
      <c r="C39" s="257"/>
      <c r="D39" s="257"/>
      <c r="E39" s="307"/>
      <c r="F39" s="257"/>
      <c r="G39" s="257"/>
      <c r="U39" s="257"/>
      <c r="V39" s="257"/>
      <c r="W39" s="257"/>
      <c r="X39" s="257"/>
    </row>
    <row r="40" spans="2:24" x14ac:dyDescent="0.3">
      <c r="U40" s="257"/>
      <c r="V40" s="257"/>
      <c r="W40" s="257"/>
      <c r="X40" s="257"/>
    </row>
    <row r="41" spans="2:24" ht="18" x14ac:dyDescent="0.35">
      <c r="B41" s="308" t="s">
        <v>102</v>
      </c>
      <c r="C41" s="1155" t="s">
        <v>921</v>
      </c>
      <c r="D41" s="1156"/>
      <c r="E41" s="1157"/>
      <c r="F41" s="292" t="s">
        <v>606</v>
      </c>
      <c r="G41" s="292" t="s">
        <v>285</v>
      </c>
      <c r="U41" s="257"/>
      <c r="V41" s="257"/>
      <c r="W41" s="257"/>
      <c r="X41" s="257"/>
    </row>
    <row r="42" spans="2:24" x14ac:dyDescent="0.3">
      <c r="B42" s="309"/>
      <c r="C42" s="757" t="s">
        <v>923</v>
      </c>
      <c r="D42" s="293" t="s">
        <v>79</v>
      </c>
      <c r="E42" s="293" t="s">
        <v>99</v>
      </c>
      <c r="F42" s="293"/>
      <c r="G42" s="293"/>
      <c r="U42" s="257"/>
      <c r="V42" s="257"/>
      <c r="W42" s="257"/>
      <c r="X42" s="257"/>
    </row>
    <row r="43" spans="2:24" x14ac:dyDescent="0.3">
      <c r="B43" s="294"/>
      <c r="C43" s="310"/>
      <c r="D43" s="310"/>
      <c r="E43" s="310"/>
      <c r="F43" s="310"/>
      <c r="G43" s="310"/>
      <c r="H43" s="257"/>
      <c r="U43" s="257"/>
      <c r="V43" s="257"/>
      <c r="W43" s="257"/>
      <c r="X43" s="257"/>
    </row>
    <row r="44" spans="2:24" x14ac:dyDescent="0.3">
      <c r="B44" s="294" t="s">
        <v>925</v>
      </c>
      <c r="C44" s="294"/>
      <c r="D44" s="869">
        <v>0.99</v>
      </c>
      <c r="E44" s="294">
        <v>0.99</v>
      </c>
      <c r="F44" s="295" t="s">
        <v>135</v>
      </c>
      <c r="G44" s="294"/>
      <c r="H44" s="257"/>
      <c r="U44" s="257"/>
      <c r="V44" s="257"/>
      <c r="W44" s="257"/>
      <c r="X44" s="257"/>
    </row>
    <row r="45" spans="2:24" x14ac:dyDescent="0.3">
      <c r="B45" s="294"/>
      <c r="C45" s="294"/>
      <c r="D45" s="294"/>
      <c r="E45" s="294"/>
      <c r="F45" s="295"/>
      <c r="G45" s="294"/>
      <c r="H45" s="257"/>
      <c r="U45" s="257"/>
      <c r="V45" s="257"/>
      <c r="W45" s="257"/>
      <c r="X45" s="257"/>
    </row>
    <row r="46" spans="2:24" x14ac:dyDescent="0.3">
      <c r="B46" s="754" t="s">
        <v>181</v>
      </c>
      <c r="C46" s="296">
        <v>0.99</v>
      </c>
      <c r="D46" s="869">
        <v>0.8</v>
      </c>
      <c r="E46" s="294">
        <f>C46*D46</f>
        <v>0.79200000000000004</v>
      </c>
      <c r="F46" s="300" t="s">
        <v>955</v>
      </c>
      <c r="G46" s="294" t="s">
        <v>956</v>
      </c>
      <c r="H46" s="257"/>
      <c r="U46" s="257"/>
      <c r="V46" s="257"/>
      <c r="W46" s="257"/>
      <c r="X46" s="257"/>
    </row>
    <row r="47" spans="2:24" x14ac:dyDescent="0.3">
      <c r="B47" s="294" t="s">
        <v>178</v>
      </c>
      <c r="C47" s="448"/>
      <c r="D47" s="873">
        <v>0.98</v>
      </c>
      <c r="E47" s="311">
        <f>D47</f>
        <v>0.98</v>
      </c>
      <c r="F47" s="295" t="s">
        <v>135</v>
      </c>
      <c r="G47" s="294"/>
      <c r="H47" s="257"/>
      <c r="T47" s="257"/>
      <c r="U47" s="257"/>
      <c r="V47" s="257"/>
      <c r="W47" s="257"/>
      <c r="X47" s="257"/>
    </row>
    <row r="48" spans="2:24" x14ac:dyDescent="0.3">
      <c r="B48" s="754" t="s">
        <v>957</v>
      </c>
      <c r="C48" s="448"/>
      <c r="D48" s="873">
        <v>0.95</v>
      </c>
      <c r="E48" s="311">
        <f t="shared" ref="E48:E53" si="4">D48</f>
        <v>0.95</v>
      </c>
      <c r="F48" s="300" t="s">
        <v>943</v>
      </c>
      <c r="G48" s="294"/>
      <c r="H48" s="257"/>
      <c r="T48" s="257"/>
      <c r="U48" s="257"/>
      <c r="V48" s="257"/>
      <c r="W48" s="257"/>
      <c r="X48" s="257"/>
    </row>
    <row r="49" spans="2:24" x14ac:dyDescent="0.3">
      <c r="B49" s="294" t="s">
        <v>958</v>
      </c>
      <c r="C49" s="296"/>
      <c r="D49" s="873">
        <v>0.9</v>
      </c>
      <c r="E49" s="311">
        <f t="shared" si="4"/>
        <v>0.9</v>
      </c>
      <c r="F49" s="300" t="s">
        <v>943</v>
      </c>
      <c r="G49" s="294" t="s">
        <v>959</v>
      </c>
      <c r="H49" s="257"/>
      <c r="T49" s="257"/>
      <c r="U49" s="257"/>
      <c r="V49" s="257"/>
      <c r="W49" s="257"/>
      <c r="X49" s="257"/>
    </row>
    <row r="50" spans="2:24" x14ac:dyDescent="0.3">
      <c r="B50" s="294" t="s">
        <v>427</v>
      </c>
      <c r="C50" s="296"/>
      <c r="D50" s="873">
        <v>0.85</v>
      </c>
      <c r="E50" s="311">
        <f t="shared" si="4"/>
        <v>0.85</v>
      </c>
      <c r="F50" s="300" t="s">
        <v>943</v>
      </c>
      <c r="G50" s="294" t="s">
        <v>960</v>
      </c>
      <c r="H50" s="257"/>
      <c r="I50" s="257"/>
      <c r="J50" s="257"/>
      <c r="K50" s="257"/>
      <c r="L50" s="257"/>
      <c r="M50" s="257"/>
      <c r="P50" s="257"/>
      <c r="Q50" s="257"/>
      <c r="R50" s="257"/>
      <c r="S50" s="257"/>
      <c r="T50" s="257"/>
      <c r="U50" s="257"/>
      <c r="V50" s="257"/>
      <c r="W50" s="257"/>
      <c r="X50" s="257"/>
    </row>
    <row r="51" spans="2:24" x14ac:dyDescent="0.3">
      <c r="B51" s="294" t="s">
        <v>961</v>
      </c>
      <c r="C51" s="296"/>
      <c r="D51" s="873">
        <v>0.98</v>
      </c>
      <c r="E51" s="311">
        <f t="shared" si="4"/>
        <v>0.98</v>
      </c>
      <c r="F51" s="300" t="s">
        <v>943</v>
      </c>
      <c r="G51" s="294"/>
      <c r="H51" s="257"/>
      <c r="I51" s="257"/>
      <c r="J51" s="257"/>
      <c r="K51" s="257"/>
      <c r="L51" s="257"/>
      <c r="M51" s="257"/>
      <c r="P51" s="257"/>
      <c r="Q51" s="257"/>
      <c r="R51" s="257"/>
      <c r="S51" s="257"/>
      <c r="T51" s="257"/>
      <c r="U51" s="257"/>
      <c r="V51" s="257"/>
      <c r="W51" s="257"/>
      <c r="X51" s="257"/>
    </row>
    <row r="52" spans="2:24" x14ac:dyDescent="0.3">
      <c r="B52" s="294" t="s">
        <v>962</v>
      </c>
      <c r="C52" s="296"/>
      <c r="D52" s="873">
        <v>0.97</v>
      </c>
      <c r="E52" s="311">
        <f t="shared" si="4"/>
        <v>0.97</v>
      </c>
      <c r="F52" s="300" t="s">
        <v>943</v>
      </c>
      <c r="G52" s="294"/>
      <c r="H52" s="257"/>
      <c r="I52" s="257"/>
      <c r="J52" s="257"/>
      <c r="K52" s="257"/>
      <c r="L52" s="257"/>
      <c r="M52" s="257"/>
      <c r="P52" s="257"/>
      <c r="Q52" s="257"/>
      <c r="R52" s="257"/>
      <c r="S52" s="257"/>
      <c r="T52" s="257"/>
      <c r="U52" s="257"/>
      <c r="V52" s="257"/>
      <c r="W52" s="257"/>
      <c r="X52" s="257"/>
    </row>
    <row r="53" spans="2:24" x14ac:dyDescent="0.3">
      <c r="B53" s="754" t="s">
        <v>963</v>
      </c>
      <c r="C53" s="296"/>
      <c r="D53" s="873">
        <v>0.95</v>
      </c>
      <c r="E53" s="311">
        <f t="shared" si="4"/>
        <v>0.95</v>
      </c>
      <c r="F53" s="300" t="s">
        <v>943</v>
      </c>
      <c r="G53" s="294"/>
      <c r="H53" s="257"/>
      <c r="I53" s="257"/>
      <c r="J53" s="257"/>
      <c r="K53" s="257"/>
      <c r="L53" s="257"/>
      <c r="M53" s="257"/>
      <c r="P53" s="257"/>
      <c r="Q53" s="257"/>
      <c r="R53" s="257"/>
      <c r="S53" s="257"/>
      <c r="T53" s="257"/>
      <c r="U53" s="257"/>
      <c r="V53" s="257"/>
      <c r="W53" s="257"/>
      <c r="X53" s="257"/>
    </row>
    <row r="54" spans="2:24" x14ac:dyDescent="0.3">
      <c r="B54" s="162"/>
      <c r="C54" s="296"/>
      <c r="D54" s="294"/>
      <c r="E54" s="294"/>
      <c r="F54" s="295"/>
      <c r="G54" s="294"/>
      <c r="H54" s="257"/>
      <c r="I54" s="257"/>
      <c r="J54" s="257"/>
      <c r="K54" s="257"/>
      <c r="L54" s="257"/>
      <c r="M54" s="257"/>
      <c r="P54" s="257"/>
      <c r="Q54" s="257"/>
      <c r="R54" s="257"/>
      <c r="S54" s="257"/>
      <c r="T54" s="257"/>
      <c r="U54" s="257"/>
      <c r="V54" s="257"/>
      <c r="W54" s="257"/>
      <c r="X54" s="257"/>
    </row>
    <row r="55" spans="2:24" x14ac:dyDescent="0.3">
      <c r="B55" s="754" t="s">
        <v>964</v>
      </c>
      <c r="C55" s="296"/>
      <c r="D55" s="869">
        <v>0.98</v>
      </c>
      <c r="E55" s="302">
        <f>D55</f>
        <v>0.98</v>
      </c>
      <c r="F55" s="300" t="s">
        <v>943</v>
      </c>
      <c r="G55" s="294" t="s">
        <v>55</v>
      </c>
      <c r="H55" s="257"/>
      <c r="I55" s="257"/>
      <c r="J55" s="257"/>
      <c r="K55" s="257"/>
      <c r="L55" s="257"/>
      <c r="M55" s="257"/>
      <c r="P55" s="257"/>
      <c r="Q55" s="257"/>
      <c r="R55" s="257"/>
      <c r="S55" s="257"/>
      <c r="T55" s="257"/>
      <c r="U55" s="257"/>
      <c r="V55" s="257"/>
      <c r="W55" s="257"/>
      <c r="X55" s="257"/>
    </row>
    <row r="56" spans="2:24" x14ac:dyDescent="0.3">
      <c r="B56" s="294" t="s">
        <v>938</v>
      </c>
      <c r="C56" s="296"/>
      <c r="D56" s="869">
        <v>0.97</v>
      </c>
      <c r="E56" s="302">
        <f>D56</f>
        <v>0.97</v>
      </c>
      <c r="F56" s="295" t="s">
        <v>965</v>
      </c>
      <c r="G56" s="294" t="s">
        <v>939</v>
      </c>
      <c r="H56" s="257"/>
      <c r="I56" s="257"/>
      <c r="J56" s="257"/>
      <c r="K56" s="257"/>
      <c r="L56" s="257"/>
      <c r="M56" s="257"/>
      <c r="P56" s="257"/>
      <c r="Q56" s="257"/>
      <c r="R56" s="257"/>
      <c r="S56" s="257"/>
      <c r="T56" s="257"/>
      <c r="U56" s="257"/>
      <c r="V56" s="257"/>
      <c r="W56" s="257"/>
      <c r="X56" s="257"/>
    </row>
    <row r="57" spans="2:24" x14ac:dyDescent="0.3">
      <c r="B57" s="294" t="s">
        <v>940</v>
      </c>
      <c r="C57" s="296"/>
      <c r="D57" s="869">
        <v>0.92</v>
      </c>
      <c r="E57" s="302">
        <f>D57</f>
        <v>0.92</v>
      </c>
      <c r="F57" s="295" t="s">
        <v>965</v>
      </c>
      <c r="G57" s="294" t="s">
        <v>941</v>
      </c>
      <c r="H57" s="257"/>
      <c r="I57" s="257"/>
      <c r="J57" s="257"/>
      <c r="K57" s="257"/>
      <c r="L57" s="257"/>
      <c r="M57" s="257"/>
      <c r="P57" s="257"/>
      <c r="Q57" s="257"/>
      <c r="R57" s="257"/>
      <c r="S57" s="257"/>
      <c r="T57" s="257"/>
      <c r="U57" s="257"/>
      <c r="V57" s="257"/>
      <c r="W57" s="257"/>
      <c r="X57" s="257"/>
    </row>
    <row r="58" spans="2:24" x14ac:dyDescent="0.3">
      <c r="B58" s="294" t="s">
        <v>950</v>
      </c>
      <c r="C58" s="296"/>
      <c r="D58" s="869">
        <v>0.92</v>
      </c>
      <c r="E58" s="302">
        <f>D58</f>
        <v>0.92</v>
      </c>
      <c r="F58" s="295" t="s">
        <v>965</v>
      </c>
      <c r="G58" s="294" t="s">
        <v>951</v>
      </c>
      <c r="H58" s="257"/>
      <c r="I58" s="257"/>
      <c r="J58" s="257"/>
      <c r="K58" s="257"/>
      <c r="L58" s="257"/>
      <c r="M58" s="257"/>
      <c r="P58" s="257"/>
      <c r="Q58" s="257"/>
      <c r="R58" s="257"/>
      <c r="S58" s="257"/>
      <c r="T58" s="257"/>
      <c r="U58" s="257"/>
      <c r="V58" s="257"/>
      <c r="W58" s="257"/>
      <c r="X58" s="257"/>
    </row>
    <row r="59" spans="2:24" x14ac:dyDescent="0.3">
      <c r="B59" s="754" t="s">
        <v>942</v>
      </c>
      <c r="C59" s="296"/>
      <c r="D59" s="874">
        <v>0.99</v>
      </c>
      <c r="E59" s="304">
        <f>D59</f>
        <v>0.99</v>
      </c>
      <c r="F59" s="755" t="s">
        <v>954</v>
      </c>
      <c r="G59" s="938"/>
      <c r="H59" s="257"/>
      <c r="I59" s="257"/>
      <c r="J59" s="257"/>
      <c r="K59" s="257"/>
      <c r="L59" s="257"/>
      <c r="M59" s="257"/>
      <c r="P59" s="257"/>
      <c r="Q59" s="257"/>
      <c r="R59" s="257"/>
      <c r="S59" s="257"/>
      <c r="T59" s="257"/>
      <c r="U59" s="257"/>
      <c r="V59" s="257"/>
      <c r="W59" s="257"/>
      <c r="X59" s="257"/>
    </row>
    <row r="60" spans="2:24" x14ac:dyDescent="0.3">
      <c r="B60" s="294" t="s">
        <v>471</v>
      </c>
      <c r="C60" s="296">
        <f>E59</f>
        <v>0.99</v>
      </c>
      <c r="D60" s="874">
        <v>0.99</v>
      </c>
      <c r="E60" s="304">
        <f t="shared" ref="E60:E64" si="5">C60*D60</f>
        <v>0.98009999999999997</v>
      </c>
      <c r="F60" s="755" t="s">
        <v>954</v>
      </c>
      <c r="G60" s="938"/>
      <c r="H60" s="257"/>
      <c r="I60" s="257"/>
      <c r="J60" s="257"/>
      <c r="K60" s="257"/>
      <c r="L60" s="257"/>
      <c r="M60" s="257"/>
      <c r="P60" s="257"/>
      <c r="Q60" s="257"/>
      <c r="R60" s="257"/>
      <c r="S60" s="257"/>
      <c r="T60" s="257"/>
      <c r="U60" s="257"/>
      <c r="V60" s="257"/>
      <c r="W60" s="257"/>
      <c r="X60" s="257"/>
    </row>
    <row r="61" spans="2:24" x14ac:dyDescent="0.3">
      <c r="B61" s="754" t="s">
        <v>195</v>
      </c>
      <c r="C61" s="296">
        <f>E60</f>
        <v>0.98009999999999997</v>
      </c>
      <c r="D61" s="869">
        <v>0.99</v>
      </c>
      <c r="E61" s="302">
        <f t="shared" si="5"/>
        <v>0.97029899999999991</v>
      </c>
      <c r="F61" s="755" t="s">
        <v>954</v>
      </c>
      <c r="G61" s="938" t="s">
        <v>944</v>
      </c>
      <c r="H61" s="257"/>
      <c r="I61" s="257"/>
      <c r="J61" s="257"/>
      <c r="K61" s="257"/>
      <c r="L61" s="257"/>
      <c r="M61" s="257"/>
      <c r="P61" s="257"/>
      <c r="Q61" s="257"/>
      <c r="R61" s="257"/>
      <c r="S61" s="257"/>
      <c r="T61" s="257"/>
      <c r="U61" s="257"/>
      <c r="V61" s="257"/>
      <c r="W61" s="257"/>
      <c r="X61" s="257"/>
    </row>
    <row r="62" spans="2:24" x14ac:dyDescent="0.3">
      <c r="B62" s="754" t="s">
        <v>945</v>
      </c>
      <c r="C62" s="296">
        <f>E59</f>
        <v>0.99</v>
      </c>
      <c r="D62" s="869">
        <v>0.99</v>
      </c>
      <c r="E62" s="302">
        <f>C62*D62</f>
        <v>0.98009999999999997</v>
      </c>
      <c r="F62" s="755" t="s">
        <v>954</v>
      </c>
      <c r="G62" s="938" t="s">
        <v>946</v>
      </c>
      <c r="H62" s="257"/>
      <c r="I62" s="257"/>
      <c r="J62" s="257"/>
      <c r="K62" s="257"/>
      <c r="L62" s="257"/>
      <c r="M62" s="257"/>
      <c r="P62" s="257"/>
      <c r="Q62" s="257"/>
      <c r="R62" s="257"/>
      <c r="S62" s="257"/>
      <c r="T62" s="257"/>
      <c r="U62" s="257"/>
      <c r="V62" s="257"/>
      <c r="W62" s="257"/>
      <c r="X62" s="257"/>
    </row>
    <row r="63" spans="2:24" x14ac:dyDescent="0.3">
      <c r="B63" s="754" t="s">
        <v>394</v>
      </c>
      <c r="C63" s="296"/>
      <c r="D63" s="874">
        <v>0.99</v>
      </c>
      <c r="E63" s="304">
        <f>D63</f>
        <v>0.99</v>
      </c>
      <c r="F63" s="755" t="s">
        <v>954</v>
      </c>
      <c r="G63" s="938"/>
      <c r="H63" s="257"/>
      <c r="I63" s="257"/>
      <c r="J63" s="257"/>
      <c r="K63" s="257"/>
      <c r="L63" s="257"/>
      <c r="M63" s="257"/>
      <c r="P63" s="257"/>
      <c r="Q63" s="257"/>
      <c r="R63" s="257"/>
      <c r="S63" s="257"/>
      <c r="T63" s="257"/>
      <c r="U63" s="257"/>
      <c r="V63" s="257"/>
      <c r="W63" s="257"/>
      <c r="X63" s="257"/>
    </row>
    <row r="64" spans="2:24" x14ac:dyDescent="0.3">
      <c r="B64" s="754" t="s">
        <v>200</v>
      </c>
      <c r="C64" s="296">
        <f>E63</f>
        <v>0.99</v>
      </c>
      <c r="D64" s="869">
        <v>0.99</v>
      </c>
      <c r="E64" s="302">
        <f t="shared" si="5"/>
        <v>0.98009999999999997</v>
      </c>
      <c r="F64" s="755" t="s">
        <v>954</v>
      </c>
      <c r="G64" s="938" t="s">
        <v>952</v>
      </c>
      <c r="H64" s="257"/>
      <c r="I64" s="257"/>
      <c r="J64" s="257"/>
      <c r="K64" s="257"/>
      <c r="L64" s="257"/>
      <c r="M64" s="257"/>
      <c r="P64" s="257"/>
      <c r="Q64" s="257"/>
      <c r="R64" s="257"/>
      <c r="S64" s="257"/>
      <c r="T64" s="257"/>
      <c r="U64" s="257"/>
      <c r="V64" s="257"/>
      <c r="W64" s="257"/>
      <c r="X64" s="257"/>
    </row>
    <row r="65" spans="2:24" x14ac:dyDescent="0.3">
      <c r="B65" s="758" t="s">
        <v>966</v>
      </c>
      <c r="C65" s="447"/>
      <c r="D65" s="878">
        <v>0.85</v>
      </c>
      <c r="E65" s="306">
        <f>D65</f>
        <v>0.85</v>
      </c>
      <c r="F65" s="759" t="s">
        <v>954</v>
      </c>
      <c r="G65" s="939" t="s">
        <v>424</v>
      </c>
      <c r="H65" s="257"/>
      <c r="I65" s="257"/>
      <c r="J65" s="257"/>
      <c r="K65" s="257"/>
      <c r="L65" s="257"/>
      <c r="M65" s="257"/>
      <c r="P65" s="257"/>
      <c r="Q65" s="257"/>
      <c r="R65" s="257"/>
      <c r="S65" s="257"/>
      <c r="T65" s="257"/>
      <c r="U65" s="257"/>
      <c r="V65" s="257"/>
      <c r="W65" s="257"/>
      <c r="X65" s="257"/>
    </row>
    <row r="66" spans="2:24" x14ac:dyDescent="0.3">
      <c r="H66" s="257"/>
      <c r="I66" s="257"/>
      <c r="J66" s="257"/>
      <c r="K66" s="257"/>
      <c r="L66" s="257"/>
      <c r="M66" s="257"/>
      <c r="P66" s="257"/>
      <c r="Q66" s="257"/>
    </row>
    <row r="67" spans="2:24" x14ac:dyDescent="0.3">
      <c r="H67" s="257"/>
      <c r="I67" s="257"/>
      <c r="J67" s="257"/>
      <c r="K67" s="257"/>
      <c r="L67" s="257"/>
      <c r="M67" s="257"/>
      <c r="P67" s="257"/>
    </row>
    <row r="69" spans="2:24" ht="18" x14ac:dyDescent="0.35">
      <c r="B69" s="308" t="s">
        <v>103</v>
      </c>
      <c r="C69" s="1155" t="s">
        <v>921</v>
      </c>
      <c r="D69" s="1156"/>
      <c r="E69" s="1157"/>
      <c r="F69" s="292" t="s">
        <v>606</v>
      </c>
      <c r="G69" s="292" t="s">
        <v>285</v>
      </c>
    </row>
    <row r="70" spans="2:24" x14ac:dyDescent="0.3">
      <c r="B70" s="309"/>
      <c r="C70" s="757" t="s">
        <v>923</v>
      </c>
      <c r="D70" s="293" t="s">
        <v>79</v>
      </c>
      <c r="E70" s="293" t="s">
        <v>99</v>
      </c>
      <c r="F70" s="293"/>
      <c r="G70" s="293"/>
    </row>
    <row r="71" spans="2:24" x14ac:dyDescent="0.3">
      <c r="B71" s="294"/>
      <c r="C71" s="310"/>
      <c r="D71" s="310"/>
      <c r="E71" s="310"/>
      <c r="F71" s="310"/>
      <c r="G71" s="310"/>
    </row>
    <row r="72" spans="2:24" x14ac:dyDescent="0.3">
      <c r="B72" s="754" t="s">
        <v>967</v>
      </c>
      <c r="C72" s="294"/>
      <c r="D72" s="869">
        <v>0.99</v>
      </c>
      <c r="E72" s="294">
        <f>D72</f>
        <v>0.99</v>
      </c>
      <c r="F72" s="295" t="s">
        <v>135</v>
      </c>
      <c r="G72" s="294"/>
    </row>
    <row r="73" spans="2:24" x14ac:dyDescent="0.3">
      <c r="B73" s="294"/>
      <c r="C73" s="294"/>
      <c r="D73" s="294"/>
      <c r="E73" s="294"/>
      <c r="F73" s="295"/>
      <c r="G73" s="294"/>
    </row>
    <row r="74" spans="2:24" x14ac:dyDescent="0.3">
      <c r="B74" s="754" t="s">
        <v>178</v>
      </c>
      <c r="C74" s="448"/>
      <c r="D74" s="873">
        <v>0.98</v>
      </c>
      <c r="E74" s="311">
        <f>D74</f>
        <v>0.98</v>
      </c>
      <c r="F74" s="295" t="s">
        <v>135</v>
      </c>
      <c r="G74" s="294"/>
      <c r="H74" s="257"/>
      <c r="T74" s="257"/>
      <c r="U74" s="257"/>
      <c r="V74" s="257"/>
      <c r="W74" s="257"/>
      <c r="X74" s="257"/>
    </row>
    <row r="75" spans="2:24" x14ac:dyDescent="0.3">
      <c r="B75" s="294" t="s">
        <v>968</v>
      </c>
      <c r="C75" s="296"/>
      <c r="D75" s="873">
        <v>0.85</v>
      </c>
      <c r="E75" s="311">
        <f t="shared" ref="E75:E85" si="6">D75</f>
        <v>0.85</v>
      </c>
      <c r="F75" s="300" t="s">
        <v>943</v>
      </c>
      <c r="G75" s="294" t="s">
        <v>960</v>
      </c>
      <c r="H75" s="257"/>
      <c r="I75" s="257"/>
      <c r="J75" s="257"/>
      <c r="K75" s="257"/>
      <c r="L75" s="257"/>
      <c r="M75" s="257"/>
      <c r="P75" s="257"/>
      <c r="Q75" s="257"/>
      <c r="R75" s="257"/>
      <c r="S75" s="257"/>
      <c r="T75" s="257"/>
      <c r="U75" s="257"/>
      <c r="V75" s="257"/>
      <c r="W75" s="257"/>
      <c r="X75" s="257"/>
    </row>
    <row r="76" spans="2:24" x14ac:dyDescent="0.3">
      <c r="B76" s="294" t="s">
        <v>969</v>
      </c>
      <c r="C76" s="296"/>
      <c r="D76" s="873">
        <v>0.96</v>
      </c>
      <c r="E76" s="311">
        <f t="shared" si="6"/>
        <v>0.96</v>
      </c>
      <c r="F76" s="295" t="s">
        <v>970</v>
      </c>
      <c r="G76" s="294"/>
      <c r="H76" s="257"/>
      <c r="I76" s="257"/>
      <c r="J76" s="257"/>
      <c r="K76" s="257"/>
      <c r="L76" s="257"/>
      <c r="M76" s="257"/>
      <c r="P76" s="257"/>
      <c r="Q76" s="257"/>
      <c r="R76" s="257"/>
      <c r="S76" s="257"/>
      <c r="T76" s="257"/>
      <c r="U76" s="257"/>
      <c r="V76" s="257"/>
      <c r="W76" s="257"/>
      <c r="X76" s="257"/>
    </row>
    <row r="77" spans="2:24" x14ac:dyDescent="0.3">
      <c r="B77" s="294" t="s">
        <v>971</v>
      </c>
      <c r="C77" s="296"/>
      <c r="D77" s="873">
        <v>0.97</v>
      </c>
      <c r="E77" s="311">
        <f t="shared" si="6"/>
        <v>0.97</v>
      </c>
      <c r="F77" s="295" t="s">
        <v>970</v>
      </c>
      <c r="G77" s="294"/>
      <c r="H77" s="257"/>
      <c r="I77" s="257"/>
      <c r="J77" s="257"/>
      <c r="K77" s="257"/>
      <c r="L77" s="257"/>
      <c r="M77" s="257"/>
      <c r="P77" s="257"/>
      <c r="Q77" s="257"/>
      <c r="R77" s="257"/>
      <c r="S77" s="257"/>
      <c r="T77" s="257"/>
      <c r="U77" s="257"/>
      <c r="V77" s="257"/>
      <c r="W77" s="257"/>
      <c r="X77" s="257"/>
    </row>
    <row r="78" spans="2:24" x14ac:dyDescent="0.3">
      <c r="B78" s="294" t="s">
        <v>972</v>
      </c>
      <c r="C78" s="296"/>
      <c r="D78" s="873">
        <v>0.79</v>
      </c>
      <c r="E78" s="311">
        <f t="shared" si="6"/>
        <v>0.79</v>
      </c>
      <c r="F78" s="295" t="s">
        <v>970</v>
      </c>
      <c r="G78" s="294"/>
      <c r="H78" s="257"/>
      <c r="I78" s="257"/>
      <c r="J78" s="257"/>
      <c r="K78" s="257"/>
      <c r="L78" s="257"/>
      <c r="M78" s="257"/>
      <c r="P78" s="257"/>
      <c r="Q78" s="257"/>
      <c r="R78" s="257"/>
      <c r="S78" s="257"/>
      <c r="T78" s="257"/>
      <c r="U78" s="257"/>
      <c r="V78" s="257"/>
      <c r="W78" s="257"/>
      <c r="X78" s="257"/>
    </row>
    <row r="79" spans="2:24" x14ac:dyDescent="0.3">
      <c r="B79" s="294"/>
      <c r="C79" s="296"/>
      <c r="D79" s="311"/>
      <c r="E79" s="311"/>
      <c r="F79" s="295"/>
      <c r="G79" s="294"/>
      <c r="H79" s="257"/>
      <c r="I79" s="257"/>
      <c r="J79" s="257"/>
      <c r="K79" s="257"/>
      <c r="L79" s="257"/>
      <c r="M79" s="257"/>
      <c r="P79" s="257"/>
      <c r="Q79" s="257"/>
      <c r="R79" s="257"/>
      <c r="S79" s="257"/>
      <c r="T79" s="257"/>
      <c r="U79" s="257"/>
      <c r="V79" s="257"/>
      <c r="W79" s="257"/>
      <c r="X79" s="257"/>
    </row>
    <row r="80" spans="2:24" x14ac:dyDescent="0.3">
      <c r="B80" s="294"/>
      <c r="C80" s="296"/>
      <c r="D80" s="311"/>
      <c r="E80" s="311"/>
      <c r="F80" s="295"/>
      <c r="G80" s="294"/>
      <c r="H80" s="257"/>
      <c r="I80" s="257"/>
      <c r="J80" s="257"/>
      <c r="K80" s="257"/>
      <c r="L80" s="257"/>
      <c r="M80" s="257"/>
      <c r="P80" s="257"/>
      <c r="Q80" s="257"/>
      <c r="R80" s="257"/>
      <c r="S80" s="257"/>
      <c r="T80" s="257"/>
      <c r="U80" s="257"/>
      <c r="V80" s="257"/>
      <c r="W80" s="257"/>
      <c r="X80" s="257"/>
    </row>
    <row r="81" spans="2:24" x14ac:dyDescent="0.3">
      <c r="B81" s="294"/>
      <c r="C81" s="296"/>
      <c r="D81" s="311"/>
      <c r="E81" s="311"/>
      <c r="F81" s="295"/>
      <c r="G81" s="294"/>
      <c r="H81" s="257"/>
      <c r="I81" s="257"/>
      <c r="J81" s="257"/>
      <c r="K81" s="257"/>
      <c r="L81" s="257"/>
      <c r="M81" s="257"/>
      <c r="P81" s="257"/>
      <c r="Q81" s="257"/>
      <c r="R81" s="257"/>
      <c r="S81" s="257"/>
      <c r="T81" s="257"/>
      <c r="U81" s="257"/>
      <c r="V81" s="257"/>
      <c r="W81" s="257"/>
      <c r="X81" s="257"/>
    </row>
    <row r="82" spans="2:24" x14ac:dyDescent="0.3">
      <c r="B82" s="294"/>
      <c r="C82" s="296"/>
      <c r="D82" s="311"/>
      <c r="E82" s="311"/>
      <c r="F82" s="295"/>
      <c r="G82" s="294"/>
      <c r="H82" s="257"/>
      <c r="I82" s="257"/>
      <c r="J82" s="257"/>
      <c r="K82" s="257"/>
      <c r="L82" s="257"/>
      <c r="M82" s="257"/>
      <c r="P82" s="257"/>
      <c r="Q82" s="257"/>
      <c r="R82" s="257"/>
      <c r="S82" s="257"/>
      <c r="T82" s="257"/>
      <c r="U82" s="257"/>
      <c r="V82" s="257"/>
      <c r="W82" s="257"/>
      <c r="X82" s="257"/>
    </row>
    <row r="83" spans="2:24" x14ac:dyDescent="0.3">
      <c r="B83" s="754" t="s">
        <v>973</v>
      </c>
      <c r="C83" s="296"/>
      <c r="D83" s="873">
        <v>0.98</v>
      </c>
      <c r="E83" s="311">
        <f t="shared" si="6"/>
        <v>0.98</v>
      </c>
      <c r="F83" s="300" t="s">
        <v>943</v>
      </c>
      <c r="G83" s="294"/>
      <c r="H83" s="257"/>
      <c r="I83" s="257"/>
      <c r="J83" s="257"/>
      <c r="K83" s="257"/>
      <c r="L83" s="257"/>
      <c r="M83" s="257"/>
      <c r="P83" s="257"/>
      <c r="Q83" s="257"/>
      <c r="R83" s="257"/>
      <c r="S83" s="257"/>
      <c r="T83" s="257"/>
      <c r="U83" s="257"/>
      <c r="V83" s="257"/>
      <c r="W83" s="257"/>
      <c r="X83" s="257"/>
    </row>
    <row r="84" spans="2:24" x14ac:dyDescent="0.3">
      <c r="B84" s="754" t="s">
        <v>974</v>
      </c>
      <c r="C84" s="296"/>
      <c r="D84" s="873">
        <v>0.97</v>
      </c>
      <c r="E84" s="311">
        <f t="shared" si="6"/>
        <v>0.97</v>
      </c>
      <c r="F84" s="300" t="s">
        <v>943</v>
      </c>
      <c r="G84" s="294"/>
      <c r="H84" s="257"/>
      <c r="I84" s="257"/>
      <c r="J84" s="257"/>
      <c r="K84" s="257"/>
      <c r="L84" s="257"/>
      <c r="M84" s="257"/>
      <c r="P84" s="257"/>
      <c r="Q84" s="257"/>
      <c r="R84" s="257"/>
      <c r="S84" s="257"/>
      <c r="T84" s="257"/>
      <c r="U84" s="257"/>
      <c r="V84" s="257"/>
      <c r="W84" s="257"/>
      <c r="X84" s="257"/>
    </row>
    <row r="85" spans="2:24" x14ac:dyDescent="0.3">
      <c r="B85" s="294" t="s">
        <v>975</v>
      </c>
      <c r="C85" s="296"/>
      <c r="D85" s="873">
        <v>0.95</v>
      </c>
      <c r="E85" s="311">
        <f t="shared" si="6"/>
        <v>0.95</v>
      </c>
      <c r="F85" s="300" t="s">
        <v>943</v>
      </c>
      <c r="G85" s="294"/>
      <c r="H85" s="257"/>
      <c r="I85" s="257"/>
      <c r="J85" s="257"/>
      <c r="K85" s="257"/>
      <c r="L85" s="257"/>
      <c r="M85" s="257"/>
      <c r="P85" s="257"/>
      <c r="Q85" s="257"/>
      <c r="R85" s="257"/>
      <c r="S85" s="257"/>
      <c r="T85" s="257"/>
      <c r="U85" s="257"/>
      <c r="V85" s="257"/>
      <c r="W85" s="257"/>
      <c r="X85" s="257"/>
    </row>
    <row r="86" spans="2:24" x14ac:dyDescent="0.3">
      <c r="B86" s="294"/>
      <c r="C86" s="296"/>
      <c r="D86" s="311"/>
      <c r="E86" s="311"/>
      <c r="F86" s="295"/>
      <c r="G86" s="294"/>
    </row>
    <row r="87" spans="2:24" x14ac:dyDescent="0.3">
      <c r="B87" s="870" t="s">
        <v>926</v>
      </c>
      <c r="C87" s="294"/>
      <c r="D87" s="294"/>
      <c r="E87" s="294"/>
      <c r="F87" s="295"/>
      <c r="G87" s="294"/>
    </row>
    <row r="88" spans="2:24" x14ac:dyDescent="0.3">
      <c r="B88" s="294" t="s">
        <v>93</v>
      </c>
      <c r="C88" s="296">
        <v>0.96</v>
      </c>
      <c r="D88" s="874">
        <v>0.96</v>
      </c>
      <c r="E88" s="296">
        <f>C88*D88</f>
        <v>0.92159999999999997</v>
      </c>
      <c r="F88" s="295" t="s">
        <v>976</v>
      </c>
      <c r="G88" s="294" t="s">
        <v>928</v>
      </c>
    </row>
    <row r="89" spans="2:24" x14ac:dyDescent="0.3">
      <c r="B89" s="294" t="s">
        <v>94</v>
      </c>
      <c r="C89" s="296">
        <v>0.97</v>
      </c>
      <c r="D89" s="874">
        <v>0.98</v>
      </c>
      <c r="E89" s="296">
        <f t="shared" ref="E89:E91" si="7">C89*D89</f>
        <v>0.9506</v>
      </c>
      <c r="F89" s="295" t="s">
        <v>976</v>
      </c>
      <c r="G89" s="294" t="s">
        <v>928</v>
      </c>
    </row>
    <row r="90" spans="2:24" x14ac:dyDescent="0.3">
      <c r="B90" s="294" t="s">
        <v>98</v>
      </c>
      <c r="C90" s="296">
        <v>0.94</v>
      </c>
      <c r="D90" s="874">
        <v>0.95</v>
      </c>
      <c r="E90" s="296">
        <f t="shared" si="7"/>
        <v>0.8929999999999999</v>
      </c>
      <c r="F90" s="295" t="s">
        <v>976</v>
      </c>
      <c r="G90" s="294" t="s">
        <v>928</v>
      </c>
    </row>
    <row r="91" spans="2:24" x14ac:dyDescent="0.3">
      <c r="B91" s="755" t="s">
        <v>933</v>
      </c>
      <c r="C91" s="298">
        <v>0.86</v>
      </c>
      <c r="D91" s="877">
        <v>0.99</v>
      </c>
      <c r="E91" s="296">
        <f t="shared" si="7"/>
        <v>0.85139999999999993</v>
      </c>
      <c r="F91" s="295" t="s">
        <v>976</v>
      </c>
      <c r="G91" s="755" t="s">
        <v>930</v>
      </c>
    </row>
    <row r="92" spans="2:24" x14ac:dyDescent="0.3">
      <c r="B92" s="300"/>
      <c r="C92" s="297"/>
      <c r="D92" s="301"/>
      <c r="E92" s="301"/>
      <c r="F92" s="297"/>
      <c r="G92" s="295"/>
    </row>
    <row r="93" spans="2:24" x14ac:dyDescent="0.3">
      <c r="B93" s="871" t="s">
        <v>931</v>
      </c>
      <c r="C93" s="297"/>
      <c r="D93" s="297"/>
      <c r="E93" s="297"/>
      <c r="F93" s="297"/>
      <c r="G93" s="162"/>
    </row>
    <row r="94" spans="2:24" x14ac:dyDescent="0.3">
      <c r="B94" s="754" t="s">
        <v>96</v>
      </c>
      <c r="C94" s="296">
        <f>E75</f>
        <v>0.85</v>
      </c>
      <c r="D94" s="874">
        <v>0.95</v>
      </c>
      <c r="E94" s="296">
        <f>C94*D94</f>
        <v>0.8075</v>
      </c>
      <c r="F94" s="295" t="s">
        <v>135</v>
      </c>
      <c r="G94" s="294" t="s">
        <v>928</v>
      </c>
    </row>
    <row r="95" spans="2:24" x14ac:dyDescent="0.3">
      <c r="B95" s="294" t="s">
        <v>95</v>
      </c>
      <c r="C95" s="296">
        <f>E75</f>
        <v>0.85</v>
      </c>
      <c r="D95" s="874">
        <f>'R3_Hydro_MEFA'!T124</f>
        <v>0.86</v>
      </c>
      <c r="E95" s="296">
        <f t="shared" ref="E95:E97" si="8">C95*D95</f>
        <v>0.73099999999999998</v>
      </c>
      <c r="F95" s="295" t="s">
        <v>927</v>
      </c>
      <c r="G95" s="754" t="s">
        <v>932</v>
      </c>
    </row>
    <row r="96" spans="2:24" x14ac:dyDescent="0.3">
      <c r="B96" s="294" t="s">
        <v>97</v>
      </c>
      <c r="C96" s="296">
        <f>E75</f>
        <v>0.85</v>
      </c>
      <c r="D96" s="874">
        <v>0.97</v>
      </c>
      <c r="E96" s="296">
        <f t="shared" si="8"/>
        <v>0.82450000000000001</v>
      </c>
      <c r="F96" s="295" t="s">
        <v>927</v>
      </c>
      <c r="G96" s="754" t="s">
        <v>928</v>
      </c>
    </row>
    <row r="97" spans="2:7" x14ac:dyDescent="0.3">
      <c r="B97" s="754" t="s">
        <v>933</v>
      </c>
      <c r="C97" s="298">
        <v>0.86</v>
      </c>
      <c r="D97" s="874">
        <v>0.99</v>
      </c>
      <c r="E97" s="296">
        <f t="shared" si="8"/>
        <v>0.85139999999999993</v>
      </c>
      <c r="F97" s="295" t="s">
        <v>976</v>
      </c>
      <c r="G97" s="755" t="s">
        <v>930</v>
      </c>
    </row>
    <row r="98" spans="2:7" x14ac:dyDescent="0.3">
      <c r="B98" s="163" t="s">
        <v>934</v>
      </c>
      <c r="C98" s="302"/>
      <c r="D98" s="874">
        <v>0.98</v>
      </c>
      <c r="E98" s="296">
        <f t="shared" ref="E98:E99" si="9">D98</f>
        <v>0.98</v>
      </c>
      <c r="F98" s="295" t="s">
        <v>927</v>
      </c>
      <c r="G98" s="162" t="s">
        <v>935</v>
      </c>
    </row>
    <row r="99" spans="2:7" x14ac:dyDescent="0.3">
      <c r="B99" s="163" t="s">
        <v>977</v>
      </c>
      <c r="C99" s="162"/>
      <c r="D99" s="874">
        <v>0.99</v>
      </c>
      <c r="E99" s="296">
        <f t="shared" si="9"/>
        <v>0.99</v>
      </c>
      <c r="F99" s="295" t="s">
        <v>927</v>
      </c>
      <c r="G99" s="162" t="s">
        <v>935</v>
      </c>
    </row>
    <row r="100" spans="2:7" x14ac:dyDescent="0.3">
      <c r="B100" s="162"/>
      <c r="C100" s="162"/>
      <c r="D100" s="162"/>
      <c r="E100" s="162"/>
      <c r="F100" s="162"/>
      <c r="G100" s="162"/>
    </row>
    <row r="101" spans="2:7" x14ac:dyDescent="0.3">
      <c r="B101" s="156" t="s">
        <v>937</v>
      </c>
      <c r="C101" s="162"/>
      <c r="D101" s="162"/>
      <c r="E101" s="162"/>
      <c r="F101" s="162"/>
      <c r="G101" s="162"/>
    </row>
    <row r="102" spans="2:7" x14ac:dyDescent="0.3">
      <c r="B102" s="294" t="s">
        <v>938</v>
      </c>
      <c r="C102" s="303">
        <f>E90</f>
        <v>0.8929999999999999</v>
      </c>
      <c r="D102" s="869">
        <v>0.95</v>
      </c>
      <c r="E102" s="302">
        <f t="shared" ref="E102:E107" si="10">C102*D102</f>
        <v>0.84834999999999983</v>
      </c>
      <c r="F102" s="295" t="s">
        <v>135</v>
      </c>
      <c r="G102" s="294" t="s">
        <v>939</v>
      </c>
    </row>
    <row r="103" spans="2:7" x14ac:dyDescent="0.3">
      <c r="B103" s="294" t="s">
        <v>940</v>
      </c>
      <c r="C103" s="303">
        <f>E91</f>
        <v>0.85139999999999993</v>
      </c>
      <c r="D103" s="869">
        <v>0.9</v>
      </c>
      <c r="E103" s="302">
        <f t="shared" si="10"/>
        <v>0.76625999999999994</v>
      </c>
      <c r="F103" s="295" t="s">
        <v>135</v>
      </c>
      <c r="G103" s="294" t="s">
        <v>941</v>
      </c>
    </row>
    <row r="104" spans="2:7" x14ac:dyDescent="0.3">
      <c r="B104" s="754" t="s">
        <v>942</v>
      </c>
      <c r="C104" s="303">
        <f>E88</f>
        <v>0.92159999999999997</v>
      </c>
      <c r="D104" s="874">
        <v>0.99</v>
      </c>
      <c r="E104" s="304">
        <f t="shared" si="10"/>
        <v>0.91238399999999997</v>
      </c>
      <c r="F104" s="755" t="s">
        <v>954</v>
      </c>
      <c r="G104" s="294"/>
    </row>
    <row r="105" spans="2:7" x14ac:dyDescent="0.3">
      <c r="B105" s="754" t="s">
        <v>352</v>
      </c>
      <c r="C105" s="303">
        <f>E104</f>
        <v>0.91238399999999997</v>
      </c>
      <c r="D105" s="875">
        <v>0.99</v>
      </c>
      <c r="E105" s="298">
        <f t="shared" si="10"/>
        <v>0.90326015999999998</v>
      </c>
      <c r="F105" s="755" t="s">
        <v>954</v>
      </c>
      <c r="G105" s="294"/>
    </row>
    <row r="106" spans="2:7" x14ac:dyDescent="0.3">
      <c r="B106" s="756" t="s">
        <v>195</v>
      </c>
      <c r="C106" s="303">
        <f>E105</f>
        <v>0.90326015999999998</v>
      </c>
      <c r="D106" s="876">
        <v>0.99</v>
      </c>
      <c r="E106" s="301">
        <f>C106*D106</f>
        <v>0.89422755840000001</v>
      </c>
      <c r="F106" s="755" t="s">
        <v>954</v>
      </c>
      <c r="G106" s="294" t="s">
        <v>944</v>
      </c>
    </row>
    <row r="107" spans="2:7" x14ac:dyDescent="0.3">
      <c r="B107" s="756" t="s">
        <v>945</v>
      </c>
      <c r="C107" s="303">
        <f>E104</f>
        <v>0.91238399999999997</v>
      </c>
      <c r="D107" s="876">
        <v>0.99</v>
      </c>
      <c r="E107" s="301">
        <f t="shared" si="10"/>
        <v>0.90326015999999998</v>
      </c>
      <c r="F107" s="755" t="s">
        <v>954</v>
      </c>
      <c r="G107" s="294" t="s">
        <v>946</v>
      </c>
    </row>
    <row r="108" spans="2:7" x14ac:dyDescent="0.3">
      <c r="B108" s="297"/>
      <c r="C108" s="446"/>
      <c r="D108" s="297"/>
      <c r="E108" s="297"/>
      <c r="F108" s="297"/>
      <c r="G108" s="162"/>
    </row>
    <row r="109" spans="2:7" x14ac:dyDescent="0.3">
      <c r="B109" s="872" t="s">
        <v>947</v>
      </c>
      <c r="C109" s="446"/>
      <c r="D109" s="297"/>
      <c r="E109" s="297"/>
      <c r="F109" s="297"/>
      <c r="G109" s="162"/>
    </row>
    <row r="110" spans="2:7" x14ac:dyDescent="0.3">
      <c r="B110" s="300" t="s">
        <v>427</v>
      </c>
      <c r="C110" s="303">
        <f>E98</f>
        <v>0.98</v>
      </c>
      <c r="D110" s="876">
        <v>0.9</v>
      </c>
      <c r="E110" s="299">
        <f t="shared" ref="E110:E114" si="11">C110*D110</f>
        <v>0.88200000000000001</v>
      </c>
      <c r="F110" s="295" t="s">
        <v>135</v>
      </c>
      <c r="G110" s="162" t="s">
        <v>948</v>
      </c>
    </row>
    <row r="111" spans="2:7" x14ac:dyDescent="0.3">
      <c r="B111" s="300" t="s">
        <v>427</v>
      </c>
      <c r="C111" s="303">
        <f>E99</f>
        <v>0.99</v>
      </c>
      <c r="D111" s="876">
        <v>0.98</v>
      </c>
      <c r="E111" s="299">
        <f t="shared" si="11"/>
        <v>0.97019999999999995</v>
      </c>
      <c r="F111" s="295" t="s">
        <v>135</v>
      </c>
      <c r="G111" s="162" t="s">
        <v>949</v>
      </c>
    </row>
    <row r="112" spans="2:7" x14ac:dyDescent="0.3">
      <c r="B112" s="756" t="s">
        <v>940</v>
      </c>
      <c r="C112" s="303">
        <f>E97</f>
        <v>0.85139999999999993</v>
      </c>
      <c r="D112" s="876">
        <v>0.9</v>
      </c>
      <c r="E112" s="301">
        <f t="shared" si="11"/>
        <v>0.76625999999999994</v>
      </c>
      <c r="F112" s="295" t="s">
        <v>135</v>
      </c>
      <c r="G112" s="294" t="s">
        <v>941</v>
      </c>
    </row>
    <row r="113" spans="2:7" x14ac:dyDescent="0.3">
      <c r="B113" s="299" t="s">
        <v>950</v>
      </c>
      <c r="C113" s="296">
        <f>E96</f>
        <v>0.82450000000000001</v>
      </c>
      <c r="D113" s="876">
        <v>0.9</v>
      </c>
      <c r="E113" s="301">
        <f t="shared" si="11"/>
        <v>0.74204999999999999</v>
      </c>
      <c r="F113" s="295" t="s">
        <v>135</v>
      </c>
      <c r="G113" s="294" t="s">
        <v>951</v>
      </c>
    </row>
    <row r="114" spans="2:7" x14ac:dyDescent="0.3">
      <c r="B114" s="754" t="s">
        <v>394</v>
      </c>
      <c r="C114" s="296">
        <f>E94</f>
        <v>0.8075</v>
      </c>
      <c r="D114" s="874">
        <v>0.99</v>
      </c>
      <c r="E114" s="298">
        <f t="shared" si="11"/>
        <v>0.79942499999999994</v>
      </c>
      <c r="F114" s="755" t="s">
        <v>954</v>
      </c>
      <c r="G114" s="294"/>
    </row>
    <row r="115" spans="2:7" x14ac:dyDescent="0.3">
      <c r="B115" s="754" t="s">
        <v>200</v>
      </c>
      <c r="C115" s="296">
        <f>E114</f>
        <v>0.79942499999999994</v>
      </c>
      <c r="D115" s="869">
        <v>0.99</v>
      </c>
      <c r="E115" s="302">
        <f>C115*D115</f>
        <v>0.79143074999999996</v>
      </c>
      <c r="F115" s="755" t="s">
        <v>954</v>
      </c>
      <c r="G115" s="294" t="s">
        <v>952</v>
      </c>
    </row>
    <row r="116" spans="2:7" x14ac:dyDescent="0.3">
      <c r="B116" s="758" t="s">
        <v>953</v>
      </c>
      <c r="C116" s="447">
        <f>E95</f>
        <v>0.73099999999999998</v>
      </c>
      <c r="D116" s="878">
        <v>0.85</v>
      </c>
      <c r="E116" s="306">
        <f t="shared" ref="E116" si="12">C116*D116</f>
        <v>0.62134999999999996</v>
      </c>
      <c r="F116" s="759" t="s">
        <v>954</v>
      </c>
      <c r="G116" s="305" t="s">
        <v>424</v>
      </c>
    </row>
  </sheetData>
  <mergeCells count="4">
    <mergeCell ref="C69:E69"/>
    <mergeCell ref="I3:J5"/>
    <mergeCell ref="C3:E3"/>
    <mergeCell ref="C41:E41"/>
  </mergeCells>
  <pageMargins left="0.7" right="0.7" top="0.78740157499999996" bottom="0.78740157499999996" header="0.3" footer="0.3"/>
  <pageSetup paperSize="9" orientation="portrait" horizontalDpi="360" verticalDpi="36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9">
    <tabColor theme="0" tint="-0.499984740745262"/>
  </sheetPr>
  <dimension ref="B2:H78"/>
  <sheetViews>
    <sheetView zoomScale="70" zoomScaleNormal="70" workbookViewId="0">
      <selection activeCell="F3" sqref="F3"/>
    </sheetView>
  </sheetViews>
  <sheetFormatPr baseColWidth="10" defaultColWidth="11.44140625" defaultRowHeight="14.4" x14ac:dyDescent="0.3"/>
  <cols>
    <col min="1" max="1" width="8.44140625" customWidth="1"/>
    <col min="2" max="2" width="14.6640625" customWidth="1"/>
    <col min="3" max="3" width="27.33203125" customWidth="1"/>
    <col min="4" max="4" width="21.44140625" customWidth="1"/>
    <col min="5" max="5" width="18.44140625" customWidth="1"/>
    <col min="6" max="6" width="21.77734375" customWidth="1"/>
    <col min="7" max="7" width="14.44140625" customWidth="1"/>
    <col min="8" max="8" width="28.33203125" customWidth="1"/>
  </cols>
  <sheetData>
    <row r="2" spans="2:8" ht="21" customHeight="1" x14ac:dyDescent="0.4">
      <c r="B2" s="188" t="s">
        <v>978</v>
      </c>
      <c r="D2" s="290"/>
      <c r="F2" s="290"/>
    </row>
    <row r="3" spans="2:8" ht="18" customHeight="1" x14ac:dyDescent="0.35">
      <c r="B3" s="290"/>
      <c r="D3" s="290"/>
      <c r="F3" s="290"/>
    </row>
    <row r="4" spans="2:8" ht="18" x14ac:dyDescent="0.35">
      <c r="B4" s="290" t="s">
        <v>101</v>
      </c>
    </row>
    <row r="5" spans="2:8" ht="28.8" x14ac:dyDescent="0.3">
      <c r="B5" s="292" t="s">
        <v>79</v>
      </c>
      <c r="C5" s="312" t="s">
        <v>979</v>
      </c>
      <c r="D5" s="312" t="s">
        <v>980</v>
      </c>
      <c r="E5" s="312" t="s">
        <v>981</v>
      </c>
      <c r="F5" s="292" t="s">
        <v>606</v>
      </c>
      <c r="G5" s="1162" t="s">
        <v>982</v>
      </c>
      <c r="H5" s="1163"/>
    </row>
    <row r="6" spans="2:8" x14ac:dyDescent="0.3">
      <c r="B6" s="123"/>
      <c r="C6" s="123"/>
      <c r="D6" s="253"/>
      <c r="E6" s="253"/>
      <c r="F6" s="123"/>
      <c r="G6" s="1162"/>
      <c r="H6" s="1163"/>
    </row>
    <row r="7" spans="2:8" x14ac:dyDescent="0.3">
      <c r="B7" s="1164" t="s">
        <v>248</v>
      </c>
      <c r="C7" s="124" t="s">
        <v>983</v>
      </c>
      <c r="D7" s="253" t="s">
        <v>984</v>
      </c>
      <c r="E7" s="409">
        <v>1</v>
      </c>
      <c r="F7" s="123"/>
      <c r="G7" s="1162"/>
      <c r="H7" s="1163"/>
    </row>
    <row r="8" spans="2:8" ht="15" customHeight="1" x14ac:dyDescent="0.3">
      <c r="B8" s="1164"/>
      <c r="C8" s="124" t="s">
        <v>71</v>
      </c>
      <c r="D8" s="253" t="s">
        <v>71</v>
      </c>
      <c r="E8" s="409">
        <v>1</v>
      </c>
      <c r="F8" s="123"/>
      <c r="G8" s="1162"/>
      <c r="H8" s="1163"/>
    </row>
    <row r="9" spans="2:8" x14ac:dyDescent="0.3">
      <c r="B9" s="1164"/>
      <c r="C9" s="124" t="s">
        <v>98</v>
      </c>
      <c r="D9" s="253" t="s">
        <v>98</v>
      </c>
      <c r="E9" s="409">
        <v>1</v>
      </c>
      <c r="F9" s="123"/>
      <c r="G9" s="1162"/>
      <c r="H9" s="1163"/>
    </row>
    <row r="10" spans="2:8" x14ac:dyDescent="0.3">
      <c r="B10" s="1164"/>
      <c r="C10" s="124" t="s">
        <v>56</v>
      </c>
      <c r="D10" s="253" t="s">
        <v>985</v>
      </c>
      <c r="E10" s="409">
        <v>0.38500000000000001</v>
      </c>
      <c r="F10" s="123" t="s">
        <v>986</v>
      </c>
      <c r="G10" s="1162"/>
      <c r="H10" s="1163"/>
    </row>
    <row r="11" spans="2:8" x14ac:dyDescent="0.3">
      <c r="B11" s="1164"/>
      <c r="C11" s="124" t="s">
        <v>987</v>
      </c>
      <c r="D11" s="253" t="s">
        <v>987</v>
      </c>
      <c r="E11" s="409">
        <v>1</v>
      </c>
      <c r="F11" s="123"/>
      <c r="G11" s="1162"/>
      <c r="H11" s="1163"/>
    </row>
    <row r="12" spans="2:8" x14ac:dyDescent="0.3">
      <c r="B12" s="1164"/>
      <c r="C12" s="124" t="s">
        <v>166</v>
      </c>
      <c r="D12" s="1132">
        <v>1</v>
      </c>
      <c r="E12" s="1133"/>
      <c r="F12" s="1133"/>
      <c r="G12" s="1162"/>
      <c r="H12" s="1163"/>
    </row>
    <row r="13" spans="2:8" x14ac:dyDescent="0.3">
      <c r="B13" s="1164"/>
      <c r="C13" s="124" t="s">
        <v>237</v>
      </c>
      <c r="D13" s="1132">
        <v>1</v>
      </c>
      <c r="E13" s="1133"/>
      <c r="F13" s="1133"/>
      <c r="G13" s="1162"/>
      <c r="H13" s="1163"/>
    </row>
    <row r="14" spans="2:8" ht="16.2" customHeight="1" x14ac:dyDescent="0.3">
      <c r="B14" s="1167" t="s">
        <v>988</v>
      </c>
      <c r="C14" s="151" t="s">
        <v>989</v>
      </c>
      <c r="D14" s="253" t="s">
        <v>98</v>
      </c>
      <c r="E14" s="416">
        <v>1</v>
      </c>
      <c r="F14" s="123"/>
      <c r="G14" s="1162"/>
      <c r="H14" s="1163"/>
    </row>
    <row r="15" spans="2:8" x14ac:dyDescent="0.3">
      <c r="B15" s="1168"/>
      <c r="C15" s="151" t="s">
        <v>990</v>
      </c>
      <c r="D15" s="253" t="s">
        <v>990</v>
      </c>
      <c r="E15" s="409">
        <v>1</v>
      </c>
      <c r="F15" s="124"/>
      <c r="G15" s="1162"/>
      <c r="H15" s="1163"/>
    </row>
    <row r="16" spans="2:8" ht="15.6" x14ac:dyDescent="0.3">
      <c r="B16" s="1168"/>
      <c r="C16" s="97" t="s">
        <v>991</v>
      </c>
      <c r="D16" s="313" t="s">
        <v>791</v>
      </c>
      <c r="E16" s="410">
        <v>1</v>
      </c>
      <c r="F16" s="314"/>
      <c r="G16" s="1162"/>
      <c r="H16" s="1163"/>
    </row>
    <row r="17" spans="2:8" ht="15.6" x14ac:dyDescent="0.3">
      <c r="B17" s="1169"/>
      <c r="C17" s="97" t="s">
        <v>992</v>
      </c>
      <c r="D17" s="315" t="s">
        <v>789</v>
      </c>
      <c r="E17" s="410">
        <v>1</v>
      </c>
      <c r="F17" s="133"/>
      <c r="G17" s="1162"/>
      <c r="H17" s="1163"/>
    </row>
    <row r="18" spans="2:8" ht="16.2" customHeight="1" x14ac:dyDescent="0.3">
      <c r="B18" s="1167" t="s">
        <v>993</v>
      </c>
      <c r="C18" s="151" t="s">
        <v>994</v>
      </c>
      <c r="D18" s="253" t="s">
        <v>30</v>
      </c>
      <c r="E18" s="409">
        <v>1</v>
      </c>
      <c r="F18" s="123"/>
      <c r="G18" s="1162"/>
      <c r="H18" s="1163"/>
    </row>
    <row r="19" spans="2:8" x14ac:dyDescent="0.3">
      <c r="B19" s="1168"/>
      <c r="C19" s="151" t="s">
        <v>995</v>
      </c>
      <c r="D19" s="253" t="s">
        <v>996</v>
      </c>
      <c r="E19" s="409">
        <v>1</v>
      </c>
      <c r="F19" s="123"/>
      <c r="G19" s="1162"/>
      <c r="H19" s="1163"/>
    </row>
    <row r="20" spans="2:8" x14ac:dyDescent="0.3">
      <c r="B20" s="1168"/>
      <c r="C20" s="124" t="s">
        <v>997</v>
      </c>
      <c r="D20" s="750" t="s">
        <v>990</v>
      </c>
      <c r="E20" s="409">
        <v>1</v>
      </c>
      <c r="F20" s="124"/>
      <c r="G20" s="1162"/>
      <c r="H20" s="1163"/>
    </row>
    <row r="21" spans="2:8" ht="14.55" customHeight="1" x14ac:dyDescent="0.3">
      <c r="B21" s="1168"/>
      <c r="C21" s="124" t="s">
        <v>998</v>
      </c>
      <c r="D21" s="253" t="s">
        <v>858</v>
      </c>
      <c r="E21" s="409">
        <v>1</v>
      </c>
      <c r="F21" s="123"/>
      <c r="G21" s="1162"/>
      <c r="H21" s="1163"/>
    </row>
    <row r="22" spans="2:8" ht="15.6" x14ac:dyDescent="0.3">
      <c r="B22" s="1168"/>
      <c r="C22" s="97" t="s">
        <v>999</v>
      </c>
      <c r="D22" s="751" t="s">
        <v>792</v>
      </c>
      <c r="E22" s="410">
        <v>1</v>
      </c>
      <c r="F22" s="133"/>
      <c r="G22" s="1162"/>
      <c r="H22" s="1163"/>
    </row>
    <row r="23" spans="2:8" ht="15.6" x14ac:dyDescent="0.3">
      <c r="B23" s="1169"/>
      <c r="C23" s="97" t="s">
        <v>1000</v>
      </c>
      <c r="D23" s="751" t="s">
        <v>872</v>
      </c>
      <c r="E23" s="410">
        <v>1</v>
      </c>
      <c r="F23" s="133"/>
      <c r="G23" s="1162"/>
      <c r="H23" s="1163"/>
    </row>
    <row r="25" spans="2:8" x14ac:dyDescent="0.3">
      <c r="B25" s="316"/>
      <c r="C25" s="104"/>
      <c r="D25" s="317"/>
      <c r="E25" s="317"/>
      <c r="F25" s="256"/>
    </row>
    <row r="26" spans="2:8" ht="18" x14ac:dyDescent="0.35">
      <c r="B26" s="290" t="s">
        <v>102</v>
      </c>
    </row>
    <row r="27" spans="2:8" ht="30" customHeight="1" x14ac:dyDescent="0.3">
      <c r="B27" s="292" t="s">
        <v>79</v>
      </c>
      <c r="C27" s="312" t="s">
        <v>979</v>
      </c>
      <c r="D27" s="312" t="s">
        <v>980</v>
      </c>
      <c r="E27" s="312" t="s">
        <v>981</v>
      </c>
      <c r="F27" s="292" t="s">
        <v>606</v>
      </c>
      <c r="G27" s="1162" t="s">
        <v>982</v>
      </c>
      <c r="H27" s="1163"/>
    </row>
    <row r="28" spans="2:8" x14ac:dyDescent="0.3">
      <c r="B28" s="123"/>
      <c r="C28" s="123"/>
      <c r="D28" s="253"/>
      <c r="E28" s="253"/>
      <c r="F28" s="123"/>
      <c r="G28" s="1162"/>
      <c r="H28" s="1163"/>
    </row>
    <row r="29" spans="2:8" x14ac:dyDescent="0.3">
      <c r="B29" s="1164" t="s">
        <v>248</v>
      </c>
      <c r="C29" s="124" t="s">
        <v>983</v>
      </c>
      <c r="D29" s="253" t="s">
        <v>984</v>
      </c>
      <c r="E29" s="409">
        <v>1</v>
      </c>
      <c r="F29" s="123"/>
      <c r="G29" s="1162"/>
      <c r="H29" s="1163"/>
    </row>
    <row r="30" spans="2:8" x14ac:dyDescent="0.3">
      <c r="B30" s="1164"/>
      <c r="C30" s="124" t="s">
        <v>71</v>
      </c>
      <c r="D30" s="253" t="s">
        <v>71</v>
      </c>
      <c r="E30" s="409">
        <v>1</v>
      </c>
      <c r="F30" s="123"/>
      <c r="G30" s="1162"/>
      <c r="H30" s="1163"/>
    </row>
    <row r="31" spans="2:8" x14ac:dyDescent="0.3">
      <c r="B31" s="1164"/>
      <c r="C31" s="124" t="s">
        <v>98</v>
      </c>
      <c r="D31" s="253" t="s">
        <v>98</v>
      </c>
      <c r="E31" s="409">
        <v>1</v>
      </c>
      <c r="F31" s="123"/>
      <c r="G31" s="1162"/>
      <c r="H31" s="1163"/>
    </row>
    <row r="32" spans="2:8" x14ac:dyDescent="0.3">
      <c r="B32" s="1164"/>
      <c r="C32" s="124" t="s">
        <v>56</v>
      </c>
      <c r="D32" s="253" t="s">
        <v>98</v>
      </c>
      <c r="E32" s="409">
        <v>0.38500000000000001</v>
      </c>
      <c r="F32" s="123" t="s">
        <v>986</v>
      </c>
      <c r="G32" s="1162"/>
      <c r="H32" s="1163"/>
    </row>
    <row r="33" spans="2:8" x14ac:dyDescent="0.3">
      <c r="B33" s="1164"/>
      <c r="C33" s="151" t="s">
        <v>987</v>
      </c>
      <c r="D33" s="253" t="s">
        <v>987</v>
      </c>
      <c r="E33" s="409">
        <v>1</v>
      </c>
      <c r="F33" s="454"/>
      <c r="G33" s="1162"/>
      <c r="H33" s="1163"/>
    </row>
    <row r="34" spans="2:8" x14ac:dyDescent="0.3">
      <c r="B34" s="1164"/>
      <c r="C34" s="151" t="s">
        <v>166</v>
      </c>
      <c r="D34" s="1132">
        <v>1</v>
      </c>
      <c r="E34" s="1134"/>
      <c r="F34" s="454"/>
      <c r="G34" s="1162"/>
      <c r="H34" s="1163"/>
    </row>
    <row r="35" spans="2:8" x14ac:dyDescent="0.3">
      <c r="B35" s="1164"/>
      <c r="C35" s="124" t="s">
        <v>237</v>
      </c>
      <c r="D35" s="1132">
        <v>1</v>
      </c>
      <c r="E35" s="1134"/>
      <c r="F35" s="454"/>
      <c r="G35" s="1162"/>
      <c r="H35" s="1163"/>
    </row>
    <row r="36" spans="2:8" x14ac:dyDescent="0.3">
      <c r="B36" s="1167" t="s">
        <v>625</v>
      </c>
      <c r="C36" s="124" t="s">
        <v>71</v>
      </c>
      <c r="D36" s="253" t="s">
        <v>71</v>
      </c>
      <c r="E36" s="409">
        <v>1</v>
      </c>
      <c r="F36" s="454"/>
      <c r="G36" s="1162"/>
      <c r="H36" s="1163"/>
    </row>
    <row r="37" spans="2:8" x14ac:dyDescent="0.3">
      <c r="B37" s="1168"/>
      <c r="C37" s="124" t="s">
        <v>983</v>
      </c>
      <c r="D37" s="253" t="s">
        <v>97</v>
      </c>
      <c r="E37" s="409">
        <v>1</v>
      </c>
      <c r="F37" s="454"/>
      <c r="G37" s="1162"/>
      <c r="H37" s="1163"/>
    </row>
    <row r="38" spans="2:8" x14ac:dyDescent="0.3">
      <c r="B38" s="1168"/>
      <c r="C38" s="124" t="s">
        <v>987</v>
      </c>
      <c r="D38" s="253" t="s">
        <v>987</v>
      </c>
      <c r="E38" s="409">
        <v>1</v>
      </c>
      <c r="F38" s="454"/>
      <c r="G38" s="1162"/>
      <c r="H38" s="1163"/>
    </row>
    <row r="39" spans="2:8" x14ac:dyDescent="0.3">
      <c r="B39" s="1168"/>
      <c r="C39" s="124" t="s">
        <v>166</v>
      </c>
      <c r="D39" s="1165">
        <v>1</v>
      </c>
      <c r="E39" s="1166"/>
      <c r="F39" s="454"/>
      <c r="G39" s="1162"/>
      <c r="H39" s="1163"/>
    </row>
    <row r="40" spans="2:8" x14ac:dyDescent="0.3">
      <c r="B40" s="1168"/>
      <c r="C40" s="124" t="s">
        <v>537</v>
      </c>
      <c r="D40" s="750" t="s">
        <v>1001</v>
      </c>
      <c r="E40" s="409">
        <v>1</v>
      </c>
      <c r="F40" s="454"/>
      <c r="G40" s="1162"/>
      <c r="H40" s="1163"/>
    </row>
    <row r="41" spans="2:8" x14ac:dyDescent="0.3">
      <c r="B41" s="1168"/>
      <c r="C41" s="151" t="s">
        <v>234</v>
      </c>
      <c r="D41" s="253" t="s">
        <v>1002</v>
      </c>
      <c r="E41" s="409">
        <v>1</v>
      </c>
      <c r="F41" s="454"/>
      <c r="G41" s="1162"/>
      <c r="H41" s="1163"/>
    </row>
    <row r="42" spans="2:8" x14ac:dyDescent="0.3">
      <c r="B42" s="1169"/>
      <c r="C42" s="151" t="s">
        <v>1003</v>
      </c>
      <c r="D42" s="1132">
        <v>1</v>
      </c>
      <c r="E42" s="1134"/>
      <c r="F42" s="454"/>
      <c r="G42" s="1162"/>
      <c r="H42" s="1163"/>
    </row>
    <row r="43" spans="2:8" x14ac:dyDescent="0.3">
      <c r="B43" s="1170" t="s">
        <v>859</v>
      </c>
      <c r="C43" s="124" t="s">
        <v>55</v>
      </c>
      <c r="D43" s="253" t="s">
        <v>55</v>
      </c>
      <c r="E43" s="409">
        <v>1</v>
      </c>
      <c r="F43" s="123"/>
      <c r="G43" s="1162"/>
      <c r="H43" s="1163"/>
    </row>
    <row r="44" spans="2:8" x14ac:dyDescent="0.3">
      <c r="B44" s="1170"/>
      <c r="C44" s="151" t="s">
        <v>559</v>
      </c>
      <c r="D44" s="253" t="s">
        <v>98</v>
      </c>
      <c r="E44" s="416">
        <v>1</v>
      </c>
      <c r="F44" s="123"/>
      <c r="G44" s="1162"/>
      <c r="H44" s="1163"/>
    </row>
    <row r="45" spans="2:8" x14ac:dyDescent="0.3">
      <c r="B45" s="1170"/>
      <c r="C45" s="151" t="s">
        <v>997</v>
      </c>
      <c r="D45" s="253" t="s">
        <v>990</v>
      </c>
      <c r="E45" s="409">
        <v>1</v>
      </c>
      <c r="F45" s="124"/>
      <c r="G45" s="1162"/>
      <c r="H45" s="1163"/>
    </row>
    <row r="46" spans="2:8" x14ac:dyDescent="0.3">
      <c r="B46" s="1170"/>
      <c r="C46" s="124" t="s">
        <v>998</v>
      </c>
      <c r="D46" s="253" t="s">
        <v>858</v>
      </c>
      <c r="E46" s="409">
        <v>1</v>
      </c>
      <c r="F46" s="123"/>
      <c r="G46" s="1162"/>
      <c r="H46" s="1163"/>
    </row>
    <row r="47" spans="2:8" ht="15.6" x14ac:dyDescent="0.3">
      <c r="B47" s="1170"/>
      <c r="C47" s="97" t="s">
        <v>991</v>
      </c>
      <c r="D47" s="752" t="s">
        <v>791</v>
      </c>
      <c r="E47" s="410">
        <v>1</v>
      </c>
      <c r="F47" s="314"/>
      <c r="G47" s="1162"/>
      <c r="H47" s="1163"/>
    </row>
    <row r="48" spans="2:8" ht="15.6" x14ac:dyDescent="0.3">
      <c r="B48" s="1170"/>
      <c r="C48" s="97" t="s">
        <v>992</v>
      </c>
      <c r="D48" s="315" t="s">
        <v>789</v>
      </c>
      <c r="E48" s="410">
        <v>1</v>
      </c>
      <c r="F48" s="133"/>
      <c r="G48" s="1162"/>
      <c r="H48" s="1163"/>
    </row>
    <row r="49" spans="2:8" ht="15.6" x14ac:dyDescent="0.3">
      <c r="B49" s="1170"/>
      <c r="C49" s="97" t="s">
        <v>999</v>
      </c>
      <c r="D49" s="315" t="s">
        <v>792</v>
      </c>
      <c r="E49" s="410">
        <v>1</v>
      </c>
      <c r="F49" s="133"/>
      <c r="G49" s="1162"/>
      <c r="H49" s="1163"/>
    </row>
    <row r="50" spans="2:8" x14ac:dyDescent="0.3">
      <c r="B50" s="1170"/>
      <c r="C50" s="97" t="s">
        <v>63</v>
      </c>
      <c r="D50" s="315" t="s">
        <v>872</v>
      </c>
      <c r="E50" s="452">
        <v>1</v>
      </c>
      <c r="F50" s="133"/>
      <c r="G50" s="1162"/>
      <c r="H50" s="1163"/>
    </row>
    <row r="51" spans="2:8" x14ac:dyDescent="0.3">
      <c r="E51" s="453"/>
    </row>
    <row r="53" spans="2:8" ht="18" x14ac:dyDescent="0.35">
      <c r="B53" s="290" t="s">
        <v>103</v>
      </c>
    </row>
    <row r="54" spans="2:8" ht="30" customHeight="1" x14ac:dyDescent="0.3">
      <c r="B54" s="292" t="s">
        <v>79</v>
      </c>
      <c r="C54" s="312" t="s">
        <v>979</v>
      </c>
      <c r="D54" s="312" t="s">
        <v>980</v>
      </c>
      <c r="E54" s="312" t="s">
        <v>981</v>
      </c>
      <c r="F54" s="292" t="s">
        <v>606</v>
      </c>
      <c r="G54" s="1162" t="s">
        <v>982</v>
      </c>
      <c r="H54" s="1163"/>
    </row>
    <row r="55" spans="2:8" x14ac:dyDescent="0.3">
      <c r="B55" s="123"/>
      <c r="C55" s="123"/>
      <c r="D55" s="253"/>
      <c r="E55" s="253"/>
      <c r="F55" s="123"/>
      <c r="G55" s="1162"/>
      <c r="H55" s="1163"/>
    </row>
    <row r="56" spans="2:8" ht="14.55" customHeight="1" x14ac:dyDescent="0.3">
      <c r="B56" s="1177" t="s">
        <v>248</v>
      </c>
      <c r="C56" s="124" t="s">
        <v>983</v>
      </c>
      <c r="D56" s="253" t="s">
        <v>984</v>
      </c>
      <c r="E56" s="409">
        <v>1</v>
      </c>
      <c r="F56" s="123"/>
      <c r="G56" s="1162"/>
      <c r="H56" s="1163"/>
    </row>
    <row r="57" spans="2:8" x14ac:dyDescent="0.3">
      <c r="B57" s="1178"/>
      <c r="C57" s="124" t="s">
        <v>71</v>
      </c>
      <c r="D57" s="253" t="s">
        <v>71</v>
      </c>
      <c r="E57" s="409">
        <v>1</v>
      </c>
      <c r="F57" s="123"/>
      <c r="G57" s="1162"/>
      <c r="H57" s="1163"/>
    </row>
    <row r="58" spans="2:8" x14ac:dyDescent="0.3">
      <c r="B58" s="1178"/>
      <c r="C58" s="124" t="s">
        <v>98</v>
      </c>
      <c r="D58" s="253" t="s">
        <v>98</v>
      </c>
      <c r="E58" s="409">
        <v>1</v>
      </c>
      <c r="F58" s="123"/>
      <c r="G58" s="1162"/>
      <c r="H58" s="1163"/>
    </row>
    <row r="59" spans="2:8" x14ac:dyDescent="0.3">
      <c r="B59" s="1178"/>
      <c r="C59" s="124" t="s">
        <v>56</v>
      </c>
      <c r="D59" s="253" t="s">
        <v>98</v>
      </c>
      <c r="E59" s="409">
        <v>0.38500000000000001</v>
      </c>
      <c r="F59" s="123" t="s">
        <v>986</v>
      </c>
      <c r="G59" s="1162"/>
      <c r="H59" s="1163"/>
    </row>
    <row r="60" spans="2:8" x14ac:dyDescent="0.3">
      <c r="B60" s="1178"/>
      <c r="C60" s="124" t="s">
        <v>987</v>
      </c>
      <c r="D60" s="253" t="s">
        <v>987</v>
      </c>
      <c r="E60" s="409">
        <v>1</v>
      </c>
      <c r="F60" s="123"/>
      <c r="G60" s="1162"/>
      <c r="H60" s="1163"/>
    </row>
    <row r="61" spans="2:8" x14ac:dyDescent="0.3">
      <c r="B61" s="1178"/>
      <c r="C61" s="124" t="s">
        <v>166</v>
      </c>
      <c r="D61" s="1132">
        <v>1</v>
      </c>
      <c r="E61" s="1134"/>
      <c r="F61" s="454"/>
      <c r="G61" s="1162"/>
      <c r="H61" s="1163"/>
    </row>
    <row r="62" spans="2:8" ht="15" thickBot="1" x14ac:dyDescent="0.35">
      <c r="B62" s="1178"/>
      <c r="C62" s="124" t="s">
        <v>237</v>
      </c>
      <c r="D62" s="1175">
        <v>1</v>
      </c>
      <c r="E62" s="1176"/>
      <c r="F62" s="455"/>
      <c r="G62" s="1162"/>
      <c r="H62" s="1163"/>
    </row>
    <row r="63" spans="2:8" ht="14.55" customHeight="1" x14ac:dyDescent="0.3">
      <c r="B63" s="1167" t="s">
        <v>1004</v>
      </c>
      <c r="C63" s="124" t="s">
        <v>71</v>
      </c>
      <c r="D63" s="459" t="s">
        <v>71</v>
      </c>
      <c r="E63" s="416">
        <v>1</v>
      </c>
      <c r="F63" s="123"/>
      <c r="G63" s="1162"/>
      <c r="H63" s="1163"/>
    </row>
    <row r="64" spans="2:8" x14ac:dyDescent="0.3">
      <c r="B64" s="1168"/>
      <c r="C64" s="124" t="s">
        <v>983</v>
      </c>
      <c r="D64" s="459" t="s">
        <v>97</v>
      </c>
      <c r="E64" s="416">
        <v>1</v>
      </c>
      <c r="F64" s="123"/>
      <c r="G64" s="1162"/>
      <c r="H64" s="1163"/>
    </row>
    <row r="65" spans="2:8" x14ac:dyDescent="0.3">
      <c r="B65" s="1168"/>
      <c r="C65" s="124" t="s">
        <v>50</v>
      </c>
      <c r="D65" s="1173">
        <v>1</v>
      </c>
      <c r="E65" s="1174"/>
      <c r="F65" s="454"/>
      <c r="G65" s="1162"/>
      <c r="H65" s="1163"/>
    </row>
    <row r="66" spans="2:8" x14ac:dyDescent="0.3">
      <c r="B66" s="1168"/>
      <c r="C66" s="124" t="s">
        <v>1005</v>
      </c>
      <c r="D66" s="459"/>
      <c r="E66" s="416">
        <v>1</v>
      </c>
      <c r="F66" s="123"/>
      <c r="G66" s="1162"/>
      <c r="H66" s="1163"/>
    </row>
    <row r="67" spans="2:8" x14ac:dyDescent="0.3">
      <c r="B67" s="1168"/>
      <c r="C67" s="124" t="s">
        <v>233</v>
      </c>
      <c r="D67" s="459"/>
      <c r="E67" s="416">
        <v>1</v>
      </c>
      <c r="F67" s="123"/>
      <c r="G67" s="1162"/>
      <c r="H67" s="1163"/>
    </row>
    <row r="68" spans="2:8" x14ac:dyDescent="0.3">
      <c r="B68" s="1168"/>
      <c r="C68" s="151" t="s">
        <v>537</v>
      </c>
      <c r="D68" s="459"/>
      <c r="E68" s="460">
        <v>1</v>
      </c>
      <c r="F68" s="318"/>
      <c r="G68" s="1162"/>
      <c r="H68" s="1163"/>
    </row>
    <row r="69" spans="2:8" x14ac:dyDescent="0.3">
      <c r="B69" s="1168"/>
      <c r="C69" s="124" t="s">
        <v>234</v>
      </c>
      <c r="D69" s="459"/>
      <c r="E69" s="460">
        <v>1</v>
      </c>
      <c r="F69" s="318"/>
      <c r="G69" s="1162"/>
      <c r="H69" s="1163"/>
    </row>
    <row r="70" spans="2:8" x14ac:dyDescent="0.3">
      <c r="B70" s="1169"/>
      <c r="C70" s="124" t="s">
        <v>1006</v>
      </c>
      <c r="D70" s="1171">
        <v>1</v>
      </c>
      <c r="E70" s="1172"/>
      <c r="F70" s="318"/>
      <c r="G70" s="1162"/>
      <c r="H70" s="1163"/>
    </row>
    <row r="71" spans="2:8" x14ac:dyDescent="0.3">
      <c r="B71" s="1170" t="s">
        <v>859</v>
      </c>
      <c r="C71" s="124" t="s">
        <v>55</v>
      </c>
      <c r="D71" s="253" t="s">
        <v>55</v>
      </c>
      <c r="E71" s="416">
        <v>1</v>
      </c>
      <c r="F71" s="123"/>
      <c r="G71" s="1162"/>
      <c r="H71" s="1163"/>
    </row>
    <row r="72" spans="2:8" x14ac:dyDescent="0.3">
      <c r="B72" s="1170"/>
      <c r="C72" s="151" t="s">
        <v>559</v>
      </c>
      <c r="D72" s="253" t="s">
        <v>98</v>
      </c>
      <c r="E72" s="416">
        <v>1</v>
      </c>
      <c r="F72" s="123"/>
      <c r="G72" s="1162"/>
      <c r="H72" s="1163"/>
    </row>
    <row r="73" spans="2:8" x14ac:dyDescent="0.3">
      <c r="B73" s="1170"/>
      <c r="C73" s="151" t="s">
        <v>997</v>
      </c>
      <c r="D73" s="750" t="s">
        <v>990</v>
      </c>
      <c r="E73" s="416">
        <v>1</v>
      </c>
      <c r="F73" s="124"/>
      <c r="G73" s="1162"/>
      <c r="H73" s="1163"/>
    </row>
    <row r="74" spans="2:8" x14ac:dyDescent="0.3">
      <c r="B74" s="1170"/>
      <c r="C74" s="151" t="s">
        <v>998</v>
      </c>
      <c r="D74" s="750" t="s">
        <v>858</v>
      </c>
      <c r="E74" s="416">
        <v>1</v>
      </c>
      <c r="F74" s="123"/>
      <c r="G74" s="1162"/>
      <c r="H74" s="1163"/>
    </row>
    <row r="75" spans="2:8" ht="15.6" x14ac:dyDescent="0.3">
      <c r="B75" s="1170"/>
      <c r="C75" s="97" t="s">
        <v>991</v>
      </c>
      <c r="D75" s="752" t="s">
        <v>791</v>
      </c>
      <c r="E75" s="458">
        <v>1</v>
      </c>
      <c r="F75" s="314"/>
      <c r="G75" s="1162"/>
      <c r="H75" s="1163"/>
    </row>
    <row r="76" spans="2:8" ht="15.6" x14ac:dyDescent="0.3">
      <c r="B76" s="1170"/>
      <c r="C76" s="97" t="s">
        <v>992</v>
      </c>
      <c r="D76" s="751" t="s">
        <v>789</v>
      </c>
      <c r="E76" s="458">
        <v>1</v>
      </c>
      <c r="F76" s="133"/>
      <c r="G76" s="1162"/>
      <c r="H76" s="1163"/>
    </row>
    <row r="77" spans="2:8" ht="15.6" x14ac:dyDescent="0.3">
      <c r="B77" s="1170"/>
      <c r="C77" s="97" t="s">
        <v>999</v>
      </c>
      <c r="D77" s="751" t="s">
        <v>792</v>
      </c>
      <c r="E77" s="458">
        <v>1</v>
      </c>
      <c r="F77" s="133"/>
      <c r="G77" s="1162"/>
      <c r="H77" s="1163"/>
    </row>
    <row r="78" spans="2:8" x14ac:dyDescent="0.3">
      <c r="B78" s="1170"/>
      <c r="C78" s="97" t="s">
        <v>63</v>
      </c>
      <c r="D78" s="751" t="s">
        <v>872</v>
      </c>
      <c r="E78" s="458">
        <v>1</v>
      </c>
      <c r="F78" s="133"/>
      <c r="G78" s="1162"/>
      <c r="H78" s="1163"/>
    </row>
  </sheetData>
  <mergeCells count="22">
    <mergeCell ref="G54:H78"/>
    <mergeCell ref="B71:B78"/>
    <mergeCell ref="B63:B70"/>
    <mergeCell ref="D70:E70"/>
    <mergeCell ref="B36:B42"/>
    <mergeCell ref="B43:B50"/>
    <mergeCell ref="D42:E42"/>
    <mergeCell ref="D65:E65"/>
    <mergeCell ref="D61:E61"/>
    <mergeCell ref="D62:E62"/>
    <mergeCell ref="B56:B62"/>
    <mergeCell ref="G5:H23"/>
    <mergeCell ref="G27:H50"/>
    <mergeCell ref="B29:B35"/>
    <mergeCell ref="D39:E39"/>
    <mergeCell ref="D34:E34"/>
    <mergeCell ref="D35:E35"/>
    <mergeCell ref="B7:B13"/>
    <mergeCell ref="D12:F12"/>
    <mergeCell ref="D13:F13"/>
    <mergeCell ref="B14:B17"/>
    <mergeCell ref="B18:B23"/>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51">
    <tabColor theme="0" tint="-0.499984740745262"/>
  </sheetPr>
  <dimension ref="A1:E5"/>
  <sheetViews>
    <sheetView workbookViewId="0"/>
  </sheetViews>
  <sheetFormatPr baseColWidth="10" defaultColWidth="11.44140625" defaultRowHeight="13.8" x14ac:dyDescent="0.25"/>
  <cols>
    <col min="1" max="1" width="17.77734375" style="1" bestFit="1" customWidth="1"/>
    <col min="2" max="2" width="13.109375" style="1" bestFit="1" customWidth="1"/>
    <col min="3" max="3" width="16.44140625" style="1" bestFit="1" customWidth="1"/>
    <col min="4" max="4" width="23.77734375" style="1" bestFit="1" customWidth="1"/>
    <col min="5" max="16384" width="11.44140625" style="1"/>
  </cols>
  <sheetData>
    <row r="1" spans="1:5" ht="15.6" x14ac:dyDescent="0.3">
      <c r="A1" s="748" t="s">
        <v>1007</v>
      </c>
      <c r="B1" s="749" t="s">
        <v>1008</v>
      </c>
      <c r="C1" s="749" t="s">
        <v>1009</v>
      </c>
      <c r="D1" s="749" t="s">
        <v>1010</v>
      </c>
      <c r="E1" s="749" t="s">
        <v>1011</v>
      </c>
    </row>
    <row r="2" spans="1:5" x14ac:dyDescent="0.25">
      <c r="A2" s="1" t="s">
        <v>126</v>
      </c>
      <c r="B2" s="1">
        <v>2500</v>
      </c>
      <c r="C2" s="1">
        <v>1</v>
      </c>
      <c r="D2" s="1">
        <v>1</v>
      </c>
      <c r="E2" s="1" t="s">
        <v>1012</v>
      </c>
    </row>
    <row r="3" spans="1:5" x14ac:dyDescent="0.25">
      <c r="A3" s="1" t="s">
        <v>1013</v>
      </c>
      <c r="B3" s="1">
        <v>25000</v>
      </c>
      <c r="C3" s="1">
        <v>2</v>
      </c>
      <c r="D3" s="1">
        <v>2</v>
      </c>
      <c r="E3" s="1" t="s">
        <v>1014</v>
      </c>
    </row>
    <row r="4" spans="1:5" x14ac:dyDescent="0.25">
      <c r="A4" s="1" t="s">
        <v>128</v>
      </c>
      <c r="B4" s="1">
        <v>75000</v>
      </c>
      <c r="C4" s="1">
        <v>3</v>
      </c>
      <c r="D4" s="1">
        <v>3</v>
      </c>
    </row>
    <row r="5" spans="1:5" x14ac:dyDescent="0.25">
      <c r="A5" s="1" t="s">
        <v>1014</v>
      </c>
    </row>
  </sheetData>
  <dataConsolidate function="mi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8">
    <tabColor rgb="FF99B2BC"/>
  </sheetPr>
  <dimension ref="A1:N68"/>
  <sheetViews>
    <sheetView zoomScale="70" zoomScaleNormal="70" workbookViewId="0">
      <selection activeCell="E17" sqref="E17"/>
    </sheetView>
  </sheetViews>
  <sheetFormatPr baseColWidth="10" defaultColWidth="9.109375" defaultRowHeight="13.8" x14ac:dyDescent="0.25"/>
  <cols>
    <col min="1" max="1" width="3.109375" style="4" customWidth="1"/>
    <col min="2" max="14" width="21.6640625" style="4" customWidth="1"/>
    <col min="15" max="16384" width="9.109375" style="4"/>
  </cols>
  <sheetData>
    <row r="1" spans="1:14" ht="45" customHeight="1" x14ac:dyDescent="0.25">
      <c r="A1" s="3"/>
      <c r="B1" s="3"/>
      <c r="C1" s="1072" t="s">
        <v>12</v>
      </c>
      <c r="D1" s="1072"/>
      <c r="E1" s="1072"/>
      <c r="F1" s="1072"/>
      <c r="G1" s="1072"/>
      <c r="H1" s="1072"/>
      <c r="I1" s="1072"/>
      <c r="J1" s="3"/>
      <c r="K1" s="3"/>
      <c r="L1" s="3"/>
      <c r="M1" s="3"/>
      <c r="N1" s="3"/>
    </row>
    <row r="3" spans="1:14" x14ac:dyDescent="0.25">
      <c r="A3" s="5"/>
      <c r="B3" s="5"/>
      <c r="C3" s="5"/>
      <c r="D3" s="5"/>
      <c r="E3" s="5"/>
      <c r="F3" s="5"/>
      <c r="G3" s="5"/>
      <c r="H3" s="5"/>
      <c r="I3" s="5"/>
      <c r="J3" s="5"/>
      <c r="K3" s="5"/>
      <c r="L3" s="5"/>
      <c r="M3" s="5"/>
      <c r="N3" s="5"/>
    </row>
    <row r="5" spans="1:14" ht="17.399999999999999" x14ac:dyDescent="0.3">
      <c r="B5" s="6" t="s">
        <v>13</v>
      </c>
      <c r="C5" s="6"/>
    </row>
    <row r="7" spans="1:14" x14ac:dyDescent="0.25">
      <c r="B7" s="1064" t="s">
        <v>14</v>
      </c>
      <c r="C7" s="1066"/>
      <c r="D7" s="1066"/>
      <c r="E7" s="1065"/>
      <c r="F7" s="1064" t="s">
        <v>15</v>
      </c>
      <c r="G7" s="1066"/>
      <c r="H7" s="1066"/>
      <c r="I7" s="1065"/>
      <c r="J7" s="1064" t="s">
        <v>16</v>
      </c>
      <c r="K7" s="1066"/>
      <c r="L7" s="1066"/>
      <c r="M7" s="1066"/>
      <c r="N7" s="1065"/>
    </row>
    <row r="8" spans="1:14" x14ac:dyDescent="0.25">
      <c r="B8" s="7"/>
      <c r="E8" s="8"/>
      <c r="F8" s="7"/>
      <c r="I8" s="8"/>
      <c r="J8" s="7"/>
      <c r="N8" s="8"/>
    </row>
    <row r="9" spans="1:14" ht="14.25" customHeight="1" x14ac:dyDescent="0.3">
      <c r="B9" s="7" t="s">
        <v>18</v>
      </c>
      <c r="D9" s="15"/>
      <c r="E9" s="12" t="s">
        <v>19</v>
      </c>
      <c r="F9" s="7" t="s">
        <v>20</v>
      </c>
      <c r="H9" s="14">
        <v>2</v>
      </c>
      <c r="I9" s="8"/>
      <c r="J9" s="16" t="s">
        <v>21</v>
      </c>
      <c r="N9" s="8"/>
    </row>
    <row r="10" spans="1:14" x14ac:dyDescent="0.25">
      <c r="B10" s="7"/>
      <c r="E10" s="8"/>
      <c r="F10" s="7"/>
      <c r="I10" s="8"/>
      <c r="J10" s="7"/>
      <c r="N10" s="8"/>
    </row>
    <row r="11" spans="1:14" ht="14.4" x14ac:dyDescent="0.3">
      <c r="B11" s="7" t="s">
        <v>24</v>
      </c>
      <c r="D11" s="255"/>
      <c r="E11" s="18" t="s">
        <v>25</v>
      </c>
      <c r="F11" s="7" t="s">
        <v>26</v>
      </c>
      <c r="H11" s="960">
        <f>Macro!H10</f>
        <v>16.649999999999999</v>
      </c>
      <c r="I11" s="19" t="s">
        <v>27</v>
      </c>
      <c r="J11" s="7" t="s">
        <v>28</v>
      </c>
      <c r="N11" s="8"/>
    </row>
    <row r="12" spans="1:14" ht="14.25" customHeight="1" x14ac:dyDescent="0.3">
      <c r="B12" s="7"/>
      <c r="C12" s="12"/>
      <c r="D12" s="12"/>
      <c r="E12" s="13"/>
      <c r="F12" s="7"/>
      <c r="H12" s="12"/>
      <c r="I12" s="13"/>
      <c r="J12" s="7"/>
      <c r="N12" s="8"/>
    </row>
    <row r="13" spans="1:14" ht="14.25" customHeight="1" x14ac:dyDescent="0.35">
      <c r="B13" s="7" t="s">
        <v>42</v>
      </c>
      <c r="D13" s="960" t="str">
        <f>Macro!D16</f>
        <v>330</v>
      </c>
      <c r="E13" s="12" t="s">
        <v>44</v>
      </c>
      <c r="F13" s="7" t="s">
        <v>75</v>
      </c>
      <c r="H13" s="961">
        <f>Macro!H12</f>
        <v>380</v>
      </c>
      <c r="I13" s="13" t="s">
        <v>76</v>
      </c>
      <c r="J13" s="7" t="s">
        <v>35</v>
      </c>
      <c r="N13" s="8"/>
    </row>
    <row r="14" spans="1:14" ht="14.25" customHeight="1" x14ac:dyDescent="0.3">
      <c r="B14" s="7"/>
      <c r="E14" s="12"/>
      <c r="F14" s="7"/>
      <c r="I14" s="13"/>
      <c r="J14" s="7"/>
      <c r="N14" s="8"/>
    </row>
    <row r="15" spans="1:14" ht="14.25" customHeight="1" x14ac:dyDescent="0.3">
      <c r="B15" s="7" t="s">
        <v>47</v>
      </c>
      <c r="D15" s="578">
        <v>2</v>
      </c>
      <c r="E15" s="12"/>
      <c r="F15" s="7" t="s">
        <v>39</v>
      </c>
      <c r="H15" s="20" t="s">
        <v>77</v>
      </c>
      <c r="I15" s="12"/>
      <c r="J15" s="7"/>
      <c r="N15" s="8"/>
    </row>
    <row r="16" spans="1:14" ht="14.25" customHeight="1" x14ac:dyDescent="0.3">
      <c r="B16" s="7"/>
      <c r="E16" s="12"/>
      <c r="F16" s="7"/>
      <c r="I16" s="12"/>
      <c r="J16" s="7"/>
      <c r="N16" s="8"/>
    </row>
    <row r="17" spans="1:14" ht="14.4" x14ac:dyDescent="0.3">
      <c r="B17" s="7" t="s">
        <v>51</v>
      </c>
      <c r="D17" s="578">
        <v>3</v>
      </c>
      <c r="E17" s="12"/>
      <c r="F17" s="7"/>
      <c r="H17" s="20"/>
      <c r="I17" s="12"/>
      <c r="J17" s="7"/>
      <c r="N17" s="8"/>
    </row>
    <row r="18" spans="1:14" ht="14.4" x14ac:dyDescent="0.3">
      <c r="B18" s="7"/>
      <c r="E18" s="12"/>
      <c r="F18" s="7"/>
      <c r="I18" s="12"/>
      <c r="J18" s="7"/>
      <c r="N18" s="8"/>
    </row>
    <row r="19" spans="1:14" ht="14.4" x14ac:dyDescent="0.3">
      <c r="B19" s="9" t="s">
        <v>54</v>
      </c>
      <c r="C19" s="5"/>
      <c r="D19" s="682" t="b">
        <f>Macro!D22</f>
        <v>0</v>
      </c>
      <c r="E19" s="681" t="str">
        <f>IF(D19=FALSE,"external treatment","")</f>
        <v>external treatment</v>
      </c>
      <c r="F19" s="9"/>
      <c r="G19" s="5"/>
      <c r="H19" s="5"/>
      <c r="I19" s="10"/>
      <c r="J19" s="9"/>
      <c r="K19" s="5"/>
      <c r="L19" s="5"/>
      <c r="M19" s="5"/>
      <c r="N19" s="10"/>
    </row>
    <row r="20" spans="1:14" x14ac:dyDescent="0.25">
      <c r="A20" s="5"/>
      <c r="B20" s="5"/>
      <c r="C20" s="5"/>
      <c r="D20" s="5"/>
      <c r="E20" s="5"/>
      <c r="F20" s="5"/>
      <c r="G20" s="5"/>
      <c r="H20" s="5"/>
      <c r="I20" s="5"/>
      <c r="J20" s="5"/>
      <c r="K20" s="5"/>
      <c r="L20" s="5"/>
      <c r="M20" s="5"/>
      <c r="N20" s="5"/>
    </row>
    <row r="22" spans="1:14" ht="15" customHeight="1" x14ac:dyDescent="0.3">
      <c r="B22" s="6" t="s">
        <v>58</v>
      </c>
    </row>
    <row r="23" spans="1:14" ht="14.25" customHeight="1" x14ac:dyDescent="0.25"/>
    <row r="24" spans="1:14" ht="14.25" customHeight="1" x14ac:dyDescent="0.25">
      <c r="B24" s="1064" t="s">
        <v>78</v>
      </c>
      <c r="C24" s="1066"/>
      <c r="D24" s="1066"/>
      <c r="E24" s="1066"/>
      <c r="F24" s="1066"/>
      <c r="G24" s="1066"/>
      <c r="H24" s="1066"/>
      <c r="I24" s="1066"/>
      <c r="J24" s="1066"/>
      <c r="K24" s="1066"/>
      <c r="L24" s="1066"/>
      <c r="M24" s="1066"/>
      <c r="N24" s="1065"/>
    </row>
    <row r="25" spans="1:14" ht="14.25" customHeight="1" x14ac:dyDescent="0.25">
      <c r="B25" s="16"/>
      <c r="C25" s="11"/>
      <c r="D25" s="11"/>
      <c r="E25" s="11"/>
      <c r="F25" s="11"/>
      <c r="G25" s="11"/>
      <c r="H25" s="11"/>
      <c r="I25" s="11"/>
      <c r="J25" s="11"/>
      <c r="K25" s="11"/>
      <c r="L25" s="11"/>
      <c r="M25" s="11"/>
      <c r="N25" s="17"/>
    </row>
    <row r="26" spans="1:14" ht="14.25" customHeight="1" x14ac:dyDescent="0.25">
      <c r="B26" s="1069" t="s">
        <v>79</v>
      </c>
      <c r="C26" s="1070"/>
      <c r="D26" s="1070" t="s">
        <v>80</v>
      </c>
      <c r="E26" s="1070"/>
      <c r="F26" s="1070"/>
      <c r="G26" s="1070"/>
      <c r="H26" s="1070"/>
      <c r="I26" s="1070"/>
      <c r="J26" s="1070"/>
      <c r="K26" s="1070"/>
      <c r="L26" s="1070"/>
      <c r="M26" s="1070"/>
      <c r="N26" s="1071"/>
    </row>
    <row r="27" spans="1:14" ht="14.25" customHeight="1" x14ac:dyDescent="0.25">
      <c r="B27" s="7"/>
      <c r="N27" s="8"/>
    </row>
    <row r="28" spans="1:14" ht="14.25" customHeight="1" x14ac:dyDescent="0.3">
      <c r="B28" s="7" t="s">
        <v>81</v>
      </c>
      <c r="C28" s="22">
        <f>'R1_Econ.'!N46</f>
        <v>25560856.131334361</v>
      </c>
      <c r="D28" s="20" t="s">
        <v>82</v>
      </c>
      <c r="N28" s="8"/>
    </row>
    <row r="29" spans="1:14" ht="14.25" customHeight="1" x14ac:dyDescent="0.3">
      <c r="B29" s="7"/>
      <c r="D29" s="20"/>
      <c r="N29" s="8"/>
    </row>
    <row r="30" spans="1:14" ht="14.25" customHeight="1" x14ac:dyDescent="0.3">
      <c r="B30" s="7" t="s">
        <v>83</v>
      </c>
      <c r="C30" s="378">
        <f>Evaluation!P5</f>
        <v>0.28404258559746359</v>
      </c>
      <c r="D30" s="20" t="s">
        <v>84</v>
      </c>
      <c r="N30" s="8"/>
    </row>
    <row r="31" spans="1:14" ht="14.25" customHeight="1" x14ac:dyDescent="0.3">
      <c r="B31" s="7"/>
      <c r="D31" s="20"/>
      <c r="N31" s="8"/>
    </row>
    <row r="32" spans="1:14" ht="14.25" customHeight="1" x14ac:dyDescent="0.3">
      <c r="B32" s="7" t="s">
        <v>85</v>
      </c>
      <c r="C32" s="378">
        <f>Evaluation!P9</f>
        <v>5160.0129919631372</v>
      </c>
      <c r="D32" s="20" t="s">
        <v>86</v>
      </c>
      <c r="N32" s="8"/>
    </row>
    <row r="33" spans="2:14" ht="14.25" customHeight="1" x14ac:dyDescent="0.3">
      <c r="B33" s="7"/>
      <c r="D33" s="20"/>
      <c r="N33" s="8"/>
    </row>
    <row r="34" spans="2:14" ht="14.25" customHeight="1" x14ac:dyDescent="0.3">
      <c r="B34" s="7" t="s">
        <v>87</v>
      </c>
      <c r="C34" s="378">
        <f>Evaluation!P6</f>
        <v>1333.7027048402124</v>
      </c>
      <c r="D34" s="20" t="s">
        <v>86</v>
      </c>
      <c r="N34" s="8"/>
    </row>
    <row r="35" spans="2:14" ht="14.25" customHeight="1" x14ac:dyDescent="0.3">
      <c r="B35" s="7"/>
      <c r="D35" s="20"/>
      <c r="N35" s="8"/>
    </row>
    <row r="36" spans="2:14" ht="14.25" customHeight="1" x14ac:dyDescent="0.3">
      <c r="B36" s="7" t="s">
        <v>88</v>
      </c>
      <c r="C36" s="378">
        <f>C32-C34</f>
        <v>3826.3102871229248</v>
      </c>
      <c r="D36" s="20" t="s">
        <v>86</v>
      </c>
      <c r="E36" s="11"/>
      <c r="F36" s="11"/>
      <c r="G36" s="11"/>
      <c r="H36" s="11"/>
      <c r="I36" s="11"/>
      <c r="J36" s="11"/>
      <c r="K36" s="11"/>
      <c r="L36" s="11"/>
      <c r="M36" s="11"/>
      <c r="N36" s="17"/>
    </row>
    <row r="37" spans="2:14" ht="14.25" customHeight="1" x14ac:dyDescent="0.25">
      <c r="B37" s="16"/>
      <c r="C37" s="11"/>
      <c r="D37" s="11"/>
      <c r="E37" s="11"/>
      <c r="F37" s="11"/>
      <c r="G37" s="11"/>
      <c r="H37" s="11"/>
      <c r="I37" s="11"/>
      <c r="J37" s="11"/>
      <c r="K37" s="11"/>
      <c r="L37" s="11"/>
      <c r="M37" s="11"/>
      <c r="N37" s="17"/>
    </row>
    <row r="38" spans="2:14" ht="14.25" customHeight="1" x14ac:dyDescent="0.3">
      <c r="B38" s="7" t="s">
        <v>89</v>
      </c>
      <c r="C38" s="378">
        <f>Evaluation!P10</f>
        <v>-6586.7044324703002</v>
      </c>
      <c r="D38" s="20" t="s">
        <v>90</v>
      </c>
      <c r="E38" s="11"/>
      <c r="F38" s="11"/>
      <c r="G38" s="11"/>
      <c r="H38" s="11"/>
      <c r="I38" s="11"/>
      <c r="J38" s="11"/>
      <c r="K38" s="11"/>
      <c r="L38" s="11"/>
      <c r="M38" s="11"/>
      <c r="N38" s="17"/>
    </row>
    <row r="39" spans="2:14" ht="14.25" customHeight="1" x14ac:dyDescent="0.25">
      <c r="B39" s="16"/>
      <c r="C39" s="11"/>
      <c r="D39" s="11"/>
      <c r="E39" s="11"/>
      <c r="F39" s="11"/>
      <c r="G39" s="11"/>
      <c r="H39" s="11"/>
      <c r="I39" s="11"/>
      <c r="J39" s="11"/>
      <c r="K39" s="11"/>
      <c r="L39" s="11"/>
      <c r="M39" s="11"/>
      <c r="N39" s="17"/>
    </row>
    <row r="40" spans="2:14" x14ac:dyDescent="0.25">
      <c r="B40" s="16"/>
      <c r="C40" s="11"/>
      <c r="D40" s="11"/>
      <c r="E40" s="11"/>
      <c r="F40" s="11"/>
      <c r="G40" s="11"/>
      <c r="H40" s="11"/>
      <c r="I40" s="11"/>
      <c r="J40" s="11"/>
      <c r="K40" s="11"/>
      <c r="L40" s="11"/>
      <c r="M40" s="11"/>
      <c r="N40" s="17"/>
    </row>
    <row r="41" spans="2:14" x14ac:dyDescent="0.25">
      <c r="B41" s="16"/>
      <c r="C41" s="11"/>
      <c r="D41" s="11"/>
      <c r="E41" s="11"/>
      <c r="F41" s="11"/>
      <c r="G41" s="11"/>
      <c r="H41" s="11"/>
      <c r="I41" s="11"/>
      <c r="J41" s="11"/>
      <c r="K41" s="11"/>
      <c r="L41" s="11"/>
      <c r="M41" s="11"/>
      <c r="N41" s="17"/>
    </row>
    <row r="42" spans="2:14" x14ac:dyDescent="0.25">
      <c r="B42" s="7"/>
      <c r="N42" s="8"/>
    </row>
    <row r="43" spans="2:14" x14ac:dyDescent="0.25">
      <c r="B43" s="7"/>
      <c r="N43" s="8"/>
    </row>
    <row r="44" spans="2:14" x14ac:dyDescent="0.25">
      <c r="B44" s="7"/>
      <c r="N44" s="8"/>
    </row>
    <row r="45" spans="2:14" x14ac:dyDescent="0.25">
      <c r="B45" s="7"/>
      <c r="N45" s="8"/>
    </row>
    <row r="46" spans="2:14" x14ac:dyDescent="0.25">
      <c r="B46" s="7"/>
      <c r="N46" s="8"/>
    </row>
    <row r="47" spans="2:14" x14ac:dyDescent="0.25">
      <c r="B47" s="7"/>
      <c r="N47" s="8"/>
    </row>
    <row r="48" spans="2:14" x14ac:dyDescent="0.25">
      <c r="B48" s="7"/>
      <c r="N48" s="8"/>
    </row>
    <row r="49" spans="2:14" x14ac:dyDescent="0.25">
      <c r="B49" s="7"/>
      <c r="N49" s="8"/>
    </row>
    <row r="50" spans="2:14" x14ac:dyDescent="0.25">
      <c r="B50" s="7"/>
      <c r="N50" s="8"/>
    </row>
    <row r="51" spans="2:14" x14ac:dyDescent="0.25">
      <c r="B51" s="7"/>
      <c r="N51" s="8"/>
    </row>
    <row r="52" spans="2:14" x14ac:dyDescent="0.25">
      <c r="B52" s="7"/>
      <c r="N52" s="8"/>
    </row>
    <row r="53" spans="2:14" x14ac:dyDescent="0.25">
      <c r="B53" s="7"/>
      <c r="N53" s="8"/>
    </row>
    <row r="54" spans="2:14" x14ac:dyDescent="0.25">
      <c r="B54" s="7"/>
      <c r="N54" s="8"/>
    </row>
    <row r="55" spans="2:14" x14ac:dyDescent="0.25">
      <c r="B55" s="7"/>
      <c r="N55" s="8"/>
    </row>
    <row r="56" spans="2:14" x14ac:dyDescent="0.25">
      <c r="B56" s="7"/>
      <c r="N56" s="8"/>
    </row>
    <row r="57" spans="2:14" x14ac:dyDescent="0.25">
      <c r="B57" s="7"/>
      <c r="N57" s="8"/>
    </row>
    <row r="58" spans="2:14" x14ac:dyDescent="0.25">
      <c r="B58" s="7"/>
      <c r="N58" s="8"/>
    </row>
    <row r="59" spans="2:14" x14ac:dyDescent="0.25">
      <c r="B59" s="7"/>
      <c r="N59" s="8"/>
    </row>
    <row r="60" spans="2:14" x14ac:dyDescent="0.25">
      <c r="B60" s="7"/>
      <c r="N60" s="8"/>
    </row>
    <row r="61" spans="2:14" x14ac:dyDescent="0.25">
      <c r="B61" s="7"/>
      <c r="N61" s="8"/>
    </row>
    <row r="62" spans="2:14" x14ac:dyDescent="0.25">
      <c r="B62" s="7"/>
      <c r="N62" s="8"/>
    </row>
    <row r="63" spans="2:14" x14ac:dyDescent="0.25">
      <c r="B63" s="7"/>
      <c r="N63" s="8"/>
    </row>
    <row r="64" spans="2:14" x14ac:dyDescent="0.25">
      <c r="B64" s="7"/>
      <c r="N64" s="8"/>
    </row>
    <row r="65" spans="2:14" x14ac:dyDescent="0.25">
      <c r="B65" s="7"/>
      <c r="N65" s="8"/>
    </row>
    <row r="66" spans="2:14" x14ac:dyDescent="0.25">
      <c r="B66" s="7"/>
      <c r="N66" s="8"/>
    </row>
    <row r="67" spans="2:14" x14ac:dyDescent="0.25">
      <c r="B67" s="7"/>
      <c r="N67" s="8"/>
    </row>
    <row r="68" spans="2:14" x14ac:dyDescent="0.25">
      <c r="B68" s="9"/>
      <c r="C68" s="5"/>
      <c r="D68" s="5"/>
      <c r="E68" s="5"/>
      <c r="F68" s="5"/>
      <c r="G68" s="5"/>
      <c r="H68" s="5"/>
      <c r="I68" s="5"/>
      <c r="J68" s="5"/>
      <c r="K68" s="5"/>
      <c r="L68" s="5"/>
      <c r="M68" s="5"/>
      <c r="N68" s="10"/>
    </row>
  </sheetData>
  <sheetProtection selectLockedCells="1" selectUnlockedCells="1"/>
  <protectedRanges>
    <protectedRange sqref="M26:M34 L26:L33 A1:O4 H9:I13 O18:O36 B12:E12 A6:O6 A5:B5 D5:O5 B21:N23 I14 B7:I8 F10:F14 N7:O17 A21:A38 E24:K38 B24:D25 H16:I16 B28:D35 B37:D38 D36 A20:N20 A7:A17" name="Bereich1"/>
    <protectedRange sqref="F16" name="Bereich1_1"/>
    <protectedRange sqref="F9" name="Bereich1_2"/>
    <protectedRange sqref="D9:E9 B9:B10 C10:E10" name="Bereich1_3"/>
    <protectedRange sqref="E13:E14 B13:B14" name="Bereich1_4"/>
    <protectedRange sqref="C17:E17 B15:B17 E15:E16" name="Bereich1_6"/>
    <protectedRange sqref="I15 F15" name="Bereich1_5_2"/>
  </protectedRanges>
  <mergeCells count="7">
    <mergeCell ref="B26:C26"/>
    <mergeCell ref="D26:N26"/>
    <mergeCell ref="B24:N24"/>
    <mergeCell ref="C1:I1"/>
    <mergeCell ref="B7:E7"/>
    <mergeCell ref="F7:I7"/>
    <mergeCell ref="J7:N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ltText="">
                <anchor moveWithCells="1">
                  <from>
                    <xdr:col>3</xdr:col>
                    <xdr:colOff>1203960</xdr:colOff>
                    <xdr:row>9</xdr:row>
                    <xdr:rowOff>175260</xdr:rowOff>
                  </from>
                  <to>
                    <xdr:col>3</xdr:col>
                    <xdr:colOff>1432560</xdr:colOff>
                    <xdr:row>11</xdr:row>
                    <xdr:rowOff>0</xdr:rowOff>
                  </to>
                </anchor>
              </controlPr>
            </control>
          </mc:Choice>
        </mc:AlternateContent>
        <mc:AlternateContent xmlns:mc="http://schemas.openxmlformats.org/markup-compatibility/2006">
          <mc:Choice Requires="x14">
            <control shapeId="8195" r:id="rId5" name="Check Box 3">
              <controlPr defaultSize="0" autoFill="0" autoLine="0" autoPict="0" altText="">
                <anchor moveWithCells="1">
                  <from>
                    <xdr:col>3</xdr:col>
                    <xdr:colOff>1203960</xdr:colOff>
                    <xdr:row>9</xdr:row>
                    <xdr:rowOff>175260</xdr:rowOff>
                  </from>
                  <to>
                    <xdr:col>3</xdr:col>
                    <xdr:colOff>1432560</xdr:colOff>
                    <xdr:row>11</xdr:row>
                    <xdr:rowOff>0</xdr:rowOff>
                  </to>
                </anchor>
              </controlPr>
            </control>
          </mc:Choice>
        </mc:AlternateContent>
        <mc:AlternateContent xmlns:mc="http://schemas.openxmlformats.org/markup-compatibility/2006">
          <mc:Choice Requires="x14">
            <control shapeId="8197" r:id="rId6" name="Drop Down 5">
              <controlPr defaultSize="0" autoLine="0" autoPict="0">
                <anchor moveWithCells="1">
                  <from>
                    <xdr:col>3</xdr:col>
                    <xdr:colOff>15240</xdr:colOff>
                    <xdr:row>8</xdr:row>
                    <xdr:rowOff>15240</xdr:rowOff>
                  </from>
                  <to>
                    <xdr:col>4</xdr:col>
                    <xdr:colOff>0</xdr:colOff>
                    <xdr:row>9</xdr:row>
                    <xdr:rowOff>15240</xdr:rowOff>
                  </to>
                </anchor>
              </controlPr>
            </control>
          </mc:Choice>
        </mc:AlternateContent>
        <mc:AlternateContent xmlns:mc="http://schemas.openxmlformats.org/markup-compatibility/2006">
          <mc:Choice Requires="x14">
            <control shapeId="8204" r:id="rId7" name="Drop Down 12">
              <controlPr defaultSize="0" autoLine="0" autoPict="0">
                <anchor moveWithCells="1">
                  <from>
                    <xdr:col>7</xdr:col>
                    <xdr:colOff>15240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8211" r:id="rId8" name="Drop Down 19">
              <controlPr defaultSize="0" autoLine="0" autoPict="0">
                <anchor moveWithCells="1">
                  <from>
                    <xdr:col>3</xdr:col>
                    <xdr:colOff>0</xdr:colOff>
                    <xdr:row>15</xdr:row>
                    <xdr:rowOff>167640</xdr:rowOff>
                  </from>
                  <to>
                    <xdr:col>3</xdr:col>
                    <xdr:colOff>1432560</xdr:colOff>
                    <xdr:row>16</xdr:row>
                    <xdr:rowOff>167640</xdr:rowOff>
                  </to>
                </anchor>
              </controlPr>
            </control>
          </mc:Choice>
        </mc:AlternateContent>
        <mc:AlternateContent xmlns:mc="http://schemas.openxmlformats.org/markup-compatibility/2006">
          <mc:Choice Requires="x14">
            <control shapeId="8212" r:id="rId9" name="Drop Down 20">
              <controlPr defaultSize="0" autoLine="0" autoPict="0">
                <anchor moveWithCells="1">
                  <from>
                    <xdr:col>3</xdr:col>
                    <xdr:colOff>15240</xdr:colOff>
                    <xdr:row>14</xdr:row>
                    <xdr:rowOff>15240</xdr:rowOff>
                  </from>
                  <to>
                    <xdr:col>4</xdr:col>
                    <xdr:colOff>15240</xdr:colOff>
                    <xdr:row>15</xdr:row>
                    <xdr:rowOff>15240</xdr:rowOff>
                  </to>
                </anchor>
              </controlPr>
            </control>
          </mc:Choice>
        </mc:AlternateContent>
        <mc:AlternateContent xmlns:mc="http://schemas.openxmlformats.org/markup-compatibility/2006">
          <mc:Choice Requires="x14">
            <control shapeId="8213" r:id="rId10" name="Check Box 21">
              <controlPr defaultSize="0" autoFill="0" autoLine="0" autoPict="0" altText="">
                <anchor moveWithCells="1">
                  <from>
                    <xdr:col>3</xdr:col>
                    <xdr:colOff>1242060</xdr:colOff>
                    <xdr:row>17</xdr:row>
                    <xdr:rowOff>152400</xdr:rowOff>
                  </from>
                  <to>
                    <xdr:col>4</xdr:col>
                    <xdr:colOff>15240</xdr:colOff>
                    <xdr:row>18</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tabColor rgb="FF99B2BC"/>
  </sheetPr>
  <dimension ref="A1:N69"/>
  <sheetViews>
    <sheetView zoomScale="70" zoomScaleNormal="70" workbookViewId="0">
      <selection activeCell="D16" sqref="D16"/>
    </sheetView>
  </sheetViews>
  <sheetFormatPr baseColWidth="10" defaultColWidth="9.109375" defaultRowHeight="13.8" x14ac:dyDescent="0.25"/>
  <cols>
    <col min="1" max="1" width="3.109375" style="4" customWidth="1"/>
    <col min="2" max="14" width="21.6640625" style="4" customWidth="1"/>
    <col min="15" max="16384" width="9.109375" style="4"/>
  </cols>
  <sheetData>
    <row r="1" spans="1:14" ht="45" customHeight="1" x14ac:dyDescent="0.25">
      <c r="A1" s="3"/>
      <c r="B1" s="3"/>
      <c r="C1" s="1072" t="s">
        <v>12</v>
      </c>
      <c r="D1" s="1072"/>
      <c r="E1" s="1072"/>
      <c r="F1" s="1072"/>
      <c r="G1" s="1072"/>
      <c r="H1" s="1072"/>
      <c r="I1" s="1072"/>
      <c r="J1" s="3"/>
      <c r="K1" s="3"/>
      <c r="L1" s="3"/>
      <c r="M1" s="3"/>
      <c r="N1" s="3"/>
    </row>
    <row r="3" spans="1:14" x14ac:dyDescent="0.25">
      <c r="A3" s="5"/>
      <c r="B3" s="5"/>
      <c r="C3" s="5"/>
      <c r="D3" s="5"/>
      <c r="E3" s="5"/>
      <c r="F3" s="5"/>
      <c r="G3" s="5"/>
      <c r="H3" s="5"/>
      <c r="I3" s="5"/>
      <c r="J3" s="5"/>
      <c r="K3" s="5"/>
      <c r="L3" s="5"/>
      <c r="M3" s="5"/>
      <c r="N3" s="5"/>
    </row>
    <row r="5" spans="1:14" ht="17.399999999999999" x14ac:dyDescent="0.3">
      <c r="B5" s="6" t="s">
        <v>13</v>
      </c>
      <c r="C5" s="6"/>
    </row>
    <row r="7" spans="1:14" ht="14.25" customHeight="1" x14ac:dyDescent="0.25">
      <c r="B7" s="1064" t="s">
        <v>14</v>
      </c>
      <c r="C7" s="1066"/>
      <c r="D7" s="1066"/>
      <c r="E7" s="1065"/>
      <c r="F7" s="1064" t="s">
        <v>15</v>
      </c>
      <c r="G7" s="1066"/>
      <c r="H7" s="1066"/>
      <c r="I7" s="1066"/>
      <c r="J7" s="1064" t="s">
        <v>16</v>
      </c>
      <c r="K7" s="1066"/>
      <c r="L7" s="1066"/>
      <c r="M7" s="1066"/>
      <c r="N7" s="1065"/>
    </row>
    <row r="8" spans="1:14" ht="14.25" customHeight="1" x14ac:dyDescent="0.25">
      <c r="B8" s="7"/>
      <c r="E8" s="8"/>
      <c r="F8" s="7"/>
      <c r="J8" s="7"/>
      <c r="N8" s="8"/>
    </row>
    <row r="9" spans="1:14" ht="14.25" customHeight="1" x14ac:dyDescent="0.3">
      <c r="B9" s="7" t="s">
        <v>18</v>
      </c>
      <c r="D9" s="15"/>
      <c r="E9" s="13" t="s">
        <v>19</v>
      </c>
      <c r="F9" s="7" t="s">
        <v>20</v>
      </c>
      <c r="H9" s="14"/>
      <c r="J9" s="7" t="s">
        <v>21</v>
      </c>
      <c r="N9" s="8"/>
    </row>
    <row r="10" spans="1:14" ht="14.25" customHeight="1" x14ac:dyDescent="0.25">
      <c r="B10" s="7"/>
      <c r="E10" s="8"/>
      <c r="F10" s="7"/>
      <c r="J10" s="7"/>
      <c r="N10" s="8"/>
    </row>
    <row r="11" spans="1:14" ht="14.25" customHeight="1" x14ac:dyDescent="0.3">
      <c r="B11" s="7" t="s">
        <v>31</v>
      </c>
      <c r="D11" s="255"/>
      <c r="E11" s="18" t="s">
        <v>32</v>
      </c>
      <c r="F11" s="7" t="s">
        <v>26</v>
      </c>
      <c r="H11" s="960">
        <f>Macro!H10</f>
        <v>16.649999999999999</v>
      </c>
      <c r="I11" s="384" t="s">
        <v>27</v>
      </c>
      <c r="J11" s="16" t="s">
        <v>28</v>
      </c>
      <c r="N11" s="8"/>
    </row>
    <row r="12" spans="1:14" ht="14.25" customHeight="1" x14ac:dyDescent="0.3">
      <c r="B12" s="7"/>
      <c r="E12" s="8"/>
      <c r="F12" s="7"/>
      <c r="H12" s="12"/>
      <c r="I12" s="12"/>
      <c r="J12" s="7"/>
      <c r="N12" s="8"/>
    </row>
    <row r="13" spans="1:14" ht="14.25" customHeight="1" x14ac:dyDescent="0.35">
      <c r="B13" s="7" t="s">
        <v>38</v>
      </c>
      <c r="D13" s="255"/>
      <c r="E13" s="18" t="s">
        <v>32</v>
      </c>
      <c r="F13" s="7" t="s">
        <v>75</v>
      </c>
      <c r="H13" s="961">
        <f>Macro!H12</f>
        <v>380</v>
      </c>
      <c r="I13" s="12" t="s">
        <v>76</v>
      </c>
      <c r="J13" s="7" t="s">
        <v>35</v>
      </c>
      <c r="N13" s="8"/>
    </row>
    <row r="14" spans="1:14" ht="14.25" customHeight="1" x14ac:dyDescent="0.3">
      <c r="B14" s="7"/>
      <c r="E14" s="18"/>
      <c r="F14" s="7"/>
      <c r="I14" s="12"/>
      <c r="J14" s="7"/>
      <c r="N14" s="8"/>
    </row>
    <row r="15" spans="1:14" ht="14.25" customHeight="1" x14ac:dyDescent="0.3">
      <c r="B15" s="7" t="s">
        <v>42</v>
      </c>
      <c r="D15" s="960" t="str">
        <f>Macro!D16</f>
        <v>330</v>
      </c>
      <c r="E15" s="13" t="s">
        <v>44</v>
      </c>
      <c r="F15" s="7" t="s">
        <v>39</v>
      </c>
      <c r="H15" s="20" t="s">
        <v>77</v>
      </c>
      <c r="I15" s="12"/>
      <c r="J15" s="7"/>
      <c r="N15" s="8"/>
    </row>
    <row r="16" spans="1:14" ht="14.25" customHeight="1" x14ac:dyDescent="0.3">
      <c r="B16" s="7"/>
      <c r="E16" s="13"/>
      <c r="F16" s="7"/>
      <c r="J16" s="7"/>
      <c r="N16" s="8"/>
    </row>
    <row r="17" spans="1:14" ht="14.25" customHeight="1" x14ac:dyDescent="0.3">
      <c r="B17" s="7" t="s">
        <v>47</v>
      </c>
      <c r="D17" s="578">
        <v>2</v>
      </c>
      <c r="E17" s="12"/>
      <c r="F17" s="7"/>
      <c r="J17" s="7"/>
      <c r="N17" s="8"/>
    </row>
    <row r="18" spans="1:14" ht="14.25" customHeight="1" x14ac:dyDescent="0.3">
      <c r="B18" s="7"/>
      <c r="E18" s="12"/>
      <c r="F18" s="7"/>
      <c r="J18" s="7"/>
      <c r="N18" s="8"/>
    </row>
    <row r="19" spans="1:14" ht="14.25" customHeight="1" x14ac:dyDescent="0.3">
      <c r="B19" s="7" t="s">
        <v>51</v>
      </c>
      <c r="D19" s="578">
        <v>3</v>
      </c>
      <c r="E19" s="12"/>
      <c r="F19" s="7"/>
      <c r="J19" s="7"/>
      <c r="N19" s="8"/>
    </row>
    <row r="20" spans="1:14" ht="14.4" x14ac:dyDescent="0.3">
      <c r="B20" s="7"/>
      <c r="E20" s="12"/>
      <c r="F20" s="7"/>
      <c r="J20" s="7"/>
      <c r="N20" s="8"/>
    </row>
    <row r="21" spans="1:14" ht="14.4" x14ac:dyDescent="0.3">
      <c r="B21" s="9" t="s">
        <v>54</v>
      </c>
      <c r="C21" s="5"/>
      <c r="D21" s="682" t="b">
        <f>Macro!D22</f>
        <v>0</v>
      </c>
      <c r="E21" s="681" t="str">
        <f>IF(D21=FALSE,"external treatment","")</f>
        <v>external treatment</v>
      </c>
      <c r="F21" s="9"/>
      <c r="G21" s="5"/>
      <c r="H21" s="5"/>
      <c r="I21" s="5"/>
      <c r="J21" s="9"/>
      <c r="K21" s="5"/>
      <c r="L21" s="5"/>
      <c r="M21" s="5"/>
      <c r="N21" s="10"/>
    </row>
    <row r="22" spans="1:14" x14ac:dyDescent="0.25">
      <c r="A22" s="5"/>
      <c r="B22" s="5"/>
      <c r="C22" s="5"/>
      <c r="D22" s="5"/>
      <c r="E22" s="5"/>
      <c r="F22" s="5"/>
      <c r="G22" s="5"/>
      <c r="H22" s="5"/>
      <c r="I22" s="5"/>
      <c r="J22" s="5"/>
      <c r="K22" s="5"/>
      <c r="L22" s="5"/>
      <c r="M22" s="5"/>
      <c r="N22" s="5"/>
    </row>
    <row r="24" spans="1:14" ht="15" customHeight="1" x14ac:dyDescent="0.3">
      <c r="B24" s="6" t="s">
        <v>58</v>
      </c>
    </row>
    <row r="25" spans="1:14" ht="14.25" customHeight="1" x14ac:dyDescent="0.25"/>
    <row r="26" spans="1:14" ht="14.25" customHeight="1" x14ac:dyDescent="0.25">
      <c r="B26" s="1064" t="s">
        <v>78</v>
      </c>
      <c r="C26" s="1066"/>
      <c r="D26" s="1066"/>
      <c r="E26" s="1066"/>
      <c r="F26" s="1066"/>
      <c r="G26" s="1066"/>
      <c r="H26" s="1066"/>
      <c r="I26" s="1066"/>
      <c r="J26" s="1066"/>
      <c r="K26" s="1066"/>
      <c r="L26" s="1066"/>
      <c r="M26" s="1066"/>
      <c r="N26" s="1065"/>
    </row>
    <row r="27" spans="1:14" ht="14.25" customHeight="1" x14ac:dyDescent="0.25">
      <c r="B27" s="16"/>
      <c r="C27" s="11"/>
      <c r="D27" s="11"/>
      <c r="E27" s="11"/>
      <c r="F27" s="11"/>
      <c r="G27" s="11"/>
      <c r="H27" s="11"/>
      <c r="I27" s="11"/>
      <c r="J27" s="11"/>
      <c r="K27" s="11"/>
      <c r="L27" s="11"/>
      <c r="M27" s="11"/>
      <c r="N27" s="17"/>
    </row>
    <row r="28" spans="1:14" ht="14.25" customHeight="1" x14ac:dyDescent="0.25">
      <c r="B28" s="1069" t="s">
        <v>79</v>
      </c>
      <c r="C28" s="1070"/>
      <c r="D28" s="1070" t="s">
        <v>80</v>
      </c>
      <c r="E28" s="1070"/>
      <c r="F28" s="1070"/>
      <c r="G28" s="1070"/>
      <c r="H28" s="1070"/>
      <c r="I28" s="1070"/>
      <c r="J28" s="1070"/>
      <c r="K28" s="1070"/>
      <c r="L28" s="1070"/>
      <c r="M28" s="1070"/>
      <c r="N28" s="1071"/>
    </row>
    <row r="29" spans="1:14" ht="14.25" customHeight="1" x14ac:dyDescent="0.25">
      <c r="B29" s="7"/>
      <c r="N29" s="8"/>
    </row>
    <row r="30" spans="1:14" ht="14.25" customHeight="1" x14ac:dyDescent="0.3">
      <c r="B30" s="7" t="s">
        <v>81</v>
      </c>
      <c r="C30" s="22">
        <f>'R2_Econ.'!N50</f>
        <v>21579439.51041941</v>
      </c>
      <c r="D30" s="20" t="s">
        <v>82</v>
      </c>
      <c r="N30" s="8"/>
    </row>
    <row r="31" spans="1:14" ht="14.25" customHeight="1" x14ac:dyDescent="0.3">
      <c r="B31" s="7"/>
      <c r="D31" s="20"/>
      <c r="N31" s="8"/>
    </row>
    <row r="32" spans="1:14" ht="14.25" customHeight="1" x14ac:dyDescent="0.3">
      <c r="B32" s="7" t="s">
        <v>83</v>
      </c>
      <c r="C32" s="378">
        <f>Evaluation!Q5</f>
        <v>0.21698474709664797</v>
      </c>
      <c r="D32" s="20" t="s">
        <v>84</v>
      </c>
      <c r="N32" s="8"/>
    </row>
    <row r="33" spans="2:14" ht="14.25" customHeight="1" x14ac:dyDescent="0.3">
      <c r="B33" s="7"/>
      <c r="D33" s="20"/>
      <c r="N33" s="8"/>
    </row>
    <row r="34" spans="2:14" ht="14.25" customHeight="1" x14ac:dyDescent="0.3">
      <c r="B34" s="7" t="s">
        <v>85</v>
      </c>
      <c r="C34" s="378">
        <f>Evaluation!Q9</f>
        <v>5762.2942659294613</v>
      </c>
      <c r="D34" s="20" t="s">
        <v>86</v>
      </c>
      <c r="N34" s="8"/>
    </row>
    <row r="35" spans="2:14" ht="14.25" customHeight="1" x14ac:dyDescent="0.3">
      <c r="B35" s="7"/>
      <c r="D35" s="20"/>
      <c r="N35" s="8"/>
    </row>
    <row r="36" spans="2:14" ht="14.25" customHeight="1" x14ac:dyDescent="0.3">
      <c r="B36" s="7" t="s">
        <v>87</v>
      </c>
      <c r="C36" s="378">
        <f>Evaluation!Q8</f>
        <v>1986.221334365066</v>
      </c>
      <c r="D36" s="20" t="s">
        <v>86</v>
      </c>
      <c r="N36" s="8"/>
    </row>
    <row r="37" spans="2:14" ht="14.25" customHeight="1" x14ac:dyDescent="0.3">
      <c r="B37" s="7"/>
      <c r="D37" s="20"/>
      <c r="N37" s="8"/>
    </row>
    <row r="38" spans="2:14" ht="14.25" customHeight="1" x14ac:dyDescent="0.3">
      <c r="B38" s="7" t="s">
        <v>88</v>
      </c>
      <c r="C38" s="378">
        <f>C34-C36</f>
        <v>3776.0729315643953</v>
      </c>
      <c r="D38" s="20" t="s">
        <v>86</v>
      </c>
      <c r="E38" s="11"/>
      <c r="F38" s="11"/>
      <c r="G38" s="11"/>
      <c r="H38" s="11"/>
      <c r="I38" s="11"/>
      <c r="J38" s="11"/>
      <c r="K38" s="11"/>
      <c r="L38" s="11"/>
      <c r="M38" s="11"/>
      <c r="N38" s="17"/>
    </row>
    <row r="39" spans="2:14" ht="14.25" customHeight="1" x14ac:dyDescent="0.25">
      <c r="B39" s="16"/>
      <c r="C39" s="11"/>
      <c r="D39" s="11"/>
      <c r="E39" s="11"/>
      <c r="F39" s="11"/>
      <c r="G39" s="11"/>
      <c r="H39" s="11"/>
      <c r="I39" s="11"/>
      <c r="J39" s="11"/>
      <c r="K39" s="11"/>
      <c r="L39" s="11"/>
      <c r="M39" s="11"/>
      <c r="N39" s="17"/>
    </row>
    <row r="40" spans="2:14" ht="14.25" customHeight="1" x14ac:dyDescent="0.3">
      <c r="B40" s="7" t="s">
        <v>89</v>
      </c>
      <c r="C40" s="378">
        <f>Evaluation!Q10</f>
        <v>-8071.1060445515222</v>
      </c>
      <c r="D40" s="20" t="s">
        <v>90</v>
      </c>
      <c r="E40" s="11"/>
      <c r="F40" s="11"/>
      <c r="G40" s="11"/>
      <c r="H40" s="11"/>
      <c r="I40" s="11"/>
      <c r="J40" s="11"/>
      <c r="K40" s="11"/>
      <c r="L40" s="11"/>
      <c r="M40" s="11"/>
      <c r="N40" s="17"/>
    </row>
    <row r="41" spans="2:14" ht="14.25" customHeight="1" x14ac:dyDescent="0.25">
      <c r="B41" s="16"/>
      <c r="C41" s="11"/>
      <c r="D41" s="11"/>
      <c r="E41" s="11"/>
      <c r="F41" s="11"/>
      <c r="G41" s="11"/>
      <c r="H41" s="11"/>
      <c r="I41" s="11"/>
      <c r="J41" s="11"/>
      <c r="K41" s="11"/>
      <c r="L41" s="11"/>
      <c r="M41" s="11"/>
      <c r="N41" s="17"/>
    </row>
    <row r="42" spans="2:14" x14ac:dyDescent="0.25">
      <c r="B42" s="16"/>
      <c r="C42" s="11"/>
      <c r="D42" s="11"/>
      <c r="E42" s="11"/>
      <c r="F42" s="11"/>
      <c r="G42" s="11"/>
      <c r="H42" s="11"/>
      <c r="I42" s="11"/>
      <c r="J42" s="11"/>
      <c r="K42" s="11"/>
      <c r="L42" s="11"/>
      <c r="M42" s="11"/>
      <c r="N42" s="17"/>
    </row>
    <row r="43" spans="2:14" x14ac:dyDescent="0.25">
      <c r="B43" s="16"/>
      <c r="C43" s="11"/>
      <c r="D43" s="11"/>
      <c r="E43" s="11"/>
      <c r="F43" s="11"/>
      <c r="G43" s="11"/>
      <c r="H43" s="11"/>
      <c r="I43" s="11"/>
      <c r="J43" s="11"/>
      <c r="K43" s="11"/>
      <c r="L43" s="11"/>
      <c r="M43" s="11"/>
      <c r="N43" s="17"/>
    </row>
    <row r="44" spans="2:14" x14ac:dyDescent="0.25">
      <c r="B44" s="7"/>
      <c r="N44" s="8"/>
    </row>
    <row r="45" spans="2:14" x14ac:dyDescent="0.25">
      <c r="B45" s="7"/>
      <c r="N45" s="8"/>
    </row>
    <row r="46" spans="2:14" x14ac:dyDescent="0.25">
      <c r="B46" s="7"/>
      <c r="N46" s="8"/>
    </row>
    <row r="47" spans="2:14" x14ac:dyDescent="0.25">
      <c r="B47" s="7"/>
      <c r="N47" s="8"/>
    </row>
    <row r="48" spans="2:14" x14ac:dyDescent="0.25">
      <c r="B48" s="7"/>
      <c r="N48" s="8"/>
    </row>
    <row r="49" spans="2:14" x14ac:dyDescent="0.25">
      <c r="B49" s="7"/>
      <c r="N49" s="8"/>
    </row>
    <row r="50" spans="2:14" x14ac:dyDescent="0.25">
      <c r="B50" s="7"/>
      <c r="N50" s="8"/>
    </row>
    <row r="51" spans="2:14" x14ac:dyDescent="0.25">
      <c r="B51" s="7"/>
      <c r="N51" s="8"/>
    </row>
    <row r="52" spans="2:14" x14ac:dyDescent="0.25">
      <c r="B52" s="7"/>
      <c r="N52" s="8"/>
    </row>
    <row r="53" spans="2:14" x14ac:dyDescent="0.25">
      <c r="B53" s="7"/>
      <c r="N53" s="8"/>
    </row>
    <row r="54" spans="2:14" x14ac:dyDescent="0.25">
      <c r="B54" s="7"/>
      <c r="N54" s="8"/>
    </row>
    <row r="55" spans="2:14" x14ac:dyDescent="0.25">
      <c r="B55" s="7"/>
      <c r="N55" s="8"/>
    </row>
    <row r="56" spans="2:14" x14ac:dyDescent="0.25">
      <c r="B56" s="7"/>
      <c r="N56" s="8"/>
    </row>
    <row r="57" spans="2:14" x14ac:dyDescent="0.25">
      <c r="B57" s="7"/>
      <c r="N57" s="8"/>
    </row>
    <row r="58" spans="2:14" x14ac:dyDescent="0.25">
      <c r="B58" s="7"/>
      <c r="N58" s="8"/>
    </row>
    <row r="59" spans="2:14" x14ac:dyDescent="0.25">
      <c r="B59" s="7"/>
      <c r="N59" s="8"/>
    </row>
    <row r="60" spans="2:14" x14ac:dyDescent="0.25">
      <c r="B60" s="7"/>
      <c r="N60" s="8"/>
    </row>
    <row r="61" spans="2:14" x14ac:dyDescent="0.25">
      <c r="B61" s="7"/>
      <c r="N61" s="8"/>
    </row>
    <row r="62" spans="2:14" x14ac:dyDescent="0.25">
      <c r="B62" s="7"/>
      <c r="N62" s="8"/>
    </row>
    <row r="63" spans="2:14" x14ac:dyDescent="0.25">
      <c r="B63" s="7"/>
      <c r="N63" s="8"/>
    </row>
    <row r="64" spans="2:14" x14ac:dyDescent="0.25">
      <c r="B64" s="7"/>
      <c r="N64" s="8"/>
    </row>
    <row r="65" spans="2:14" x14ac:dyDescent="0.25">
      <c r="B65" s="7"/>
      <c r="N65" s="8"/>
    </row>
    <row r="66" spans="2:14" x14ac:dyDescent="0.25">
      <c r="B66" s="7"/>
      <c r="N66" s="8"/>
    </row>
    <row r="67" spans="2:14" x14ac:dyDescent="0.25">
      <c r="B67" s="7"/>
      <c r="N67" s="8"/>
    </row>
    <row r="68" spans="2:14" x14ac:dyDescent="0.25">
      <c r="B68" s="7"/>
      <c r="N68" s="8"/>
    </row>
    <row r="69" spans="2:14" x14ac:dyDescent="0.25">
      <c r="B69" s="9"/>
      <c r="C69" s="5"/>
      <c r="D69" s="5"/>
      <c r="E69" s="5"/>
      <c r="F69" s="5"/>
      <c r="G69" s="5"/>
      <c r="H69" s="5"/>
      <c r="I69" s="5"/>
      <c r="J69" s="5"/>
      <c r="K69" s="5"/>
      <c r="L69" s="5"/>
      <c r="M69" s="5"/>
      <c r="N69" s="10"/>
    </row>
  </sheetData>
  <sheetProtection selectLockedCells="1" selectUnlockedCells="1"/>
  <protectedRanges>
    <protectedRange sqref="M28:M36 L28:L35 A1:O4 H9:I13 O20:O38 A6:O6 A5:B5 D5:O5 B22:N25 I14 B7:I8 F10:F14 N7:O19 A22:A40 E26:K40 B26:D27 H16:I16 B30:D37 B39:D40 A7:A19" name="Bereich1"/>
    <protectedRange sqref="F16" name="Bereich1_1"/>
    <protectedRange sqref="F9" name="Bereich1_2"/>
    <protectedRange sqref="B12:E12 B14:D14" name="Bereich1_4"/>
    <protectedRange sqref="D9:E9 B9:B10 C10:E10" name="Bereich1_4_1"/>
    <protectedRange sqref="E15:E16 B15:B16" name="Bereich1_4_2"/>
    <protectedRange sqref="D38" name="Bereich1_3"/>
    <protectedRange sqref="C19:E19 B17:B19 E17:E18" name="Bereich1_6"/>
    <protectedRange sqref="I15 F15" name="Bereich1_5_2"/>
  </protectedRanges>
  <mergeCells count="7">
    <mergeCell ref="B28:C28"/>
    <mergeCell ref="D28:N28"/>
    <mergeCell ref="B26:N26"/>
    <mergeCell ref="C1:I1"/>
    <mergeCell ref="B7:E7"/>
    <mergeCell ref="F7:I7"/>
    <mergeCell ref="J7:N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ltText="">
                <anchor moveWithCells="1">
                  <from>
                    <xdr:col>3</xdr:col>
                    <xdr:colOff>1203960</xdr:colOff>
                    <xdr:row>9</xdr:row>
                    <xdr:rowOff>175260</xdr:rowOff>
                  </from>
                  <to>
                    <xdr:col>3</xdr:col>
                    <xdr:colOff>1432560</xdr:colOff>
                    <xdr:row>11</xdr:row>
                    <xdr:rowOff>0</xdr:rowOff>
                  </to>
                </anchor>
              </controlPr>
            </control>
          </mc:Choice>
        </mc:AlternateContent>
        <mc:AlternateContent xmlns:mc="http://schemas.openxmlformats.org/markup-compatibility/2006">
          <mc:Choice Requires="x14">
            <control shapeId="16386" r:id="rId5" name="Check Box 2">
              <controlPr defaultSize="0" autoFill="0" autoLine="0" autoPict="0" altText="">
                <anchor moveWithCells="1">
                  <from>
                    <xdr:col>3</xdr:col>
                    <xdr:colOff>1203960</xdr:colOff>
                    <xdr:row>9</xdr:row>
                    <xdr:rowOff>175260</xdr:rowOff>
                  </from>
                  <to>
                    <xdr:col>3</xdr:col>
                    <xdr:colOff>1432560</xdr:colOff>
                    <xdr:row>11</xdr:row>
                    <xdr:rowOff>0</xdr:rowOff>
                  </to>
                </anchor>
              </controlPr>
            </control>
          </mc:Choice>
        </mc:AlternateContent>
        <mc:AlternateContent xmlns:mc="http://schemas.openxmlformats.org/markup-compatibility/2006">
          <mc:Choice Requires="x14">
            <control shapeId="16388" r:id="rId6" name="Check Box 4">
              <controlPr defaultSize="0" autoFill="0" autoLine="0" autoPict="0" altText="">
                <anchor moveWithCells="1">
                  <from>
                    <xdr:col>3</xdr:col>
                    <xdr:colOff>1203960</xdr:colOff>
                    <xdr:row>9</xdr:row>
                    <xdr:rowOff>175260</xdr:rowOff>
                  </from>
                  <to>
                    <xdr:col>3</xdr:col>
                    <xdr:colOff>1432560</xdr:colOff>
                    <xdr:row>11</xdr:row>
                    <xdr:rowOff>0</xdr:rowOff>
                  </to>
                </anchor>
              </controlPr>
            </control>
          </mc:Choice>
        </mc:AlternateContent>
        <mc:AlternateContent xmlns:mc="http://schemas.openxmlformats.org/markup-compatibility/2006">
          <mc:Choice Requires="x14">
            <control shapeId="16389" r:id="rId7" name="Check Box 5">
              <controlPr defaultSize="0" autoFill="0" autoLine="0" autoPict="0" altText="">
                <anchor moveWithCells="1">
                  <from>
                    <xdr:col>3</xdr:col>
                    <xdr:colOff>1203960</xdr:colOff>
                    <xdr:row>11</xdr:row>
                    <xdr:rowOff>175260</xdr:rowOff>
                  </from>
                  <to>
                    <xdr:col>3</xdr:col>
                    <xdr:colOff>1432560</xdr:colOff>
                    <xdr:row>13</xdr:row>
                    <xdr:rowOff>0</xdr:rowOff>
                  </to>
                </anchor>
              </controlPr>
            </control>
          </mc:Choice>
        </mc:AlternateContent>
        <mc:AlternateContent xmlns:mc="http://schemas.openxmlformats.org/markup-compatibility/2006">
          <mc:Choice Requires="x14">
            <control shapeId="16390" r:id="rId8" name="Check Box 6">
              <controlPr defaultSize="0" autoFill="0" autoLine="0" autoPict="0" altText="">
                <anchor moveWithCells="1">
                  <from>
                    <xdr:col>3</xdr:col>
                    <xdr:colOff>1203960</xdr:colOff>
                    <xdr:row>9</xdr:row>
                    <xdr:rowOff>175260</xdr:rowOff>
                  </from>
                  <to>
                    <xdr:col>3</xdr:col>
                    <xdr:colOff>1432560</xdr:colOff>
                    <xdr:row>11</xdr:row>
                    <xdr:rowOff>0</xdr:rowOff>
                  </to>
                </anchor>
              </controlPr>
            </control>
          </mc:Choice>
        </mc:AlternateContent>
        <mc:AlternateContent xmlns:mc="http://schemas.openxmlformats.org/markup-compatibility/2006">
          <mc:Choice Requires="x14">
            <control shapeId="16392" r:id="rId9" name="Drop Down 8">
              <controlPr defaultSize="0" autoLine="0" autoPict="0">
                <anchor moveWithCells="1">
                  <from>
                    <xdr:col>3</xdr:col>
                    <xdr:colOff>15240</xdr:colOff>
                    <xdr:row>7</xdr:row>
                    <xdr:rowOff>175260</xdr:rowOff>
                  </from>
                  <to>
                    <xdr:col>4</xdr:col>
                    <xdr:colOff>0</xdr:colOff>
                    <xdr:row>9</xdr:row>
                    <xdr:rowOff>0</xdr:rowOff>
                  </to>
                </anchor>
              </controlPr>
            </control>
          </mc:Choice>
        </mc:AlternateContent>
        <mc:AlternateContent xmlns:mc="http://schemas.openxmlformats.org/markup-compatibility/2006">
          <mc:Choice Requires="x14">
            <control shapeId="16395" r:id="rId10" name="Drop Down 11">
              <controlPr defaultSize="0" autoLine="0" autoPict="0">
                <anchor moveWithCells="1">
                  <from>
                    <xdr:col>7</xdr:col>
                    <xdr:colOff>15240</xdr:colOff>
                    <xdr:row>7</xdr:row>
                    <xdr:rowOff>175260</xdr:rowOff>
                  </from>
                  <to>
                    <xdr:col>8</xdr:col>
                    <xdr:colOff>0</xdr:colOff>
                    <xdr:row>8</xdr:row>
                    <xdr:rowOff>175260</xdr:rowOff>
                  </to>
                </anchor>
              </controlPr>
            </control>
          </mc:Choice>
        </mc:AlternateContent>
        <mc:AlternateContent xmlns:mc="http://schemas.openxmlformats.org/markup-compatibility/2006">
          <mc:Choice Requires="x14">
            <control shapeId="16402" r:id="rId11" name="Drop Down 18">
              <controlPr defaultSize="0" autoLine="0" autoPict="0">
                <anchor moveWithCells="1">
                  <from>
                    <xdr:col>3</xdr:col>
                    <xdr:colOff>0</xdr:colOff>
                    <xdr:row>17</xdr:row>
                    <xdr:rowOff>167640</xdr:rowOff>
                  </from>
                  <to>
                    <xdr:col>3</xdr:col>
                    <xdr:colOff>1432560</xdr:colOff>
                    <xdr:row>18</xdr:row>
                    <xdr:rowOff>167640</xdr:rowOff>
                  </to>
                </anchor>
              </controlPr>
            </control>
          </mc:Choice>
        </mc:AlternateContent>
        <mc:AlternateContent xmlns:mc="http://schemas.openxmlformats.org/markup-compatibility/2006">
          <mc:Choice Requires="x14">
            <control shapeId="16403" r:id="rId12" name="Drop Down 19">
              <controlPr defaultSize="0" autoLine="0" autoPict="0">
                <anchor moveWithCells="1">
                  <from>
                    <xdr:col>3</xdr:col>
                    <xdr:colOff>15240</xdr:colOff>
                    <xdr:row>16</xdr:row>
                    <xdr:rowOff>15240</xdr:rowOff>
                  </from>
                  <to>
                    <xdr:col>4</xdr:col>
                    <xdr:colOff>15240</xdr:colOff>
                    <xdr:row>17</xdr:row>
                    <xdr:rowOff>15240</xdr:rowOff>
                  </to>
                </anchor>
              </controlPr>
            </control>
          </mc:Choice>
        </mc:AlternateContent>
        <mc:AlternateContent xmlns:mc="http://schemas.openxmlformats.org/markup-compatibility/2006">
          <mc:Choice Requires="x14">
            <control shapeId="16404" r:id="rId13" name="Check Box 20">
              <controlPr defaultSize="0" autoFill="0" autoLine="0" autoPict="0" altText="">
                <anchor moveWithCells="1">
                  <from>
                    <xdr:col>3</xdr:col>
                    <xdr:colOff>1242060</xdr:colOff>
                    <xdr:row>19</xdr:row>
                    <xdr:rowOff>152400</xdr:rowOff>
                  </from>
                  <to>
                    <xdr:col>4</xdr:col>
                    <xdr:colOff>15240</xdr:colOff>
                    <xdr:row>20</xdr:row>
                    <xdr:rowOff>167640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tabColor rgb="FF99B2BC"/>
  </sheetPr>
  <dimension ref="A1:N69"/>
  <sheetViews>
    <sheetView zoomScale="70" zoomScaleNormal="70" workbookViewId="0">
      <selection activeCell="D15" sqref="D15"/>
    </sheetView>
  </sheetViews>
  <sheetFormatPr baseColWidth="10" defaultColWidth="9.109375" defaultRowHeight="13.8" x14ac:dyDescent="0.25"/>
  <cols>
    <col min="1" max="1" width="3.109375" style="4" customWidth="1"/>
    <col min="2" max="14" width="21.6640625" style="4" customWidth="1"/>
    <col min="15" max="16384" width="9.109375" style="4"/>
  </cols>
  <sheetData>
    <row r="1" spans="1:14" ht="45" customHeight="1" x14ac:dyDescent="0.25">
      <c r="A1" s="3"/>
      <c r="B1" s="3"/>
      <c r="C1" s="1072" t="s">
        <v>12</v>
      </c>
      <c r="D1" s="1072"/>
      <c r="E1" s="1072"/>
      <c r="F1" s="1072"/>
      <c r="G1" s="1072"/>
      <c r="H1" s="1072"/>
      <c r="I1" s="1072"/>
      <c r="J1" s="3"/>
      <c r="K1" s="3"/>
      <c r="L1" s="3"/>
      <c r="M1" s="3"/>
      <c r="N1" s="3"/>
    </row>
    <row r="3" spans="1:14" x14ac:dyDescent="0.25">
      <c r="A3" s="5"/>
      <c r="B3" s="5"/>
      <c r="C3" s="5"/>
      <c r="D3" s="5"/>
      <c r="E3" s="5"/>
      <c r="F3" s="5"/>
      <c r="G3" s="5"/>
      <c r="H3" s="5"/>
      <c r="I3" s="5"/>
      <c r="J3" s="5"/>
      <c r="K3" s="5"/>
      <c r="L3" s="5"/>
      <c r="M3" s="5"/>
      <c r="N3" s="5"/>
    </row>
    <row r="5" spans="1:14" ht="17.399999999999999" x14ac:dyDescent="0.3">
      <c r="B5" s="6" t="s">
        <v>13</v>
      </c>
      <c r="C5" s="6"/>
    </row>
    <row r="7" spans="1:14" ht="14.25" customHeight="1" x14ac:dyDescent="0.25">
      <c r="B7" s="1064" t="s">
        <v>14</v>
      </c>
      <c r="C7" s="1066"/>
      <c r="D7" s="1066"/>
      <c r="E7" s="1065"/>
      <c r="F7" s="1064" t="s">
        <v>15</v>
      </c>
      <c r="G7" s="1066"/>
      <c r="H7" s="1066"/>
      <c r="I7" s="1066"/>
      <c r="J7" s="1064" t="s">
        <v>16</v>
      </c>
      <c r="K7" s="1066"/>
      <c r="L7" s="1066"/>
      <c r="M7" s="1066"/>
      <c r="N7" s="1065"/>
    </row>
    <row r="8" spans="1:14" ht="14.25" customHeight="1" x14ac:dyDescent="0.25">
      <c r="B8" s="7"/>
      <c r="E8" s="8"/>
      <c r="F8" s="7"/>
      <c r="J8" s="7"/>
      <c r="N8" s="8"/>
    </row>
    <row r="9" spans="1:14" ht="14.25" customHeight="1" x14ac:dyDescent="0.3">
      <c r="B9" s="7" t="s">
        <v>18</v>
      </c>
      <c r="D9" s="15"/>
      <c r="E9" s="13" t="s">
        <v>19</v>
      </c>
      <c r="F9" s="7" t="s">
        <v>20</v>
      </c>
      <c r="H9" s="14"/>
      <c r="J9" s="7" t="s">
        <v>21</v>
      </c>
      <c r="N9" s="8"/>
    </row>
    <row r="10" spans="1:14" ht="14.25" customHeight="1" x14ac:dyDescent="0.25">
      <c r="B10" s="7"/>
      <c r="E10" s="8"/>
      <c r="F10" s="7"/>
      <c r="J10" s="7"/>
      <c r="N10" s="8"/>
    </row>
    <row r="11" spans="1:14" ht="14.25" customHeight="1" x14ac:dyDescent="0.3">
      <c r="B11" s="7" t="s">
        <v>24</v>
      </c>
      <c r="D11" s="255"/>
      <c r="E11" s="18" t="s">
        <v>25</v>
      </c>
      <c r="F11" s="7" t="s">
        <v>26</v>
      </c>
      <c r="H11" s="960">
        <f>Macro!H10</f>
        <v>16.649999999999999</v>
      </c>
      <c r="I11" s="384" t="s">
        <v>27</v>
      </c>
      <c r="J11" s="7" t="s">
        <v>28</v>
      </c>
      <c r="N11" s="8"/>
    </row>
    <row r="12" spans="1:14" ht="14.25" customHeight="1" x14ac:dyDescent="0.3">
      <c r="B12" s="7"/>
      <c r="E12" s="8"/>
      <c r="F12" s="7"/>
      <c r="H12" s="12"/>
      <c r="I12" s="12"/>
      <c r="J12" s="7"/>
      <c r="N12" s="8"/>
    </row>
    <row r="13" spans="1:14" ht="14.25" customHeight="1" x14ac:dyDescent="0.35">
      <c r="B13" s="7" t="s">
        <v>91</v>
      </c>
      <c r="D13" s="255"/>
      <c r="E13" s="18"/>
      <c r="F13" s="7" t="s">
        <v>75</v>
      </c>
      <c r="H13" s="14">
        <f>Macro!H12</f>
        <v>380</v>
      </c>
      <c r="I13" s="12" t="s">
        <v>76</v>
      </c>
      <c r="J13" s="16" t="s">
        <v>35</v>
      </c>
      <c r="N13" s="8"/>
    </row>
    <row r="14" spans="1:14" ht="14.25" customHeight="1" x14ac:dyDescent="0.3">
      <c r="B14" s="7"/>
      <c r="E14" s="18"/>
      <c r="F14" s="7"/>
      <c r="I14" s="12"/>
      <c r="J14" s="7"/>
      <c r="N14" s="8"/>
    </row>
    <row r="15" spans="1:14" ht="14.25" customHeight="1" x14ac:dyDescent="0.3">
      <c r="B15" s="7" t="s">
        <v>42</v>
      </c>
      <c r="D15" s="538" t="str">
        <f>Macro!D16</f>
        <v>330</v>
      </c>
      <c r="E15" s="13" t="s">
        <v>44</v>
      </c>
      <c r="F15" s="7" t="s">
        <v>39</v>
      </c>
      <c r="H15" s="20" t="s">
        <v>77</v>
      </c>
      <c r="I15" s="12"/>
      <c r="J15" s="7"/>
      <c r="N15" s="8"/>
    </row>
    <row r="16" spans="1:14" ht="14.25" customHeight="1" x14ac:dyDescent="0.3">
      <c r="B16" s="7"/>
      <c r="E16" s="13"/>
      <c r="F16" s="7"/>
      <c r="J16" s="7"/>
      <c r="N16" s="8"/>
    </row>
    <row r="17" spans="1:14" ht="14.25" customHeight="1" x14ac:dyDescent="0.3">
      <c r="B17" s="7" t="s">
        <v>47</v>
      </c>
      <c r="D17" s="578">
        <v>2</v>
      </c>
      <c r="E17" s="12"/>
      <c r="F17" s="7"/>
      <c r="J17" s="7"/>
      <c r="N17" s="8"/>
    </row>
    <row r="18" spans="1:14" ht="14.25" customHeight="1" x14ac:dyDescent="0.3">
      <c r="B18" s="7"/>
      <c r="E18" s="12"/>
      <c r="F18" s="7"/>
      <c r="J18" s="7"/>
      <c r="N18" s="8"/>
    </row>
    <row r="19" spans="1:14" ht="14.25" customHeight="1" x14ac:dyDescent="0.3">
      <c r="B19" s="7" t="s">
        <v>51</v>
      </c>
      <c r="D19" s="578">
        <v>3</v>
      </c>
      <c r="E19" s="12"/>
      <c r="F19" s="7"/>
      <c r="J19" s="7"/>
      <c r="N19" s="8"/>
    </row>
    <row r="20" spans="1:14" ht="14.4" x14ac:dyDescent="0.3">
      <c r="B20" s="7"/>
      <c r="E20" s="12"/>
      <c r="F20" s="7"/>
      <c r="J20" s="7"/>
      <c r="N20" s="8"/>
    </row>
    <row r="21" spans="1:14" ht="14.4" x14ac:dyDescent="0.3">
      <c r="B21" s="9" t="s">
        <v>54</v>
      </c>
      <c r="C21" s="5"/>
      <c r="D21" s="682" t="b">
        <f>Macro!D22</f>
        <v>0</v>
      </c>
      <c r="E21" s="681" t="str">
        <f>IF(D21=FALSE,"external treatment","")</f>
        <v>external treatment</v>
      </c>
      <c r="F21" s="9"/>
      <c r="G21" s="5"/>
      <c r="H21" s="5"/>
      <c r="I21" s="5"/>
      <c r="J21" s="9"/>
      <c r="K21" s="5"/>
      <c r="L21" s="5"/>
      <c r="M21" s="5"/>
      <c r="N21" s="10"/>
    </row>
    <row r="22" spans="1:14" x14ac:dyDescent="0.25">
      <c r="A22" s="5"/>
      <c r="B22" s="5"/>
      <c r="C22" s="5"/>
      <c r="D22" s="5"/>
      <c r="E22" s="5"/>
      <c r="F22" s="5"/>
      <c r="G22" s="5"/>
      <c r="H22" s="5"/>
      <c r="I22" s="5"/>
      <c r="J22" s="5"/>
      <c r="K22" s="5"/>
      <c r="L22" s="5"/>
      <c r="M22" s="5"/>
      <c r="N22" s="5"/>
    </row>
    <row r="24" spans="1:14" ht="15" customHeight="1" x14ac:dyDescent="0.3">
      <c r="B24" s="6" t="s">
        <v>58</v>
      </c>
    </row>
    <row r="25" spans="1:14" ht="14.25" customHeight="1" x14ac:dyDescent="0.25"/>
    <row r="26" spans="1:14" ht="14.25" customHeight="1" x14ac:dyDescent="0.25">
      <c r="B26" s="1064" t="s">
        <v>78</v>
      </c>
      <c r="C26" s="1066"/>
      <c r="D26" s="1066"/>
      <c r="E26" s="1066"/>
      <c r="F26" s="1066"/>
      <c r="G26" s="1066"/>
      <c r="H26" s="1066"/>
      <c r="I26" s="1066"/>
      <c r="J26" s="1066"/>
      <c r="K26" s="1066"/>
      <c r="L26" s="1066"/>
      <c r="M26" s="1066"/>
      <c r="N26" s="1065"/>
    </row>
    <row r="27" spans="1:14" ht="14.25" customHeight="1" x14ac:dyDescent="0.25">
      <c r="B27" s="16"/>
      <c r="C27" s="11"/>
      <c r="D27" s="11"/>
      <c r="E27" s="11"/>
      <c r="F27" s="11"/>
      <c r="G27" s="11"/>
      <c r="H27" s="11"/>
      <c r="I27" s="11"/>
      <c r="J27" s="11"/>
      <c r="K27" s="11"/>
      <c r="L27" s="11"/>
      <c r="M27" s="11"/>
      <c r="N27" s="17"/>
    </row>
    <row r="28" spans="1:14" ht="14.25" customHeight="1" x14ac:dyDescent="0.25">
      <c r="B28" s="918" t="s">
        <v>79</v>
      </c>
      <c r="C28" s="919"/>
      <c r="E28" s="919"/>
      <c r="F28" s="919"/>
      <c r="G28" s="919"/>
      <c r="H28" s="919"/>
      <c r="I28" s="919"/>
      <c r="J28" s="919"/>
      <c r="K28" s="919"/>
      <c r="L28" s="919"/>
      <c r="M28" s="919"/>
      <c r="N28" s="920"/>
    </row>
    <row r="29" spans="1:14" ht="14.25" customHeight="1" x14ac:dyDescent="0.25">
      <c r="B29" s="7"/>
      <c r="N29" s="8"/>
    </row>
    <row r="30" spans="1:14" ht="14.25" customHeight="1" x14ac:dyDescent="0.3">
      <c r="B30" s="7" t="s">
        <v>81</v>
      </c>
      <c r="C30" s="22">
        <f>'R3_Econ.'!N51</f>
        <v>21975503.026379831</v>
      </c>
      <c r="D30" s="20" t="s">
        <v>82</v>
      </c>
      <c r="N30" s="8"/>
    </row>
    <row r="31" spans="1:14" ht="14.25" customHeight="1" x14ac:dyDescent="0.3">
      <c r="B31" s="7"/>
      <c r="D31" s="20"/>
      <c r="N31" s="8"/>
    </row>
    <row r="32" spans="1:14" ht="14.25" customHeight="1" x14ac:dyDescent="0.3">
      <c r="B32" s="7" t="s">
        <v>83</v>
      </c>
      <c r="C32" s="378">
        <f>Evaluation!R5</f>
        <v>0.24320769839630327</v>
      </c>
      <c r="D32" s="20" t="s">
        <v>84</v>
      </c>
      <c r="N32" s="8"/>
    </row>
    <row r="33" spans="2:14" ht="14.25" customHeight="1" x14ac:dyDescent="0.3">
      <c r="B33" s="7"/>
      <c r="D33" s="20"/>
      <c r="N33" s="8"/>
    </row>
    <row r="34" spans="2:14" ht="14.25" customHeight="1" x14ac:dyDescent="0.3">
      <c r="B34" s="7" t="s">
        <v>85</v>
      </c>
      <c r="C34" s="378">
        <f>Evaluation!R9</f>
        <v>4853.6712226267709</v>
      </c>
      <c r="D34" s="20" t="s">
        <v>86</v>
      </c>
      <c r="N34" s="8"/>
    </row>
    <row r="35" spans="2:14" ht="14.25" customHeight="1" x14ac:dyDescent="0.3">
      <c r="B35" s="7"/>
      <c r="D35" s="20"/>
      <c r="N35" s="8"/>
    </row>
    <row r="36" spans="2:14" ht="14.25" customHeight="1" x14ac:dyDescent="0.3">
      <c r="B36" s="7" t="s">
        <v>87</v>
      </c>
      <c r="C36" s="378">
        <f>Evaluation!R8</f>
        <v>1655.781320914512</v>
      </c>
      <c r="D36" s="20" t="s">
        <v>86</v>
      </c>
      <c r="N36" s="8"/>
    </row>
    <row r="37" spans="2:14" ht="14.25" customHeight="1" x14ac:dyDescent="0.3">
      <c r="B37" s="7"/>
      <c r="C37" s="21"/>
      <c r="D37" s="20"/>
      <c r="N37" s="8"/>
    </row>
    <row r="38" spans="2:14" ht="14.25" customHeight="1" x14ac:dyDescent="0.3">
      <c r="B38" s="7" t="s">
        <v>88</v>
      </c>
      <c r="C38" s="378">
        <f>C34-C36</f>
        <v>3197.889901712259</v>
      </c>
      <c r="D38" s="20" t="s">
        <v>86</v>
      </c>
      <c r="E38" s="11"/>
      <c r="F38" s="11"/>
      <c r="G38" s="11"/>
      <c r="H38" s="11"/>
      <c r="I38" s="11"/>
      <c r="J38" s="11"/>
      <c r="K38" s="11"/>
      <c r="L38" s="11"/>
      <c r="M38" s="11"/>
      <c r="N38" s="17"/>
    </row>
    <row r="39" spans="2:14" ht="14.25" customHeight="1" x14ac:dyDescent="0.3">
      <c r="B39" s="7"/>
      <c r="C39" s="21"/>
      <c r="D39" s="20"/>
      <c r="E39" s="11"/>
      <c r="F39" s="11"/>
      <c r="G39" s="11"/>
      <c r="H39" s="11"/>
      <c r="I39" s="11"/>
      <c r="J39" s="11"/>
      <c r="K39" s="11"/>
      <c r="L39" s="11"/>
      <c r="M39" s="11"/>
      <c r="N39" s="17"/>
    </row>
    <row r="40" spans="2:14" ht="14.25" customHeight="1" x14ac:dyDescent="0.3">
      <c r="B40" s="7" t="s">
        <v>89</v>
      </c>
      <c r="C40" s="378">
        <f>Evaluation!R10</f>
        <v>-7403.7857699610395</v>
      </c>
      <c r="D40" s="20" t="s">
        <v>90</v>
      </c>
      <c r="E40" s="11"/>
      <c r="F40" s="11"/>
      <c r="G40" s="11"/>
      <c r="H40" s="11"/>
      <c r="I40" s="11"/>
      <c r="J40" s="11"/>
      <c r="K40" s="11"/>
      <c r="L40" s="11"/>
      <c r="M40" s="11"/>
      <c r="N40" s="17"/>
    </row>
    <row r="41" spans="2:14" ht="14.25" customHeight="1" x14ac:dyDescent="0.25">
      <c r="B41" s="16"/>
      <c r="C41" s="11"/>
      <c r="D41" s="11"/>
      <c r="E41" s="11"/>
      <c r="F41" s="11"/>
      <c r="G41" s="11"/>
      <c r="H41" s="11"/>
      <c r="I41" s="11"/>
      <c r="J41" s="11"/>
      <c r="K41" s="11"/>
      <c r="L41" s="11"/>
      <c r="M41" s="11"/>
      <c r="N41" s="17"/>
    </row>
    <row r="42" spans="2:14" x14ac:dyDescent="0.25">
      <c r="B42" s="16"/>
      <c r="C42" s="11"/>
      <c r="D42" s="11"/>
      <c r="E42" s="11"/>
      <c r="F42" s="11"/>
      <c r="G42" s="11"/>
      <c r="H42" s="11"/>
      <c r="I42" s="11"/>
      <c r="J42" s="11"/>
      <c r="K42" s="11"/>
      <c r="L42" s="11"/>
      <c r="M42" s="11"/>
      <c r="N42" s="17"/>
    </row>
    <row r="43" spans="2:14" x14ac:dyDescent="0.25">
      <c r="B43" s="16"/>
      <c r="C43" s="11"/>
      <c r="D43" s="11"/>
      <c r="E43" s="11"/>
      <c r="F43" s="11"/>
      <c r="G43" s="11"/>
      <c r="H43" s="11"/>
      <c r="I43" s="11"/>
      <c r="J43" s="11"/>
      <c r="K43" s="11"/>
      <c r="L43" s="11"/>
      <c r="M43" s="11"/>
      <c r="N43" s="17"/>
    </row>
    <row r="44" spans="2:14" x14ac:dyDescent="0.25">
      <c r="B44" s="7"/>
      <c r="N44" s="8"/>
    </row>
    <row r="45" spans="2:14" x14ac:dyDescent="0.25">
      <c r="B45" s="7"/>
      <c r="N45" s="8"/>
    </row>
    <row r="46" spans="2:14" x14ac:dyDescent="0.25">
      <c r="B46" s="7"/>
      <c r="N46" s="8"/>
    </row>
    <row r="47" spans="2:14" x14ac:dyDescent="0.25">
      <c r="B47" s="7"/>
      <c r="N47" s="8"/>
    </row>
    <row r="48" spans="2:14" x14ac:dyDescent="0.25">
      <c r="B48" s="7"/>
      <c r="N48" s="8"/>
    </row>
    <row r="49" spans="2:14" x14ac:dyDescent="0.25">
      <c r="B49" s="7"/>
      <c r="N49" s="8"/>
    </row>
    <row r="50" spans="2:14" x14ac:dyDescent="0.25">
      <c r="B50" s="7"/>
      <c r="N50" s="8"/>
    </row>
    <row r="51" spans="2:14" x14ac:dyDescent="0.25">
      <c r="B51" s="7"/>
      <c r="N51" s="8"/>
    </row>
    <row r="52" spans="2:14" x14ac:dyDescent="0.25">
      <c r="B52" s="7"/>
      <c r="N52" s="8"/>
    </row>
    <row r="53" spans="2:14" x14ac:dyDescent="0.25">
      <c r="B53" s="7"/>
      <c r="N53" s="8"/>
    </row>
    <row r="54" spans="2:14" x14ac:dyDescent="0.25">
      <c r="B54" s="7"/>
      <c r="N54" s="8"/>
    </row>
    <row r="55" spans="2:14" x14ac:dyDescent="0.25">
      <c r="B55" s="7"/>
      <c r="N55" s="8"/>
    </row>
    <row r="56" spans="2:14" x14ac:dyDescent="0.25">
      <c r="B56" s="7"/>
      <c r="N56" s="8"/>
    </row>
    <row r="57" spans="2:14" x14ac:dyDescent="0.25">
      <c r="B57" s="7"/>
      <c r="N57" s="8"/>
    </row>
    <row r="58" spans="2:14" x14ac:dyDescent="0.25">
      <c r="B58" s="7"/>
      <c r="N58" s="8"/>
    </row>
    <row r="59" spans="2:14" x14ac:dyDescent="0.25">
      <c r="B59" s="7"/>
      <c r="N59" s="8"/>
    </row>
    <row r="60" spans="2:14" x14ac:dyDescent="0.25">
      <c r="B60" s="7"/>
      <c r="N60" s="8"/>
    </row>
    <row r="61" spans="2:14" x14ac:dyDescent="0.25">
      <c r="B61" s="7"/>
      <c r="N61" s="8"/>
    </row>
    <row r="62" spans="2:14" x14ac:dyDescent="0.25">
      <c r="B62" s="7"/>
      <c r="N62" s="8"/>
    </row>
    <row r="63" spans="2:14" x14ac:dyDescent="0.25">
      <c r="B63" s="7"/>
      <c r="N63" s="8"/>
    </row>
    <row r="64" spans="2:14" x14ac:dyDescent="0.25">
      <c r="B64" s="7"/>
      <c r="N64" s="8"/>
    </row>
    <row r="65" spans="2:14" x14ac:dyDescent="0.25">
      <c r="B65" s="7"/>
      <c r="N65" s="8"/>
    </row>
    <row r="66" spans="2:14" x14ac:dyDescent="0.25">
      <c r="B66" s="7"/>
      <c r="N66" s="8"/>
    </row>
    <row r="67" spans="2:14" x14ac:dyDescent="0.25">
      <c r="B67" s="7"/>
      <c r="N67" s="8"/>
    </row>
    <row r="68" spans="2:14" x14ac:dyDescent="0.25">
      <c r="B68" s="7"/>
      <c r="N68" s="8"/>
    </row>
    <row r="69" spans="2:14" x14ac:dyDescent="0.25">
      <c r="B69" s="9"/>
      <c r="C69" s="5"/>
      <c r="D69" s="5"/>
      <c r="E69" s="5"/>
      <c r="F69" s="5"/>
      <c r="G69" s="5"/>
      <c r="H69" s="5"/>
      <c r="I69" s="5"/>
      <c r="J69" s="5"/>
      <c r="K69" s="5"/>
      <c r="L69" s="5"/>
      <c r="M69" s="5"/>
      <c r="N69" s="10"/>
    </row>
  </sheetData>
  <protectedRanges>
    <protectedRange sqref="M28:M36 L28:L35 A1:O4 H9:I13 O20:O38 A6:O6 A5:B5 D5:O5 B22:N25 I14 B30:D36 B7:I8 F10:F14 N7:O19 A22:A40 A7:A19 B26:D27 H16:I18 B40:D40 E26:H40 J26:K40 I26:I27 I29:I40" name="Bereich1_6"/>
    <protectedRange sqref="F16:F18" name="Bereich1_1_2"/>
    <protectedRange sqref="F9" name="Bereich1_2_2"/>
    <protectedRange sqref="B12:E12 B14:D14" name="Bereich1_4_4"/>
    <protectedRange sqref="D9:E9 B9:B10 C10:E10" name="Bereich1_4_1_2"/>
    <protectedRange sqref="E15:E16 B15:B16" name="Bereich1_4_2_2"/>
    <protectedRange sqref="D38" name="Bereich1"/>
    <protectedRange sqref="C19:E19 B17:B19 E17:E18" name="Bereich1_6_1"/>
    <protectedRange sqref="I15 F15" name="Bereich1_5_2_1"/>
  </protectedRanges>
  <mergeCells count="5">
    <mergeCell ref="C1:I1"/>
    <mergeCell ref="B7:E7"/>
    <mergeCell ref="F7:I7"/>
    <mergeCell ref="J7:N7"/>
    <mergeCell ref="B26:N26"/>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25" r:id="rId4" name="Check Box 17">
              <controlPr defaultSize="0" autoFill="0" autoLine="0" autoPict="0" altText="">
                <anchor moveWithCells="1">
                  <from>
                    <xdr:col>3</xdr:col>
                    <xdr:colOff>1203960</xdr:colOff>
                    <xdr:row>9</xdr:row>
                    <xdr:rowOff>175260</xdr:rowOff>
                  </from>
                  <to>
                    <xdr:col>3</xdr:col>
                    <xdr:colOff>1432560</xdr:colOff>
                    <xdr:row>10</xdr:row>
                    <xdr:rowOff>175260</xdr:rowOff>
                  </to>
                </anchor>
              </controlPr>
            </control>
          </mc:Choice>
        </mc:AlternateContent>
        <mc:AlternateContent xmlns:mc="http://schemas.openxmlformats.org/markup-compatibility/2006">
          <mc:Choice Requires="x14">
            <control shapeId="17426" r:id="rId5" name="Check Box 18">
              <controlPr defaultSize="0" autoFill="0" autoLine="0" autoPict="0" altText="">
                <anchor moveWithCells="1">
                  <from>
                    <xdr:col>3</xdr:col>
                    <xdr:colOff>1203960</xdr:colOff>
                    <xdr:row>9</xdr:row>
                    <xdr:rowOff>175260</xdr:rowOff>
                  </from>
                  <to>
                    <xdr:col>3</xdr:col>
                    <xdr:colOff>1432560</xdr:colOff>
                    <xdr:row>10</xdr:row>
                    <xdr:rowOff>175260</xdr:rowOff>
                  </to>
                </anchor>
              </controlPr>
            </control>
          </mc:Choice>
        </mc:AlternateContent>
        <mc:AlternateContent xmlns:mc="http://schemas.openxmlformats.org/markup-compatibility/2006">
          <mc:Choice Requires="x14">
            <control shapeId="17427" r:id="rId6" name="Check Box 19">
              <controlPr defaultSize="0" autoFill="0" autoLine="0" autoPict="0" altText="">
                <anchor moveWithCells="1">
                  <from>
                    <xdr:col>3</xdr:col>
                    <xdr:colOff>1203960</xdr:colOff>
                    <xdr:row>9</xdr:row>
                    <xdr:rowOff>175260</xdr:rowOff>
                  </from>
                  <to>
                    <xdr:col>3</xdr:col>
                    <xdr:colOff>1432560</xdr:colOff>
                    <xdr:row>10</xdr:row>
                    <xdr:rowOff>175260</xdr:rowOff>
                  </to>
                </anchor>
              </controlPr>
            </control>
          </mc:Choice>
        </mc:AlternateContent>
        <mc:AlternateContent xmlns:mc="http://schemas.openxmlformats.org/markup-compatibility/2006">
          <mc:Choice Requires="x14">
            <control shapeId="17428" r:id="rId7" name="Check Box 20">
              <controlPr defaultSize="0" autoFill="0" autoLine="0" autoPict="0" altText="">
                <anchor moveWithCells="1">
                  <from>
                    <xdr:col>3</xdr:col>
                    <xdr:colOff>1203960</xdr:colOff>
                    <xdr:row>11</xdr:row>
                    <xdr:rowOff>175260</xdr:rowOff>
                  </from>
                  <to>
                    <xdr:col>3</xdr:col>
                    <xdr:colOff>1432560</xdr:colOff>
                    <xdr:row>13</xdr:row>
                    <xdr:rowOff>0</xdr:rowOff>
                  </to>
                </anchor>
              </controlPr>
            </control>
          </mc:Choice>
        </mc:AlternateContent>
        <mc:AlternateContent xmlns:mc="http://schemas.openxmlformats.org/markup-compatibility/2006">
          <mc:Choice Requires="x14">
            <control shapeId="17429" r:id="rId8" name="Check Box 21">
              <controlPr defaultSize="0" autoFill="0" autoLine="0" autoPict="0" altText="">
                <anchor moveWithCells="1">
                  <from>
                    <xdr:col>3</xdr:col>
                    <xdr:colOff>1203960</xdr:colOff>
                    <xdr:row>9</xdr:row>
                    <xdr:rowOff>175260</xdr:rowOff>
                  </from>
                  <to>
                    <xdr:col>3</xdr:col>
                    <xdr:colOff>1432560</xdr:colOff>
                    <xdr:row>10</xdr:row>
                    <xdr:rowOff>175260</xdr:rowOff>
                  </to>
                </anchor>
              </controlPr>
            </control>
          </mc:Choice>
        </mc:AlternateContent>
        <mc:AlternateContent xmlns:mc="http://schemas.openxmlformats.org/markup-compatibility/2006">
          <mc:Choice Requires="x14">
            <control shapeId="17430" r:id="rId9" name="Drop Down 22">
              <controlPr defaultSize="0" autoLine="0" autoPict="0">
                <anchor moveWithCells="1">
                  <from>
                    <xdr:col>3</xdr:col>
                    <xdr:colOff>15240</xdr:colOff>
                    <xdr:row>8</xdr:row>
                    <xdr:rowOff>0</xdr:rowOff>
                  </from>
                  <to>
                    <xdr:col>4</xdr:col>
                    <xdr:colOff>0</xdr:colOff>
                    <xdr:row>9</xdr:row>
                    <xdr:rowOff>22860</xdr:rowOff>
                  </to>
                </anchor>
              </controlPr>
            </control>
          </mc:Choice>
        </mc:AlternateContent>
        <mc:AlternateContent xmlns:mc="http://schemas.openxmlformats.org/markup-compatibility/2006">
          <mc:Choice Requires="x14">
            <control shapeId="17431" r:id="rId10" name="Drop Down 23">
              <controlPr defaultSize="0" autoLine="0" autoPict="0">
                <anchor moveWithCells="1">
                  <from>
                    <xdr:col>7</xdr:col>
                    <xdr:colOff>15240</xdr:colOff>
                    <xdr:row>7</xdr:row>
                    <xdr:rowOff>175260</xdr:rowOff>
                  </from>
                  <to>
                    <xdr:col>8</xdr:col>
                    <xdr:colOff>0</xdr:colOff>
                    <xdr:row>9</xdr:row>
                    <xdr:rowOff>15240</xdr:rowOff>
                  </to>
                </anchor>
              </controlPr>
            </control>
          </mc:Choice>
        </mc:AlternateContent>
        <mc:AlternateContent xmlns:mc="http://schemas.openxmlformats.org/markup-compatibility/2006">
          <mc:Choice Requires="x14">
            <control shapeId="17433" r:id="rId11" name="Drop Down 25">
              <controlPr defaultSize="0" autoLine="0" autoPict="0">
                <anchor moveWithCells="1">
                  <from>
                    <xdr:col>3</xdr:col>
                    <xdr:colOff>0</xdr:colOff>
                    <xdr:row>17</xdr:row>
                    <xdr:rowOff>167640</xdr:rowOff>
                  </from>
                  <to>
                    <xdr:col>3</xdr:col>
                    <xdr:colOff>1432560</xdr:colOff>
                    <xdr:row>18</xdr:row>
                    <xdr:rowOff>167640</xdr:rowOff>
                  </to>
                </anchor>
              </controlPr>
            </control>
          </mc:Choice>
        </mc:AlternateContent>
        <mc:AlternateContent xmlns:mc="http://schemas.openxmlformats.org/markup-compatibility/2006">
          <mc:Choice Requires="x14">
            <control shapeId="17434" r:id="rId12" name="Drop Down 26">
              <controlPr defaultSize="0" autoLine="0" autoPict="0">
                <anchor moveWithCells="1">
                  <from>
                    <xdr:col>3</xdr:col>
                    <xdr:colOff>15240</xdr:colOff>
                    <xdr:row>16</xdr:row>
                    <xdr:rowOff>15240</xdr:rowOff>
                  </from>
                  <to>
                    <xdr:col>4</xdr:col>
                    <xdr:colOff>15240</xdr:colOff>
                    <xdr:row>17</xdr:row>
                    <xdr:rowOff>15240</xdr:rowOff>
                  </to>
                </anchor>
              </controlPr>
            </control>
          </mc:Choice>
        </mc:AlternateContent>
        <mc:AlternateContent xmlns:mc="http://schemas.openxmlformats.org/markup-compatibility/2006">
          <mc:Choice Requires="x14">
            <control shapeId="17438" r:id="rId13" name="Check Box 30">
              <controlPr defaultSize="0" autoFill="0" autoLine="0" autoPict="0" altText="">
                <anchor moveWithCells="1">
                  <from>
                    <xdr:col>3</xdr:col>
                    <xdr:colOff>1242060</xdr:colOff>
                    <xdr:row>19</xdr:row>
                    <xdr:rowOff>152400</xdr:rowOff>
                  </from>
                  <to>
                    <xdr:col>4</xdr:col>
                    <xdr:colOff>15240</xdr:colOff>
                    <xdr:row>20</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0" tint="-0.499984740745262"/>
  </sheetPr>
  <dimension ref="A1:AA256"/>
  <sheetViews>
    <sheetView zoomScale="70" zoomScaleNormal="70" workbookViewId="0">
      <selection activeCell="P29" sqref="P29:S63"/>
    </sheetView>
  </sheetViews>
  <sheetFormatPr baseColWidth="10" defaultColWidth="11.44140625" defaultRowHeight="14.4" x14ac:dyDescent="0.3"/>
  <cols>
    <col min="1" max="1" width="14.77734375" customWidth="1"/>
    <col min="2" max="2" width="47.77734375" customWidth="1"/>
    <col min="3" max="4" width="13.6640625" customWidth="1"/>
    <col min="5" max="5" width="15" customWidth="1"/>
    <col min="6" max="8" width="13.6640625" customWidth="1"/>
    <col min="9" max="9" width="11" customWidth="1"/>
    <col min="10" max="11" width="15.33203125" customWidth="1"/>
    <col min="12" max="13" width="13.6640625" customWidth="1"/>
    <col min="14" max="14" width="27.6640625" bestFit="1" customWidth="1"/>
    <col min="15" max="15" width="29.6640625" customWidth="1"/>
    <col min="16" max="16" width="15.88671875" customWidth="1"/>
    <col min="17" max="17" width="22" customWidth="1"/>
    <col min="18" max="18" width="17.33203125" customWidth="1"/>
    <col min="19" max="19" width="24.77734375" customWidth="1"/>
    <col min="20" max="20" width="17.6640625" customWidth="1"/>
    <col min="21" max="21" width="15.44140625" bestFit="1" customWidth="1"/>
    <col min="22" max="22" width="15.6640625" customWidth="1"/>
    <col min="23" max="23" width="15.33203125" customWidth="1"/>
    <col min="24" max="24" width="53.88671875" customWidth="1"/>
    <col min="25" max="25" width="16.44140625" customWidth="1"/>
  </cols>
  <sheetData>
    <row r="1" spans="2:23" ht="15" thickBot="1" x14ac:dyDescent="0.35"/>
    <row r="2" spans="2:23" ht="15" thickBot="1" x14ac:dyDescent="0.35">
      <c r="B2" s="1100" t="s">
        <v>1147</v>
      </c>
      <c r="C2" s="1101"/>
      <c r="D2" s="1101"/>
      <c r="E2" s="1101"/>
      <c r="F2" s="1101"/>
      <c r="G2" s="1101"/>
      <c r="H2" s="1101"/>
      <c r="I2" s="1101"/>
      <c r="J2" s="1101"/>
      <c r="K2" s="1101"/>
      <c r="L2" s="1101"/>
      <c r="M2" s="1102"/>
      <c r="O2" s="1094" t="s">
        <v>92</v>
      </c>
      <c r="P2" s="1095"/>
      <c r="Q2" s="1095"/>
      <c r="R2" s="1096"/>
    </row>
    <row r="3" spans="2:23" ht="15" customHeight="1" x14ac:dyDescent="0.3">
      <c r="B3" s="134"/>
      <c r="C3" s="123" t="s">
        <v>55</v>
      </c>
      <c r="D3" s="123" t="s">
        <v>93</v>
      </c>
      <c r="E3" s="123" t="s">
        <v>94</v>
      </c>
      <c r="F3" s="123" t="s">
        <v>95</v>
      </c>
      <c r="G3" s="698" t="s">
        <v>96</v>
      </c>
      <c r="H3" s="123" t="s">
        <v>97</v>
      </c>
      <c r="I3" s="123" t="s">
        <v>98</v>
      </c>
      <c r="J3" s="123" t="s">
        <v>50</v>
      </c>
      <c r="K3" s="123" t="s">
        <v>71</v>
      </c>
      <c r="L3" s="123" t="s">
        <v>99</v>
      </c>
      <c r="M3" s="258" t="s">
        <v>100</v>
      </c>
      <c r="O3" s="680"/>
      <c r="P3" s="430" t="s">
        <v>101</v>
      </c>
      <c r="Q3" s="435" t="s">
        <v>102</v>
      </c>
      <c r="R3" s="271" t="s">
        <v>103</v>
      </c>
    </row>
    <row r="4" spans="2:23" ht="15" customHeight="1" x14ac:dyDescent="0.3">
      <c r="B4" s="263" t="s">
        <v>101</v>
      </c>
      <c r="C4" s="589">
        <f>C22/C16*C9</f>
        <v>0</v>
      </c>
      <c r="D4" s="589">
        <f t="shared" ref="D4:F4" si="0">D22/D16*D9</f>
        <v>0.93162766370776762</v>
      </c>
      <c r="E4" s="589">
        <f t="shared" si="0"/>
        <v>0.94103033776598288</v>
      </c>
      <c r="F4" s="589">
        <f t="shared" si="0"/>
        <v>0</v>
      </c>
      <c r="G4" s="589">
        <f>G22/G16*G9</f>
        <v>0</v>
      </c>
      <c r="H4" s="589">
        <f>H22/H16*H9</f>
        <v>0.79121083641404799</v>
      </c>
      <c r="I4" s="589">
        <f>I22/I16*I9</f>
        <v>0.90959740187587823</v>
      </c>
      <c r="J4" s="589">
        <v>0</v>
      </c>
      <c r="K4" s="589">
        <f t="shared" ref="K4:L6" si="1">K22/K16*K9</f>
        <v>0.64895147774404061</v>
      </c>
      <c r="L4" s="589">
        <f t="shared" si="1"/>
        <v>0.49822649376881584</v>
      </c>
      <c r="M4" s="280"/>
      <c r="O4" s="678" t="s">
        <v>104</v>
      </c>
      <c r="P4" s="431">
        <f>'R1_Econ.'!N46</f>
        <v>25560856.131334361</v>
      </c>
      <c r="Q4" s="436">
        <f>'R2_Econ.'!N50</f>
        <v>21579439.51041941</v>
      </c>
      <c r="R4" s="620">
        <f>'R3_Econ.'!N51</f>
        <v>21975503.026379831</v>
      </c>
    </row>
    <row r="5" spans="2:23" x14ac:dyDescent="0.3">
      <c r="B5" s="207" t="s">
        <v>102</v>
      </c>
      <c r="C5" s="672">
        <f>C23/C17*C10</f>
        <v>0.83299999999999996</v>
      </c>
      <c r="D5" s="672">
        <f>D23/D17*D10</f>
        <v>0.82487866057458603</v>
      </c>
      <c r="E5" s="672">
        <f t="shared" ref="E5:I5" si="2">E23/E17*E10</f>
        <v>0.83320394489696403</v>
      </c>
      <c r="F5" s="672">
        <f>F23/F17*F10</f>
        <v>0.72250000000000003</v>
      </c>
      <c r="G5" s="672">
        <f t="shared" si="2"/>
        <v>0.83305534011175797</v>
      </c>
      <c r="H5" s="672">
        <f>H23/H17*H10</f>
        <v>0.93608149818084141</v>
      </c>
      <c r="I5" s="672">
        <f t="shared" si="2"/>
        <v>0.9718814114186739</v>
      </c>
      <c r="J5" s="672">
        <f>J23/J17*J10</f>
        <v>0</v>
      </c>
      <c r="K5" s="672">
        <f t="shared" si="1"/>
        <v>0.93640350790680449</v>
      </c>
      <c r="L5" s="672">
        <f t="shared" si="1"/>
        <v>0.71745156636790131</v>
      </c>
      <c r="M5" s="262"/>
      <c r="O5" s="678" t="s">
        <v>105</v>
      </c>
      <c r="P5" s="432">
        <f>P4/((P9-P6*(1+S7))*'R1_MEFA'!C5)</f>
        <v>0.28404258559746359</v>
      </c>
      <c r="Q5" s="437">
        <f>Q4/((Q9-Q6*(1+S7))*'R2_MEFA'!C5)</f>
        <v>0.21698474709664797</v>
      </c>
      <c r="R5" s="595">
        <f>R4/((R9-R6*(1+Y7))*'R3_MEFA'!C5)</f>
        <v>0.24320769839630327</v>
      </c>
    </row>
    <row r="6" spans="2:23" x14ac:dyDescent="0.3">
      <c r="B6" s="144" t="s">
        <v>103</v>
      </c>
      <c r="C6" s="671">
        <f>C24/C18*C11</f>
        <v>0</v>
      </c>
      <c r="D6" s="671">
        <f>D24/D18*D11</f>
        <v>0.85858805487307888</v>
      </c>
      <c r="E6" s="671">
        <f>E24/E18*E11</f>
        <v>0.87628745052768309</v>
      </c>
      <c r="F6" s="671">
        <f>F24/F18*F11</f>
        <v>0</v>
      </c>
      <c r="G6" s="671">
        <f>G24/G18*G11</f>
        <v>0</v>
      </c>
      <c r="H6" s="671">
        <f>H24/H18*H11</f>
        <v>0.9379835975046209</v>
      </c>
      <c r="I6" s="671">
        <f>I24/I18*I11</f>
        <v>0.970320363034609</v>
      </c>
      <c r="J6" s="671">
        <f>J24/J18*J11</f>
        <v>0</v>
      </c>
      <c r="K6" s="671">
        <f t="shared" si="1"/>
        <v>0.93889804238849239</v>
      </c>
      <c r="L6" s="671">
        <f t="shared" si="1"/>
        <v>0.57049502958183163</v>
      </c>
      <c r="M6" s="281"/>
      <c r="O6" s="678" t="s">
        <v>106</v>
      </c>
      <c r="P6" s="433">
        <f>C64*1000+'R1_Econ.'!J57/'R1_Econ.'!E5</f>
        <v>1333.7027048402124</v>
      </c>
      <c r="Q6" s="437">
        <f>E64*1000+'R2_Econ.'!J59/'R2_Econ.'!E5</f>
        <v>1524.9895560235389</v>
      </c>
      <c r="R6" s="595">
        <f>G64*1000+'R3_Econ.'!J64/'R3_Econ.'!E5</f>
        <v>1239.3936859723049</v>
      </c>
      <c r="S6" s="734" t="s">
        <v>107</v>
      </c>
    </row>
    <row r="7" spans="2:23" x14ac:dyDescent="0.3">
      <c r="B7" s="261"/>
      <c r="M7" s="262"/>
      <c r="O7" s="678" t="s">
        <v>108</v>
      </c>
      <c r="P7" s="433">
        <f>'R1_Econ.'!R46/'R1_Econ.'!E5</f>
        <v>204.48684905067489</v>
      </c>
      <c r="Q7" s="437">
        <f>'R2_Econ.'!R50/'R2_Econ.'!E5</f>
        <v>172.63551608335524</v>
      </c>
      <c r="R7" s="595">
        <f>'R3_Econ.'!R51/'R3_Econ.'!E5</f>
        <v>175.80402421103861</v>
      </c>
      <c r="S7" s="879">
        <v>0.17</v>
      </c>
    </row>
    <row r="8" spans="2:23" x14ac:dyDescent="0.3">
      <c r="B8" s="1103" t="s">
        <v>109</v>
      </c>
      <c r="C8" s="1104"/>
      <c r="D8" s="1104"/>
      <c r="E8" s="1104"/>
      <c r="F8" s="1104"/>
      <c r="G8" s="1104"/>
      <c r="H8" s="1104"/>
      <c r="I8" s="1104"/>
      <c r="J8" s="1104"/>
      <c r="K8" s="1104"/>
      <c r="L8" s="1104"/>
      <c r="M8" s="1105"/>
      <c r="O8" s="678" t="s">
        <v>110</v>
      </c>
      <c r="P8" s="433">
        <f>SUM(P6:P7)*(1+S7)</f>
        <v>1799.6817780523379</v>
      </c>
      <c r="Q8" s="240">
        <f>SUM(Q6:Q7)*(1+S7)</f>
        <v>1986.221334365066</v>
      </c>
      <c r="R8" s="240">
        <f>SUM(R6:R7)*(1+S7)</f>
        <v>1655.781320914512</v>
      </c>
    </row>
    <row r="9" spans="2:23" x14ac:dyDescent="0.3">
      <c r="B9" s="735" t="s">
        <v>111</v>
      </c>
      <c r="C9" s="310">
        <f t="shared" ref="C9:C10" si="3">C10</f>
        <v>1</v>
      </c>
      <c r="D9" s="310">
        <v>1</v>
      </c>
      <c r="E9" s="310">
        <v>1</v>
      </c>
      <c r="F9" s="310">
        <v>1</v>
      </c>
      <c r="G9" s="310">
        <v>1</v>
      </c>
      <c r="H9" s="310">
        <v>0.95</v>
      </c>
      <c r="I9" s="310">
        <v>0.99</v>
      </c>
      <c r="J9" s="310">
        <v>0.6</v>
      </c>
      <c r="K9" s="310">
        <v>0.95</v>
      </c>
      <c r="L9" s="310">
        <v>1</v>
      </c>
      <c r="M9" s="264">
        <v>0</v>
      </c>
      <c r="O9" s="678" t="s">
        <v>112</v>
      </c>
      <c r="P9" s="433">
        <f>D64*1000</f>
        <v>5160.0129919631372</v>
      </c>
      <c r="Q9" s="437">
        <f>F64*1000</f>
        <v>5762.2942659294613</v>
      </c>
      <c r="R9" s="595">
        <f>H64*1000</f>
        <v>4853.6712226267709</v>
      </c>
    </row>
    <row r="10" spans="2:23" ht="16.2" thickBot="1" x14ac:dyDescent="0.4">
      <c r="B10" s="736" t="s">
        <v>113</v>
      </c>
      <c r="C10" s="294">
        <f t="shared" si="3"/>
        <v>1</v>
      </c>
      <c r="D10" s="294">
        <v>1</v>
      </c>
      <c r="E10" s="294">
        <v>1</v>
      </c>
      <c r="F10" s="294">
        <v>1</v>
      </c>
      <c r="G10" s="294">
        <v>1</v>
      </c>
      <c r="H10" s="294">
        <v>0.95</v>
      </c>
      <c r="I10" s="294">
        <v>0.99</v>
      </c>
      <c r="J10" s="294">
        <v>0.6</v>
      </c>
      <c r="K10" s="294">
        <v>0.95</v>
      </c>
      <c r="L10" s="294">
        <v>1</v>
      </c>
      <c r="M10" s="259">
        <v>0</v>
      </c>
      <c r="O10" s="679" t="s">
        <v>114</v>
      </c>
      <c r="P10" s="434">
        <f>C152*1000</f>
        <v>-6586.7044324703002</v>
      </c>
      <c r="Q10" s="438">
        <f>E152*1000</f>
        <v>-8071.1060445515222</v>
      </c>
      <c r="R10" s="621">
        <f>G152*1000</f>
        <v>-7403.7857699610395</v>
      </c>
    </row>
    <row r="11" spans="2:23" ht="15" customHeight="1" x14ac:dyDescent="0.3">
      <c r="B11" s="736" t="s">
        <v>115</v>
      </c>
      <c r="C11" s="294">
        <f>C12</f>
        <v>1</v>
      </c>
      <c r="D11" s="294">
        <v>1</v>
      </c>
      <c r="E11" s="294">
        <v>1</v>
      </c>
      <c r="F11" s="294">
        <v>1</v>
      </c>
      <c r="G11" s="294">
        <v>1</v>
      </c>
      <c r="H11" s="294">
        <v>0.95</v>
      </c>
      <c r="I11" s="294">
        <v>0.99</v>
      </c>
      <c r="J11" s="294">
        <v>0.6</v>
      </c>
      <c r="K11" s="294">
        <v>0.95</v>
      </c>
      <c r="L11" s="294">
        <v>1</v>
      </c>
      <c r="M11" s="259">
        <v>0</v>
      </c>
    </row>
    <row r="12" spans="2:23" x14ac:dyDescent="0.3">
      <c r="B12" s="144" t="s">
        <v>116</v>
      </c>
      <c r="C12" s="305">
        <v>1</v>
      </c>
      <c r="D12" s="305">
        <f>58.933194/281.1028</f>
        <v>0.20964997146951223</v>
      </c>
      <c r="E12" s="305">
        <f>58.6934/262.8477</f>
        <v>0.22329813043827282</v>
      </c>
      <c r="F12" s="305">
        <f>6.94/73.89*2</f>
        <v>0.1878467992962512</v>
      </c>
      <c r="G12" s="305">
        <f>54.938044/169.02</f>
        <v>0.32503871731156075</v>
      </c>
      <c r="H12" s="305">
        <f>26.9815385/78</f>
        <v>0.34591716025641023</v>
      </c>
      <c r="I12" s="305">
        <v>1</v>
      </c>
      <c r="J12" s="305">
        <v>0</v>
      </c>
      <c r="K12" s="305">
        <v>0.52270000000000005</v>
      </c>
      <c r="L12" s="305"/>
      <c r="M12" s="260">
        <f>SUM('R1_Hydro_MEFA'!T109:T112)/SUM('R1_Hydro_MEFA'!T109:T115)</f>
        <v>0.93085411105331173</v>
      </c>
      <c r="U12" s="904"/>
      <c r="V12" s="904"/>
      <c r="W12" s="904"/>
    </row>
    <row r="13" spans="2:23" x14ac:dyDescent="0.3">
      <c r="B13" s="261"/>
      <c r="M13" s="262"/>
      <c r="U13" s="905"/>
      <c r="V13" s="905"/>
      <c r="W13" s="905"/>
    </row>
    <row r="14" spans="2:23" x14ac:dyDescent="0.3">
      <c r="B14" s="1103" t="s">
        <v>117</v>
      </c>
      <c r="C14" s="1104"/>
      <c r="D14" s="1104"/>
      <c r="E14" s="1104"/>
      <c r="F14" s="1104"/>
      <c r="G14" s="1104"/>
      <c r="H14" s="1104"/>
      <c r="I14" s="1104"/>
      <c r="J14" s="1104"/>
      <c r="K14" s="1104"/>
      <c r="L14" s="1104"/>
      <c r="M14" s="1105"/>
      <c r="U14" s="180"/>
      <c r="V14" s="180"/>
      <c r="W14" s="180"/>
    </row>
    <row r="15" spans="2:23" x14ac:dyDescent="0.3">
      <c r="B15" s="134"/>
      <c r="C15" s="123" t="s">
        <v>55</v>
      </c>
      <c r="D15" s="123" t="s">
        <v>93</v>
      </c>
      <c r="E15" s="123" t="s">
        <v>94</v>
      </c>
      <c r="F15" s="123" t="s">
        <v>95</v>
      </c>
      <c r="G15" s="123" t="s">
        <v>96</v>
      </c>
      <c r="H15" s="123" t="s">
        <v>97</v>
      </c>
      <c r="I15" s="123" t="s">
        <v>98</v>
      </c>
      <c r="J15" s="123" t="s">
        <v>50</v>
      </c>
      <c r="K15" s="123" t="s">
        <v>71</v>
      </c>
      <c r="L15" s="123" t="s">
        <v>99</v>
      </c>
      <c r="M15" s="258"/>
      <c r="U15" s="180"/>
      <c r="V15" s="180"/>
      <c r="W15" s="180"/>
    </row>
    <row r="16" spans="2:23" x14ac:dyDescent="0.3">
      <c r="B16" s="207" t="s">
        <v>101</v>
      </c>
      <c r="C16" s="439">
        <f>'R1_MEFA'!$C$5*Battery!E16</f>
        <v>3541.4443721535458</v>
      </c>
      <c r="D16" s="440">
        <f>'R1_MEFA'!$C$5*Battery!E11</f>
        <v>713.2178876599437</v>
      </c>
      <c r="E16" s="440">
        <f>'R1_MEFA'!$C$5*Battery!E10</f>
        <v>2130.8557449577102</v>
      </c>
      <c r="F16" s="440">
        <f>'R1_MEFA'!$C$5*Battery!E13</f>
        <v>419.95395358924316</v>
      </c>
      <c r="G16" s="440">
        <f>'R1_MEFA'!$C$5*Battery!E12</f>
        <v>665.12260247234872</v>
      </c>
      <c r="H16" s="440">
        <f>'R1_MEFA'!$C$5*(Battery!E9+Battery!E17+Battery!E25+Battery!E34)</f>
        <v>7509.0002168726969</v>
      </c>
      <c r="I16" s="440">
        <f>'R1_MEFA'!$C$5*(Battery!E15+Battery!E36)</f>
        <v>2123.5480373021037</v>
      </c>
      <c r="J16" s="440">
        <f>'R1_MEFA'!$C$5*Battery!E19</f>
        <v>2352.6350032530904</v>
      </c>
      <c r="K16" s="439">
        <f>'R1_MEFA'!$C$5*(Battery!E26+Battery!E35)</f>
        <v>2314.4654088050315</v>
      </c>
      <c r="L16" s="439">
        <f>'R1_MEFA'!C5</f>
        <v>25000</v>
      </c>
      <c r="M16" s="262"/>
    </row>
    <row r="17" spans="2:27" x14ac:dyDescent="0.3">
      <c r="B17" s="207" t="s">
        <v>102</v>
      </c>
      <c r="C17" s="440">
        <f>'R2_MEFA'!$C$5*Battery!E16</f>
        <v>3541.4443721535458</v>
      </c>
      <c r="D17" s="440">
        <f>'R2_MEFA'!$C$5*Battery!E11</f>
        <v>713.2178876599437</v>
      </c>
      <c r="E17" s="440">
        <f>'R2_MEFA'!$C$5*Battery!E10</f>
        <v>2130.8557449577102</v>
      </c>
      <c r="F17" s="440">
        <f>'R2_MEFA'!$C$5*Battery!E13</f>
        <v>419.95395358924316</v>
      </c>
      <c r="G17" s="440">
        <f>'R2_MEFA'!$C$5*Battery!E12</f>
        <v>665.12260247234872</v>
      </c>
      <c r="H17" s="440">
        <f>'R2_MEFA'!$C$5*(Battery!E9+Battery!E17+Battery!E25+Battery!E34)</f>
        <v>7509.0002168726969</v>
      </c>
      <c r="I17" s="440">
        <f>'R2_MEFA'!$C$5*(Battery!E15+Battery!E36)</f>
        <v>2123.5480373021037</v>
      </c>
      <c r="J17" s="440">
        <f>'R2_MEFA'!$C$5*Battery!E19</f>
        <v>2352.6350032530904</v>
      </c>
      <c r="K17" s="440">
        <f>'R2_MEFA'!$C$5*(Battery!E26+Battery!E35)</f>
        <v>2314.4654088050315</v>
      </c>
      <c r="L17" s="440">
        <f>'R2_MEFA'!C5</f>
        <v>25000</v>
      </c>
      <c r="M17" s="262"/>
    </row>
    <row r="18" spans="2:27" x14ac:dyDescent="0.3">
      <c r="B18" s="144" t="s">
        <v>103</v>
      </c>
      <c r="C18" s="441">
        <f>'R3_MEFA'!$C$5*Battery!E16</f>
        <v>3541.4443721535458</v>
      </c>
      <c r="D18" s="441">
        <f>'R3_MEFA'!$C$5*Battery!E11</f>
        <v>713.2178876599437</v>
      </c>
      <c r="E18" s="441">
        <f>'R3_MEFA'!$C$5*Battery!E10</f>
        <v>2130.8557449577102</v>
      </c>
      <c r="F18" s="441">
        <f>'R3_MEFA'!$C$5*Battery!E13</f>
        <v>419.95395358924316</v>
      </c>
      <c r="G18" s="441">
        <f>'R3_MEFA'!$C$5*Battery!E12</f>
        <v>665.12260247234872</v>
      </c>
      <c r="H18" s="441">
        <f>'R3_MEFA'!$C$5*(Battery!E9+Battery!E17+Battery!E25+Battery!E34)</f>
        <v>7509.0002168726969</v>
      </c>
      <c r="I18" s="441">
        <f>'R3_MEFA'!$C$5*(Battery!E15+Battery!E36)</f>
        <v>2123.5480373021037</v>
      </c>
      <c r="J18" s="441">
        <f>'R3_MEFA'!$C$5*Battery!E19</f>
        <v>2352.6350032530904</v>
      </c>
      <c r="K18" s="441">
        <f>'R3_MEFA'!$C$5*(Battery!E26+Battery!E35)</f>
        <v>2314.4654088050315</v>
      </c>
      <c r="L18" s="441">
        <f>'R3_MEFA'!C5</f>
        <v>25000</v>
      </c>
      <c r="M18" s="281"/>
    </row>
    <row r="19" spans="2:27" x14ac:dyDescent="0.3">
      <c r="B19" s="261"/>
      <c r="M19" s="262"/>
    </row>
    <row r="20" spans="2:27" x14ac:dyDescent="0.3">
      <c r="B20" s="1103" t="s">
        <v>118</v>
      </c>
      <c r="C20" s="1104"/>
      <c r="D20" s="1104"/>
      <c r="E20" s="1104"/>
      <c r="F20" s="1104"/>
      <c r="G20" s="1104"/>
      <c r="H20" s="1104"/>
      <c r="I20" s="1104"/>
      <c r="J20" s="1104"/>
      <c r="K20" s="1104"/>
      <c r="L20" s="1104"/>
      <c r="M20" s="1105"/>
    </row>
    <row r="21" spans="2:27" x14ac:dyDescent="0.3">
      <c r="B21" s="134"/>
      <c r="C21" s="123" t="s">
        <v>55</v>
      </c>
      <c r="D21" s="123" t="s">
        <v>93</v>
      </c>
      <c r="E21" s="123" t="s">
        <v>94</v>
      </c>
      <c r="F21" s="123" t="s">
        <v>95</v>
      </c>
      <c r="G21" s="123" t="s">
        <v>96</v>
      </c>
      <c r="H21" s="123" t="s">
        <v>97</v>
      </c>
      <c r="I21" s="123" t="s">
        <v>98</v>
      </c>
      <c r="J21" s="123" t="s">
        <v>50</v>
      </c>
      <c r="K21" s="123" t="s">
        <v>71</v>
      </c>
      <c r="L21" s="123" t="s">
        <v>99</v>
      </c>
      <c r="M21" s="258"/>
    </row>
    <row r="22" spans="2:27" x14ac:dyDescent="0.3">
      <c r="B22" s="207" t="s">
        <v>101</v>
      </c>
      <c r="C22" s="440">
        <v>0</v>
      </c>
      <c r="D22" s="440">
        <f>'R1_MEFA'!L77*D12</f>
        <v>664.45351439522244</v>
      </c>
      <c r="E22" s="440">
        <f>'R1_MEFA'!L76*E12</f>
        <v>2005.1999014081391</v>
      </c>
      <c r="F22" s="440">
        <f>'R1_MEFA'!L84*F12</f>
        <v>0</v>
      </c>
      <c r="G22" s="440">
        <f>'R1_MEFA'!L83*G12</f>
        <v>0</v>
      </c>
      <c r="H22" s="440">
        <f>('R1_MEFA'!L67+'R1_MEFA'!L81*H12)</f>
        <v>6253.8972023422257</v>
      </c>
      <c r="I22" s="440">
        <f>('R1_MEFA'!L69)</f>
        <v>1951.0846237258729</v>
      </c>
      <c r="J22" s="440">
        <v>0</v>
      </c>
      <c r="K22" s="440">
        <f>'R1_MEFA'!L68+'R1_MEFA'!L73*Evaluation!K12-'R1_MEFA'!F71</f>
        <v>1581.0271023489372</v>
      </c>
      <c r="L22" s="440">
        <f>SUM(C22:K22)+M22*M9</f>
        <v>12455.662344220396</v>
      </c>
      <c r="M22" s="265">
        <f>IF(Macro!D10=FALSE,'R1_Hydro_MEFA'!T115,0)*M12</f>
        <v>619.13210886586342</v>
      </c>
    </row>
    <row r="23" spans="2:27" x14ac:dyDescent="0.3">
      <c r="B23" s="207" t="s">
        <v>102</v>
      </c>
      <c r="C23" s="440">
        <f>'R2_MEFA'!L107</f>
        <v>2950.0231620039035</v>
      </c>
      <c r="D23" s="440">
        <f>'R2_MEFA'!L106*D12</f>
        <v>588.3182158707699</v>
      </c>
      <c r="E23" s="440">
        <f>'R2_MEFA'!L105*E12</f>
        <v>1775.4374127051233</v>
      </c>
      <c r="F23" s="440">
        <f>'R2_MEFA'!L111*F12</f>
        <v>303.41673146822819</v>
      </c>
      <c r="G23" s="440">
        <f>'R2_MEFA'!L110*G12</f>
        <v>554.08393581862003</v>
      </c>
      <c r="H23" s="440">
        <f>('R2_MEFA'!L94+'R2_MEFA'!L108*H12)</f>
        <v>7398.9854451057454</v>
      </c>
      <c r="I23" s="440">
        <f>('R2_MEFA'!L96)</f>
        <v>2084.6837007156801</v>
      </c>
      <c r="J23" s="440">
        <f>'R2_MEFA'!L100</f>
        <v>0</v>
      </c>
      <c r="K23" s="440">
        <f>'R2_MEFA'!L95+'R2_MEFA'!L101*Evaluation!K12-'R2_MEFA'!F96</f>
        <v>2281.340555509461</v>
      </c>
      <c r="L23" s="440">
        <f>SUM(C23:K23)</f>
        <v>17936.289159197531</v>
      </c>
      <c r="M23" s="262"/>
      <c r="Q23" s="125" t="s">
        <v>121</v>
      </c>
      <c r="R23" s="356" t="s">
        <v>1241</v>
      </c>
    </row>
    <row r="24" spans="2:27" ht="15" thickBot="1" x14ac:dyDescent="0.35">
      <c r="B24" s="266" t="s">
        <v>103</v>
      </c>
      <c r="C24" s="442">
        <v>0</v>
      </c>
      <c r="D24" s="442">
        <f>'R3_MEFA'!L124*D12</f>
        <v>612.36035886663717</v>
      </c>
      <c r="E24" s="442">
        <f>'R3_MEFA'!L123*E12</f>
        <v>1867.2421481912588</v>
      </c>
      <c r="F24" s="442">
        <f>'R3_MEFA'!L131*Evaluation!F12</f>
        <v>0</v>
      </c>
      <c r="G24" s="442">
        <f>'R3_MEFA'!L130*Evaluation!G12</f>
        <v>0</v>
      </c>
      <c r="H24" s="442">
        <f>('R3_MEFA'!L114+'R3_MEFA'!L128*H12)</f>
        <v>7414.0200390370856</v>
      </c>
      <c r="I24" s="442">
        <f>'R3_MEFA'!L116</f>
        <v>2081.3352550266754</v>
      </c>
      <c r="J24" s="442">
        <v>0</v>
      </c>
      <c r="K24" s="442">
        <f>'R3_MEFA'!L115+'R3_MEFA'!L120*Evaluation!K12-'R3_MEFA'!F118</f>
        <v>2287.4179384241324</v>
      </c>
      <c r="L24" s="442">
        <f>SUM(C24:K24)</f>
        <v>14262.375739545791</v>
      </c>
      <c r="M24" s="276"/>
      <c r="Q24" s="1048">
        <v>0.91</v>
      </c>
      <c r="R24" s="733">
        <v>45523</v>
      </c>
    </row>
    <row r="25" spans="2:27" ht="15" thickBot="1" x14ac:dyDescent="0.35">
      <c r="Y25" s="954"/>
      <c r="Z25" s="954"/>
      <c r="AA25" s="954"/>
    </row>
    <row r="26" spans="2:27" ht="18" customHeight="1" thickBot="1" x14ac:dyDescent="0.35">
      <c r="B26" s="1097" t="s">
        <v>119</v>
      </c>
      <c r="C26" s="1098"/>
      <c r="D26" s="1098"/>
      <c r="E26" s="1098"/>
      <c r="F26" s="1098"/>
      <c r="G26" s="1098"/>
      <c r="H26" s="1099"/>
      <c r="N26" s="1112" t="s">
        <v>120</v>
      </c>
      <c r="O26" s="1113"/>
      <c r="P26" s="1113"/>
      <c r="Q26" s="1113"/>
      <c r="R26" s="1113"/>
      <c r="S26" s="1113"/>
      <c r="T26" s="1113"/>
      <c r="U26" s="1113"/>
      <c r="V26" s="1113"/>
      <c r="W26" s="1113"/>
      <c r="X26" s="1114"/>
    </row>
    <row r="27" spans="2:27" ht="21.6" thickBot="1" x14ac:dyDescent="0.45">
      <c r="B27" s="622"/>
      <c r="C27" s="1106" t="s">
        <v>101</v>
      </c>
      <c r="D27" s="1106"/>
      <c r="E27" s="1106" t="s">
        <v>102</v>
      </c>
      <c r="F27" s="1106"/>
      <c r="G27" s="1106" t="s">
        <v>103</v>
      </c>
      <c r="H27" s="1118"/>
      <c r="N27" s="1115"/>
      <c r="O27" s="1116"/>
      <c r="P27" s="1116"/>
      <c r="Q27" s="1116"/>
      <c r="R27" s="1116"/>
      <c r="S27" s="1116"/>
      <c r="T27" s="1116"/>
      <c r="U27" s="1116"/>
      <c r="V27" s="1116"/>
      <c r="W27" s="1116"/>
      <c r="X27" s="1117"/>
    </row>
    <row r="28" spans="2:27" ht="57.6" x14ac:dyDescent="0.3">
      <c r="B28" s="377" t="s">
        <v>122</v>
      </c>
      <c r="C28" s="124" t="s">
        <v>123</v>
      </c>
      <c r="D28" s="124" t="s">
        <v>124</v>
      </c>
      <c r="E28" s="124" t="s">
        <v>123</v>
      </c>
      <c r="F28" s="124" t="s">
        <v>124</v>
      </c>
      <c r="G28" s="124" t="s">
        <v>123</v>
      </c>
      <c r="H28" s="328" t="s">
        <v>124</v>
      </c>
      <c r="N28" s="622" t="s">
        <v>122</v>
      </c>
      <c r="O28" s="126" t="s">
        <v>125</v>
      </c>
      <c r="P28" s="1024" t="s">
        <v>1235</v>
      </c>
      <c r="Q28" s="1025" t="s">
        <v>1236</v>
      </c>
      <c r="R28" s="1024" t="s">
        <v>1237</v>
      </c>
      <c r="S28" s="1024" t="s">
        <v>1238</v>
      </c>
      <c r="T28" s="1024" t="s">
        <v>1239</v>
      </c>
      <c r="U28" s="623" t="s">
        <v>126</v>
      </c>
      <c r="V28" s="623" t="s">
        <v>127</v>
      </c>
      <c r="W28" s="623" t="s">
        <v>128</v>
      </c>
      <c r="X28" s="624" t="s">
        <v>129</v>
      </c>
      <c r="Y28" s="954"/>
      <c r="Z28" s="1026"/>
      <c r="AA28" s="1027"/>
    </row>
    <row r="29" spans="2:27" x14ac:dyDescent="0.3">
      <c r="B29" s="207" t="s">
        <v>130</v>
      </c>
      <c r="C29" s="428">
        <f>'R1_MEFA'!L72*O29/'R1_MEFA'!C5/1000</f>
        <v>5.564227197057862E-6</v>
      </c>
      <c r="D29" s="429"/>
      <c r="E29" s="428">
        <f>'R2_MEFA'!L99*O29/'R2_MEFA'!C5/1000</f>
        <v>1.4049936635700254E-2</v>
      </c>
      <c r="F29" s="429"/>
      <c r="G29" s="428">
        <f>'R3_MEFA'!L119*$O29/'R3_MEFA'!$C$5/1000</f>
        <v>4.0672714401300113E-3</v>
      </c>
      <c r="H29" s="374"/>
      <c r="I29" s="376"/>
      <c r="J29" s="376"/>
      <c r="K29" s="376"/>
      <c r="L29" s="376"/>
      <c r="N29" s="377" t="s">
        <v>130</v>
      </c>
      <c r="O29" s="662">
        <f>IF(Macro!$H$8=1,Evaluation!U29,IF(Macro!$H$8=2,Evaluation!V29,IF(Macro!$H$8=3,Evaluation!W29,IF(Macro!Q7=0,V29,Macro!Q7))))</f>
        <v>80.986905320813776</v>
      </c>
      <c r="P29" s="1050">
        <v>45352</v>
      </c>
      <c r="Q29" s="1051">
        <v>127.8</v>
      </c>
      <c r="R29" s="1050">
        <v>45261</v>
      </c>
      <c r="S29" s="1051">
        <v>127.3</v>
      </c>
      <c r="T29" s="880">
        <f>(114.7+47.91)/2</f>
        <v>81.305000000000007</v>
      </c>
      <c r="U29" s="1028">
        <f>1.3*V29</f>
        <v>105.28297691705791</v>
      </c>
      <c r="V29" s="1028">
        <f>T29*S29/Q29</f>
        <v>80.986905320813776</v>
      </c>
      <c r="W29" s="1028">
        <f>0.7*V29</f>
        <v>56.690833724569636</v>
      </c>
      <c r="X29" s="280" t="s">
        <v>131</v>
      </c>
      <c r="Y29" t="s">
        <v>0</v>
      </c>
    </row>
    <row r="30" spans="2:27" x14ac:dyDescent="0.3">
      <c r="B30" s="207" t="s">
        <v>132</v>
      </c>
      <c r="C30" s="535">
        <f>'R1_MEFA'!L87*O30/'R1_MEFA'!C5/1000</f>
        <v>2.1939732761975641E-3</v>
      </c>
      <c r="D30" s="536"/>
      <c r="E30" s="535">
        <f>'R2_MEFA'!L115*O30/'R2_MEFA'!C5/1000</f>
        <v>0</v>
      </c>
      <c r="F30" s="536"/>
      <c r="G30" s="428">
        <f>'R3_MEFA'!L134*$O30/'R3_MEFA'!$C$5/1000</f>
        <v>8.6166207834878581E-4</v>
      </c>
      <c r="H30" s="537"/>
      <c r="I30" s="376"/>
      <c r="J30" s="307"/>
      <c r="K30" s="376"/>
      <c r="L30" s="376"/>
      <c r="N30" s="377" t="s">
        <v>132</v>
      </c>
      <c r="O30" s="661">
        <f>IF(Macro!$H$8=1,Evaluation!U30,IF(Macro!$H$8=2,Evaluation!V30,IF(Macro!$H$8=3,Evaluation!W30,IF(Macro!Q8=0,V30,Macro!Q8))))</f>
        <v>2.8225318352059925</v>
      </c>
      <c r="P30" s="1050">
        <v>44927</v>
      </c>
      <c r="Q30" s="1051">
        <v>133.5</v>
      </c>
      <c r="R30" s="1050">
        <v>45261</v>
      </c>
      <c r="S30" s="1052">
        <v>127.3</v>
      </c>
      <c r="T30" s="1049">
        <v>2.96</v>
      </c>
      <c r="U30" s="1029">
        <f t="shared" ref="U30:U63" si="4">1.3*V30</f>
        <v>3.6692913857677905</v>
      </c>
      <c r="V30" s="1029">
        <f>T30*S30/Q30</f>
        <v>2.8225318352059925</v>
      </c>
      <c r="W30" s="1029">
        <f t="shared" ref="W30:W63" si="5">0.7*V30</f>
        <v>1.9757722846441945</v>
      </c>
      <c r="X30" s="262" t="s">
        <v>133</v>
      </c>
      <c r="Y30" t="s">
        <v>0</v>
      </c>
    </row>
    <row r="31" spans="2:27" x14ac:dyDescent="0.3">
      <c r="B31" s="207" t="s">
        <v>134</v>
      </c>
      <c r="C31" s="535">
        <f>'R1_MEFA'!L78*O31/'R1_MEFA'!C5/1000</f>
        <v>0</v>
      </c>
      <c r="D31" s="536"/>
      <c r="E31" s="535">
        <f>'R2_MEFA'!L114*O31/'R1_MEFA'!C5/1000</f>
        <v>0.37231160054262635</v>
      </c>
      <c r="F31" s="536"/>
      <c r="G31" s="373">
        <f>'R3_MEFA'!L125*O31/'R1_MEFA'!C5/1000</f>
        <v>0</v>
      </c>
      <c r="H31" s="537"/>
      <c r="I31" s="376"/>
      <c r="J31" s="376"/>
      <c r="K31" s="376"/>
      <c r="L31" s="376"/>
      <c r="N31" s="377" t="s">
        <v>134</v>
      </c>
      <c r="O31" s="209">
        <f>IF(Macro!$H$8=1,Evaluation!U31,IF(Macro!$H$8=2,Evaluation!V31,IF(Macro!$H$8=3,Evaluation!W31,IF(Macro!Q8=0,V31,Macro!Q8))))</f>
        <v>507.98084596967277</v>
      </c>
      <c r="P31" s="1050">
        <v>44652</v>
      </c>
      <c r="Q31" s="1051">
        <v>125.3</v>
      </c>
      <c r="R31" s="1050">
        <v>45261</v>
      </c>
      <c r="S31" s="1052">
        <v>127.3</v>
      </c>
      <c r="T31" s="881">
        <v>500</v>
      </c>
      <c r="U31" s="1030">
        <f t="shared" si="4"/>
        <v>660.37509976057459</v>
      </c>
      <c r="V31" s="1030">
        <f>T31*S31/Q31</f>
        <v>507.98084596967277</v>
      </c>
      <c r="W31" s="1030">
        <f t="shared" si="5"/>
        <v>355.5865921787709</v>
      </c>
      <c r="X31" s="262" t="s">
        <v>1048</v>
      </c>
      <c r="Y31" t="s">
        <v>0</v>
      </c>
    </row>
    <row r="32" spans="2:27" x14ac:dyDescent="0.3">
      <c r="B32" s="207" t="s">
        <v>97</v>
      </c>
      <c r="C32" s="428"/>
      <c r="D32" s="429">
        <f>'R1_MEFA'!L67*O32/'R1_MEFA'!C5/1000</f>
        <v>0.28142537410540014</v>
      </c>
      <c r="E32" s="428"/>
      <c r="F32" s="429">
        <f>'R2_MEFA'!L94*O32/'R2_MEFA'!C5/1000</f>
        <v>0.33239856343526353</v>
      </c>
      <c r="G32" s="373"/>
      <c r="H32" s="374">
        <f>'R3_MEFA'!L114*$O32/'R3_MEFA'!$C$5/1000</f>
        <v>0.33363090175666882</v>
      </c>
      <c r="I32" s="376"/>
      <c r="J32" s="376"/>
      <c r="K32" s="376"/>
      <c r="L32" s="376"/>
      <c r="N32" s="377" t="s">
        <v>23</v>
      </c>
      <c r="O32" s="209">
        <f>IF(Macro!$H$8=1,Evaluation!U32,IF(Macro!$H$8=2,Evaluation!V32,IF(Macro!$H$8=3,Evaluation!W32,IF(Macro!Q9=0,V32,Macro!Q9))))</f>
        <v>1125</v>
      </c>
      <c r="P32" s="1050">
        <v>45261</v>
      </c>
      <c r="Q32" s="1051">
        <v>127.3</v>
      </c>
      <c r="R32" s="1050">
        <v>45261</v>
      </c>
      <c r="S32" s="1052">
        <v>127.3</v>
      </c>
      <c r="T32" s="881">
        <v>1125</v>
      </c>
      <c r="U32" s="1030">
        <f t="shared" si="4"/>
        <v>1462.5</v>
      </c>
      <c r="V32" s="1030">
        <f t="shared" ref="V32:V63" si="6">T32*S32/Q32</f>
        <v>1125</v>
      </c>
      <c r="W32" s="1030">
        <f t="shared" si="5"/>
        <v>787.5</v>
      </c>
      <c r="X32" s="262" t="s">
        <v>1242</v>
      </c>
      <c r="Y32" t="s">
        <v>0</v>
      </c>
    </row>
    <row r="33" spans="2:27" x14ac:dyDescent="0.3">
      <c r="B33" s="207" t="s">
        <v>136</v>
      </c>
      <c r="C33" s="428"/>
      <c r="D33" s="429">
        <f>'R1_MEFA'!L81*O33/'R1_MEFA'!C5/1000</f>
        <v>0</v>
      </c>
      <c r="E33" s="428"/>
      <c r="F33" s="429">
        <f>'R2_MEFA'!L108*O33/'R2_MEFA'!C5/1000</f>
        <v>6.6018896405103228E-4</v>
      </c>
      <c r="G33" s="373"/>
      <c r="H33" s="374"/>
      <c r="I33" s="376"/>
      <c r="J33" s="376"/>
      <c r="K33" s="376"/>
      <c r="L33" s="376"/>
      <c r="N33" s="377" t="s">
        <v>136</v>
      </c>
      <c r="O33" s="209">
        <f>IF(Macro!$H$8=1,Evaluation!U33,IF(Macro!$H$8=2,Evaluation!V33,IF(Macro!$H$8=3,Evaluation!W33,IF(Macro!Q10=0,V33,Macro!Q10))))</f>
        <v>462.26256983240222</v>
      </c>
      <c r="P33" s="1050">
        <v>44652</v>
      </c>
      <c r="Q33" s="1051">
        <v>125.3</v>
      </c>
      <c r="R33" s="1050">
        <v>45261</v>
      </c>
      <c r="S33" s="1052">
        <v>127.3</v>
      </c>
      <c r="T33" s="881">
        <f>500*$Q$24</f>
        <v>455</v>
      </c>
      <c r="U33" s="1030">
        <f t="shared" si="4"/>
        <v>600.94134078212289</v>
      </c>
      <c r="V33" s="1030">
        <f t="shared" si="6"/>
        <v>462.26256983240222</v>
      </c>
      <c r="W33" s="1030">
        <f t="shared" si="5"/>
        <v>323.58379888268155</v>
      </c>
      <c r="X33" s="262" t="s">
        <v>137</v>
      </c>
      <c r="Y33" t="s">
        <v>0</v>
      </c>
    </row>
    <row r="34" spans="2:27" x14ac:dyDescent="0.3">
      <c r="B34" s="736" t="s">
        <v>30</v>
      </c>
      <c r="C34" s="428"/>
      <c r="D34" s="429">
        <f>'R1_MEFA'!L79*O34/'R1_MEFA'!C5/1000</f>
        <v>0</v>
      </c>
      <c r="E34" s="428"/>
      <c r="F34" s="429"/>
      <c r="G34" s="373"/>
      <c r="H34" s="374">
        <f>'R3_MEFA'!L126*$O34/'R3_MEFA'!$C$5/1000</f>
        <v>0</v>
      </c>
      <c r="I34" s="376"/>
      <c r="J34" s="376"/>
      <c r="K34" s="376"/>
      <c r="L34" s="376"/>
      <c r="N34" s="377" t="s">
        <v>30</v>
      </c>
      <c r="O34" s="209">
        <v>500</v>
      </c>
      <c r="P34" s="1050">
        <v>44652</v>
      </c>
      <c r="Q34" s="1051">
        <v>125.3</v>
      </c>
      <c r="R34" s="1050">
        <v>45261</v>
      </c>
      <c r="S34" s="1052">
        <v>127.3</v>
      </c>
      <c r="T34" s="881">
        <f>280*$Q$24</f>
        <v>254.8</v>
      </c>
      <c r="U34" s="1030">
        <f t="shared" si="4"/>
        <v>336.52715083798887</v>
      </c>
      <c r="V34" s="1030">
        <f t="shared" si="6"/>
        <v>258.86703910614528</v>
      </c>
      <c r="W34" s="1030">
        <f t="shared" si="5"/>
        <v>181.2069273743017</v>
      </c>
      <c r="X34" s="262" t="s">
        <v>138</v>
      </c>
      <c r="Y34" t="s">
        <v>0</v>
      </c>
    </row>
    <row r="35" spans="2:27" ht="15.6" x14ac:dyDescent="0.35">
      <c r="B35" s="207" t="s">
        <v>139</v>
      </c>
      <c r="C35" s="428"/>
      <c r="D35" s="429">
        <f>'R1_MEFA'!L77*O35/'R1_MEFA'!C5/1000</f>
        <v>2.1663350545146471</v>
      </c>
      <c r="E35" s="428"/>
      <c r="F35" s="429">
        <f>'R2_MEFA'!L106*O35/'R2_MEFA'!C5/1000</f>
        <v>1.9181091628515103</v>
      </c>
      <c r="G35" s="373"/>
      <c r="H35" s="374">
        <f>'R3_MEFA'!L124*$O35/'R3_MEFA'!$C$5/1000</f>
        <v>1.996494386240699</v>
      </c>
      <c r="I35" s="376"/>
      <c r="J35" s="376"/>
      <c r="K35" s="376"/>
      <c r="L35" s="376"/>
      <c r="N35" s="377" t="s">
        <v>36</v>
      </c>
      <c r="O35" s="209">
        <f>IF(Macro!$H$8=1,Evaluation!U35,IF(Macro!$H$8=2,Evaluation!V35,IF(Macro!$H$8=3,Evaluation!W35,IF(Macro!Q12=0,V35,Macro!Q12))))</f>
        <v>17088.181209553157</v>
      </c>
      <c r="P35" s="1050">
        <v>45078</v>
      </c>
      <c r="Q35" s="1051">
        <v>129.80000000000001</v>
      </c>
      <c r="R35" s="1050">
        <v>45261</v>
      </c>
      <c r="S35" s="1052">
        <v>127.3</v>
      </c>
      <c r="T35" s="881">
        <f>19.147*1000*$Q$24</f>
        <v>17423.77</v>
      </c>
      <c r="U35" s="1030">
        <f t="shared" si="4"/>
        <v>22214.635572419105</v>
      </c>
      <c r="V35" s="1030">
        <f t="shared" si="6"/>
        <v>17088.181209553157</v>
      </c>
      <c r="W35" s="1030">
        <f t="shared" si="5"/>
        <v>11961.726846687208</v>
      </c>
      <c r="X35" s="262" t="s">
        <v>1243</v>
      </c>
      <c r="Y35" s="954"/>
      <c r="Z35" s="954"/>
      <c r="AA35" s="954"/>
    </row>
    <row r="36" spans="2:27" x14ac:dyDescent="0.3">
      <c r="B36" s="207" t="s">
        <v>37</v>
      </c>
      <c r="C36" s="428">
        <f>('R1_MEFA'!F75-'R1_MEFA'!L75)*O36/'R1_MEFA'!C5/1000</f>
        <v>6.3530626481008437E-5</v>
      </c>
      <c r="D36" s="429"/>
      <c r="E36" s="428">
        <f>('R2_MEFA'!F100-'R2_MEFA'!L103)*O36/'R2_MEFA'!C5/1000</f>
        <v>1.6004980976990006E-5</v>
      </c>
      <c r="F36" s="429"/>
      <c r="G36" s="373">
        <f>('R3_MEFA'!F122-'R3_MEFA'!L122)*$O36/'R3_MEFA'!$C$5/1000</f>
        <v>2.9605355880936254E-5</v>
      </c>
      <c r="H36" s="374"/>
      <c r="I36" s="376"/>
      <c r="J36" s="376"/>
      <c r="K36" s="376"/>
      <c r="L36" s="376"/>
      <c r="N36" s="377" t="s">
        <v>37</v>
      </c>
      <c r="O36" s="209">
        <f>IF(Macro!$H$8=1,Evaluation!U36,IF(Macro!$H$8=2,Evaluation!V36,IF(Macro!$H$8=3,Evaluation!W36,IF(Macro!Q13=0,V36,Macro!Q13))))</f>
        <v>26811.229050279329</v>
      </c>
      <c r="P36" s="1050">
        <v>44652</v>
      </c>
      <c r="Q36" s="1051">
        <v>125.3</v>
      </c>
      <c r="R36" s="1050">
        <v>45261</v>
      </c>
      <c r="S36" s="1052">
        <v>127.3</v>
      </c>
      <c r="T36" s="881">
        <f>29000*$Q$24</f>
        <v>26390</v>
      </c>
      <c r="U36" s="1030">
        <f t="shared" si="4"/>
        <v>34854.597765363127</v>
      </c>
      <c r="V36" s="1030">
        <f t="shared" si="6"/>
        <v>26811.229050279329</v>
      </c>
      <c r="W36" s="1030">
        <f t="shared" si="5"/>
        <v>18767.860335195528</v>
      </c>
      <c r="X36" s="262" t="s">
        <v>1244</v>
      </c>
      <c r="Y36" t="s">
        <v>0</v>
      </c>
    </row>
    <row r="37" spans="2:27" x14ac:dyDescent="0.3">
      <c r="B37" s="207" t="s">
        <v>40</v>
      </c>
      <c r="C37" s="428"/>
      <c r="D37" s="429"/>
      <c r="E37" s="428">
        <f>('R2_MEFA'!F101-'R2_MEFA'!L104)*O37/'R2_MEFA'!C5/1000</f>
        <v>5.8427354443090988E-5</v>
      </c>
      <c r="F37" s="429"/>
      <c r="G37" s="373"/>
      <c r="H37" s="374"/>
      <c r="I37" s="376"/>
      <c r="J37" s="376"/>
      <c r="K37" s="376"/>
      <c r="L37" s="376"/>
      <c r="N37" s="377" t="s">
        <v>40</v>
      </c>
      <c r="O37" s="209">
        <f>IF(Macro!$H$8=1,Evaluation!U37,IF(Macro!$H$8=2,Evaluation!V37,IF(Macro!$H$8=3,Evaluation!W37,IF(Macro!Q14=0,V37,Macro!Q14))))</f>
        <v>25886.703910614524</v>
      </c>
      <c r="P37" s="1050">
        <v>44652</v>
      </c>
      <c r="Q37" s="1051">
        <v>125.3</v>
      </c>
      <c r="R37" s="1050">
        <v>45261</v>
      </c>
      <c r="S37" s="1052">
        <v>127.3</v>
      </c>
      <c r="T37" s="881">
        <f>28000*$Q$24</f>
        <v>25480</v>
      </c>
      <c r="U37" s="1030">
        <f t="shared" si="4"/>
        <v>33652.715083798881</v>
      </c>
      <c r="V37" s="1030">
        <f t="shared" si="6"/>
        <v>25886.703910614524</v>
      </c>
      <c r="W37" s="1030">
        <f t="shared" si="5"/>
        <v>18120.692737430167</v>
      </c>
      <c r="X37" s="262" t="s">
        <v>1244</v>
      </c>
      <c r="Y37" t="s">
        <v>0</v>
      </c>
    </row>
    <row r="38" spans="2:27" x14ac:dyDescent="0.3">
      <c r="B38" s="207" t="s">
        <v>41</v>
      </c>
      <c r="C38" s="428">
        <f>('R1_MEFA'!F76-'R1_MEFA'!L82)*O38/'R1_MEFA'!C5/1000</f>
        <v>0</v>
      </c>
      <c r="D38" s="429"/>
      <c r="E38" s="428">
        <f>('R2_MEFA'!F102-'R2_MEFA'!L109)*O38/'R2_MEFA'!C5/1000</f>
        <v>9.7649646482578506E-6</v>
      </c>
      <c r="F38" s="429"/>
      <c r="G38" s="373">
        <f>('R3_MEFA'!F123-'R3_MEFA'!L129)*$O38/'R3_MEFA'!$C$5/1000</f>
        <v>0</v>
      </c>
      <c r="H38" s="374"/>
      <c r="I38" s="376"/>
      <c r="J38" s="376"/>
      <c r="K38" s="376"/>
      <c r="L38" s="376"/>
      <c r="N38" s="377" t="s">
        <v>41</v>
      </c>
      <c r="O38" s="209">
        <f>IF(Macro!$H$8=1,Evaluation!U38,IF(Macro!$H$8=2,Evaluation!V38,IF(Macro!$H$8=3,Evaluation!W38,IF(Macro!Q15=0,V38,Macro!Q15))))</f>
        <v>8076.8954509177975</v>
      </c>
      <c r="P38" s="1050">
        <v>44652</v>
      </c>
      <c r="Q38" s="1051">
        <v>125.3</v>
      </c>
      <c r="R38" s="1050">
        <v>45261</v>
      </c>
      <c r="S38" s="1052">
        <v>127.3</v>
      </c>
      <c r="T38" s="881">
        <v>7950</v>
      </c>
      <c r="U38" s="1030">
        <f t="shared" si="4"/>
        <v>10499.964086193137</v>
      </c>
      <c r="V38" s="1030">
        <f t="shared" si="6"/>
        <v>8076.8954509177975</v>
      </c>
      <c r="W38" s="1030">
        <f t="shared" si="5"/>
        <v>5653.8268156424583</v>
      </c>
      <c r="X38" s="262" t="s">
        <v>1244</v>
      </c>
      <c r="Y38" t="s">
        <v>0</v>
      </c>
    </row>
    <row r="39" spans="2:27" x14ac:dyDescent="0.3">
      <c r="B39" s="207" t="s">
        <v>45</v>
      </c>
      <c r="C39" s="428">
        <f>'R1_MEFA'!F71*O39/'R1_MEFA'!C5/1000</f>
        <v>7.2470953286694964E-3</v>
      </c>
      <c r="D39" s="429"/>
      <c r="E39" s="428">
        <f>'R2_MEFA'!F96*O39/'R2_MEFA'!C5/1000</f>
        <v>1.4494190657338992E-4</v>
      </c>
      <c r="F39" s="429"/>
      <c r="G39" s="373">
        <f>'R3_MEFA'!F118*$O39/'R3_MEFA'!$C$5/1000</f>
        <v>7.247095328669496E-5</v>
      </c>
      <c r="H39" s="374"/>
      <c r="I39" s="376"/>
      <c r="J39" s="376"/>
      <c r="K39" s="376"/>
      <c r="L39" s="376"/>
      <c r="N39" s="377" t="s">
        <v>45</v>
      </c>
      <c r="O39" s="209">
        <f>IF(Macro!$H$8=1,Evaluation!U39,IF(Macro!$H$8=2,Evaluation!V39,IF(Macro!$H$8=3,Evaluation!W39,IF(Macro!Q16=0,V39,Macro!Q16))))</f>
        <v>108.43755363128493</v>
      </c>
      <c r="P39" s="1050">
        <v>44652</v>
      </c>
      <c r="Q39" s="1051">
        <v>125.3</v>
      </c>
      <c r="R39" s="1050">
        <v>45261</v>
      </c>
      <c r="S39" s="1052">
        <v>127.3</v>
      </c>
      <c r="T39" s="881">
        <f>117.29*Q24</f>
        <v>106.73390000000001</v>
      </c>
      <c r="U39" s="1030">
        <f t="shared" si="4"/>
        <v>140.96881972067041</v>
      </c>
      <c r="V39" s="1030">
        <f t="shared" si="6"/>
        <v>108.43755363128493</v>
      </c>
      <c r="W39" s="1030">
        <f t="shared" si="5"/>
        <v>75.906287541899445</v>
      </c>
      <c r="X39" s="262" t="s">
        <v>141</v>
      </c>
      <c r="Y39" t="s">
        <v>0</v>
      </c>
    </row>
    <row r="40" spans="2:27" x14ac:dyDescent="0.3">
      <c r="B40" s="207" t="s">
        <v>142</v>
      </c>
      <c r="C40" s="428"/>
      <c r="D40" s="429">
        <f>'R1_MEFA'!L73*O40/'R1_MEFA'!C5/1000</f>
        <v>9.6782541814032647E-2</v>
      </c>
      <c r="E40" s="428"/>
      <c r="F40" s="429">
        <f>'R2_MEFA'!L101*O40/'R2_MEFA'!C5/1000</f>
        <v>1.7666742897017621E-3</v>
      </c>
      <c r="G40" s="373"/>
      <c r="H40" s="374">
        <f>'R3_MEFA'!L120*$O40/'R3_MEFA'!$C$5/1000</f>
        <v>7.3572382675373489E-4</v>
      </c>
      <c r="I40" s="376"/>
      <c r="J40" s="376"/>
      <c r="K40" s="376"/>
      <c r="L40" s="376"/>
      <c r="N40" s="377" t="s">
        <v>142</v>
      </c>
      <c r="O40" s="209">
        <f>IF(Macro!$H$8=1,Evaluation!U40,IF(Macro!$H$8=2,Evaluation!V40,IF(Macro!$H$8=3,Evaluation!W40,IF(Macro!Q17=0,V40,Macro!Q17))))</f>
        <v>750.79569034317626</v>
      </c>
      <c r="P40" s="1050">
        <v>44652</v>
      </c>
      <c r="Q40" s="1051">
        <v>125.3</v>
      </c>
      <c r="R40" s="1050">
        <v>45261</v>
      </c>
      <c r="S40" s="1052">
        <v>127.3</v>
      </c>
      <c r="T40" s="881">
        <f>827.68/(56*20/1000)</f>
        <v>738.99999999999989</v>
      </c>
      <c r="U40" s="1030">
        <f t="shared" si="4"/>
        <v>976.03439744612922</v>
      </c>
      <c r="V40" s="1030">
        <f t="shared" si="6"/>
        <v>750.79569034317626</v>
      </c>
      <c r="W40" s="1030">
        <f t="shared" si="5"/>
        <v>525.5569832402233</v>
      </c>
      <c r="X40" s="262" t="s">
        <v>143</v>
      </c>
      <c r="Y40" t="s">
        <v>0</v>
      </c>
    </row>
    <row r="41" spans="2:27" x14ac:dyDescent="0.3">
      <c r="B41" s="207" t="s">
        <v>48</v>
      </c>
      <c r="C41" s="535">
        <f>'R1_MEFA'!I67*O41/'R1_MEFA'!C5/1000</f>
        <v>0.26121496414204481</v>
      </c>
      <c r="D41" s="536">
        <f>'R1_MEFA'!L66*O41/'R1_MEFA'!C5/1000</f>
        <v>1.4443721535458685E-3</v>
      </c>
      <c r="E41" s="535">
        <f>'R2_MEFA'!I93*O41/'R2_MEFA'!C5/1000</f>
        <v>0.11522865846918846</v>
      </c>
      <c r="F41" s="536">
        <f>'R2_MEFA'!L93*O41/'R2_MEFA'!C5/1000</f>
        <v>1.4443721535458685E-3</v>
      </c>
      <c r="G41" s="712">
        <f>'R3_MEFA'!I113*$O41/'R3_MEFA'!$C$5/1000</f>
        <v>0.10908403192841393</v>
      </c>
      <c r="H41" s="537">
        <f>'R3_MEFA'!L113*O41/'R3_MEFA'!C5/1000</f>
        <v>1.4443721535458685E-3</v>
      </c>
      <c r="I41" s="376"/>
      <c r="J41" s="376"/>
      <c r="K41" s="376"/>
      <c r="L41" s="376"/>
      <c r="N41" s="377" t="s">
        <v>48</v>
      </c>
      <c r="O41" s="962">
        <f>Macro!H10/100</f>
        <v>0.16649999999999998</v>
      </c>
      <c r="P41" s="1050"/>
      <c r="Q41" s="1051"/>
      <c r="R41" s="1050"/>
      <c r="S41" s="1052"/>
      <c r="T41" s="882"/>
      <c r="U41" s="1031"/>
      <c r="V41" s="1031"/>
      <c r="W41" s="1031"/>
      <c r="X41" s="954" t="s">
        <v>1149</v>
      </c>
      <c r="Y41" t="s">
        <v>0</v>
      </c>
    </row>
    <row r="42" spans="2:27" x14ac:dyDescent="0.3">
      <c r="B42" s="207" t="s">
        <v>50</v>
      </c>
      <c r="C42" s="428"/>
      <c r="D42" s="429"/>
      <c r="E42" s="428"/>
      <c r="F42" s="429">
        <f>'R2_MEFA'!L100*O42/'R2_MEFA'!C5/1000</f>
        <v>0</v>
      </c>
      <c r="G42" s="373"/>
      <c r="H42" s="374"/>
      <c r="I42" s="376"/>
      <c r="J42" s="376"/>
      <c r="K42" s="376"/>
      <c r="L42" s="376"/>
      <c r="N42" s="377" t="s">
        <v>50</v>
      </c>
      <c r="O42" s="209">
        <f>IF(Macro!$H$8=1,Evaluation!U42,IF(Macro!$H$8=2,Evaluation!V42,IF(Macro!$H$8=3,Evaluation!W42,IF(Macro!Q19=0,V42,Macro!Q19))))</f>
        <v>138.67877094972067</v>
      </c>
      <c r="P42" s="1050">
        <v>44652</v>
      </c>
      <c r="Q42" s="1051">
        <v>125.3</v>
      </c>
      <c r="R42" s="1050">
        <v>45261</v>
      </c>
      <c r="S42" s="1052">
        <v>127.3</v>
      </c>
      <c r="T42" s="881">
        <f>0.15*1000*$Q$24</f>
        <v>136.5</v>
      </c>
      <c r="U42" s="1030">
        <f t="shared" si="4"/>
        <v>180.28240223463689</v>
      </c>
      <c r="V42" s="1030">
        <f t="shared" si="6"/>
        <v>138.67877094972067</v>
      </c>
      <c r="W42" s="1030">
        <f t="shared" si="5"/>
        <v>97.075139664804468</v>
      </c>
      <c r="X42" s="1035" t="s">
        <v>1243</v>
      </c>
    </row>
    <row r="43" spans="2:27" x14ac:dyDescent="0.3">
      <c r="B43" s="207" t="s">
        <v>144</v>
      </c>
      <c r="C43" s="428"/>
      <c r="D43" s="429">
        <f>'R1_MEFA'!L70*O43/'R1_MEFA'!C5/1000</f>
        <v>9.7316660404849382E-3</v>
      </c>
      <c r="E43" s="428"/>
      <c r="F43" s="429">
        <f>'R2_MEFA'!L97*O43/'R2_MEFA'!C5/1000</f>
        <v>1.1992558150900633E-2</v>
      </c>
      <c r="G43" s="373"/>
      <c r="H43" s="374">
        <f>'R3_MEFA'!L117*$O43/'R3_MEFA'!$C$5/1000</f>
        <v>1.2218647361942201E-2</v>
      </c>
      <c r="I43" s="376"/>
      <c r="J43" s="376"/>
      <c r="K43" s="376"/>
      <c r="L43" s="376"/>
      <c r="N43" s="377" t="s">
        <v>144</v>
      </c>
      <c r="O43" s="209">
        <f>IF(Macro!$H$8=1,Evaluation!U43,IF(Macro!$H$8=2,Evaluation!V43,IF(Macro!$H$8=3,Evaluation!W43,IF(Macro!Q20=0,V43,Macro!Q20))))</f>
        <v>1573.8184663536776</v>
      </c>
      <c r="P43" s="1050">
        <v>45352</v>
      </c>
      <c r="Q43" s="1051">
        <v>127.8</v>
      </c>
      <c r="R43" s="1050">
        <v>45261</v>
      </c>
      <c r="S43" s="1052">
        <v>127.3</v>
      </c>
      <c r="T43" s="881">
        <v>1580</v>
      </c>
      <c r="U43" s="1030">
        <f t="shared" si="4"/>
        <v>2045.9640062597809</v>
      </c>
      <c r="V43" s="1030">
        <f t="shared" si="6"/>
        <v>1573.8184663536776</v>
      </c>
      <c r="W43" s="1030">
        <f t="shared" si="5"/>
        <v>1101.6729264475744</v>
      </c>
      <c r="X43" s="1035" t="s">
        <v>145</v>
      </c>
      <c r="Y43" t="s">
        <v>0</v>
      </c>
    </row>
    <row r="44" spans="2:27" x14ac:dyDescent="0.3">
      <c r="B44" s="207" t="s">
        <v>53</v>
      </c>
      <c r="C44" s="428">
        <f>'R1_MEFA'!I66*O44/'R1_MEFA'!C5/1000</f>
        <v>4.2989711469106903E-4</v>
      </c>
      <c r="D44" s="429"/>
      <c r="E44" s="428">
        <f>'R2_MEFA'!I94*O44/'R2_MEFA'!C5/1000</f>
        <v>0</v>
      </c>
      <c r="F44" s="429"/>
      <c r="G44" s="373">
        <f>'R3_MEFA'!I114*$O44/'R3_MEFA'!$C$5/1000</f>
        <v>1.679052913374597E-4</v>
      </c>
      <c r="H44" s="374"/>
      <c r="I44" s="376"/>
      <c r="J44" s="376"/>
      <c r="K44" s="376"/>
      <c r="L44" s="376"/>
      <c r="N44" s="377" t="s">
        <v>53</v>
      </c>
      <c r="O44" s="665">
        <f>IF(Macro!$H$8=1,Evaluation!U44,IF(Macro!$H$8=2,Evaluation!V44,IF(Macro!$H$8=3,Evaluation!W44,IF(Macro!Q21=0,V44,Macro!Q21))))</f>
        <v>5.7687089764807868E-3</v>
      </c>
      <c r="P44" s="1050">
        <v>45352</v>
      </c>
      <c r="Q44" s="1051">
        <v>127.8</v>
      </c>
      <c r="R44" s="1050">
        <v>45261</v>
      </c>
      <c r="S44" s="1052">
        <v>127.3</v>
      </c>
      <c r="T44" s="882">
        <f>0.0805/13.9</f>
        <v>5.7913669064748197E-3</v>
      </c>
      <c r="U44" s="1031">
        <f t="shared" si="4"/>
        <v>7.499321669425023E-3</v>
      </c>
      <c r="V44" s="1031">
        <f t="shared" si="6"/>
        <v>5.7687089764807868E-3</v>
      </c>
      <c r="W44" s="1031">
        <f t="shared" si="5"/>
        <v>4.0380962835365507E-3</v>
      </c>
      <c r="X44" s="954" t="s">
        <v>1245</v>
      </c>
      <c r="Y44" t="s">
        <v>0</v>
      </c>
    </row>
    <row r="45" spans="2:27" x14ac:dyDescent="0.3">
      <c r="B45" s="207" t="s">
        <v>55</v>
      </c>
      <c r="C45" s="428"/>
      <c r="D45" s="429"/>
      <c r="E45" s="428"/>
      <c r="F45" s="429">
        <f>'R2_MEFA'!L107*O45/'R2_MEFA'!C5/1000</f>
        <v>2.1818964606928531E-2</v>
      </c>
      <c r="G45" s="373"/>
      <c r="H45" s="374"/>
      <c r="I45" s="376"/>
      <c r="J45" s="376"/>
      <c r="K45" s="376"/>
      <c r="L45" s="376"/>
      <c r="N45" s="377" t="s">
        <v>55</v>
      </c>
      <c r="O45" s="209">
        <f>IF(Macro!$H$8=1,Evaluation!U45,IF(Macro!$H$8=2,Evaluation!V45,IF(Macro!$H$8=3,Evaluation!W45,IF(Macro!Q22=0,V45,Macro!Q22))))</f>
        <v>184.90502793296088</v>
      </c>
      <c r="P45" s="1050">
        <v>44652</v>
      </c>
      <c r="Q45" s="1051">
        <v>125.3</v>
      </c>
      <c r="R45" s="1050">
        <v>45261</v>
      </c>
      <c r="S45" s="1052">
        <v>127.3</v>
      </c>
      <c r="T45" s="881">
        <f>0.2*1000*$Q$24</f>
        <v>182</v>
      </c>
      <c r="U45" s="1030">
        <f t="shared" si="4"/>
        <v>240.37653631284914</v>
      </c>
      <c r="V45" s="1030">
        <f t="shared" si="6"/>
        <v>184.90502793296088</v>
      </c>
      <c r="W45" s="1030">
        <f t="shared" si="5"/>
        <v>129.43351955307261</v>
      </c>
      <c r="X45" s="1035" t="s">
        <v>1243</v>
      </c>
    </row>
    <row r="46" spans="2:27" x14ac:dyDescent="0.3">
      <c r="B46" s="207" t="s">
        <v>56</v>
      </c>
      <c r="C46" s="428"/>
      <c r="D46" s="429">
        <f>'R1_MEFA'!L71*O46/'R1_MEFA'!C5/1000</f>
        <v>0</v>
      </c>
      <c r="E46" s="428"/>
      <c r="F46" s="429">
        <f>'R2_MEFA'!L98*O46/'R2_MEFA'!C5/1000</f>
        <v>0</v>
      </c>
      <c r="G46" s="373"/>
      <c r="H46" s="374">
        <f>'R3_MEFA'!L118*$O46/'R3_MEFA'!$C$5/1000</f>
        <v>0</v>
      </c>
      <c r="I46" s="376"/>
      <c r="J46" s="44"/>
      <c r="K46" s="44"/>
      <c r="L46" s="376"/>
      <c r="N46" s="377" t="s">
        <v>56</v>
      </c>
      <c r="O46" s="209">
        <f>IF(Macro!$H$8=1,Evaluation!U46,IF(Macro!$H$8=2,Evaluation!V46,IF(Macro!$H$8=3,Evaluation!W46,IF(Macro!Q23=0,V46,Macro!Q23))))</f>
        <v>660.37509976057459</v>
      </c>
      <c r="P46" s="1050">
        <v>44652</v>
      </c>
      <c r="Q46" s="1051">
        <v>125.3</v>
      </c>
      <c r="R46" s="1050">
        <v>45261</v>
      </c>
      <c r="S46" s="1052">
        <v>127.3</v>
      </c>
      <c r="T46" s="881">
        <f>0.65*1000</f>
        <v>650</v>
      </c>
      <c r="U46" s="1030">
        <f t="shared" si="4"/>
        <v>858.48762968874701</v>
      </c>
      <c r="V46" s="1030">
        <f t="shared" si="6"/>
        <v>660.37509976057459</v>
      </c>
      <c r="W46" s="1030">
        <f t="shared" si="5"/>
        <v>462.26256983240216</v>
      </c>
      <c r="X46" s="1035" t="s">
        <v>145</v>
      </c>
      <c r="Y46" t="s">
        <v>0</v>
      </c>
    </row>
    <row r="47" spans="2:27" x14ac:dyDescent="0.3">
      <c r="B47" s="207" t="s">
        <v>57</v>
      </c>
      <c r="C47" s="428">
        <f>'R1_MEFA'!F66*O47/'R1_MEFA'!C5/1000</f>
        <v>8.4082898079076724E-3</v>
      </c>
      <c r="D47" s="429"/>
      <c r="E47" s="428"/>
      <c r="F47" s="429"/>
      <c r="G47" s="373">
        <f>'R3_MEFA'!F113*$O47/'R3_MEFA'!$C$5/1000</f>
        <v>3.2840330897802627E-3</v>
      </c>
      <c r="H47" s="374"/>
      <c r="I47" s="376"/>
      <c r="J47" s="376"/>
      <c r="K47" s="376"/>
      <c r="L47" s="376"/>
      <c r="N47" s="377" t="s">
        <v>57</v>
      </c>
      <c r="O47" s="209">
        <v>30</v>
      </c>
      <c r="P47" s="1050">
        <v>44652</v>
      </c>
      <c r="Q47" s="1051">
        <v>125.3</v>
      </c>
      <c r="R47" s="1050">
        <v>45261</v>
      </c>
      <c r="S47" s="1052">
        <v>127.3</v>
      </c>
      <c r="T47" s="881">
        <f>0.132*1000*$Q$24</f>
        <v>120.12</v>
      </c>
      <c r="U47" s="1030">
        <f t="shared" si="4"/>
        <v>158.64851396648044</v>
      </c>
      <c r="V47" s="1030">
        <f t="shared" si="6"/>
        <v>122.03731843575419</v>
      </c>
      <c r="W47" s="1030">
        <f t="shared" si="5"/>
        <v>85.426122905027924</v>
      </c>
      <c r="X47" s="1035" t="s">
        <v>1243</v>
      </c>
    </row>
    <row r="48" spans="2:27" x14ac:dyDescent="0.3">
      <c r="B48" s="207" t="s">
        <v>59</v>
      </c>
      <c r="C48" s="428">
        <f>('R1_MEFA'!F74-'R1_MEFA'!L74)*O48/'R1_MEFA'!C5/1000</f>
        <v>0</v>
      </c>
      <c r="D48" s="429"/>
      <c r="E48" s="428">
        <f>('R2_MEFA'!F99-'R2_MEFA'!L102)*O48/'R1_MEFA'!C5/1000</f>
        <v>0</v>
      </c>
      <c r="F48" s="429"/>
      <c r="G48" s="373">
        <f>('R3_MEFA'!F121-'R3_MEFA'!L121)*$O48/'R3_MEFA'!$C$5/1000</f>
        <v>0</v>
      </c>
      <c r="H48" s="374"/>
      <c r="I48" s="376"/>
      <c r="J48" s="376"/>
      <c r="K48" s="376"/>
      <c r="L48" s="376"/>
      <c r="N48" s="377" t="s">
        <v>59</v>
      </c>
      <c r="O48" s="209">
        <f>IF(Macro!$H$8=1,Evaluation!U48,IF(Macro!$H$8=2,Evaluation!V48,IF(Macro!$H$8=3,Evaluation!W48,IF(Macro!Q25=0,V48,Macro!Q25))))</f>
        <v>554.71508379888269</v>
      </c>
      <c r="P48" s="1050">
        <v>44652</v>
      </c>
      <c r="Q48" s="1051">
        <v>125.3</v>
      </c>
      <c r="R48" s="1050">
        <v>45261</v>
      </c>
      <c r="S48" s="1052">
        <v>127.3</v>
      </c>
      <c r="T48" s="881">
        <f>600*Q24</f>
        <v>546</v>
      </c>
      <c r="U48" s="1030">
        <f t="shared" si="4"/>
        <v>721.12960893854756</v>
      </c>
      <c r="V48" s="1030">
        <f t="shared" si="6"/>
        <v>554.71508379888269</v>
      </c>
      <c r="W48" s="1030">
        <f t="shared" si="5"/>
        <v>388.30055865921787</v>
      </c>
      <c r="X48" s="262" t="s">
        <v>146</v>
      </c>
      <c r="Y48" t="s">
        <v>0</v>
      </c>
    </row>
    <row r="49" spans="2:27" x14ac:dyDescent="0.3">
      <c r="B49" s="207" t="s">
        <v>147</v>
      </c>
      <c r="C49" s="428">
        <f>'R1_MEFA'!L86*O49/'R1_MEFA'!C5/1000</f>
        <v>0</v>
      </c>
      <c r="D49" s="429"/>
      <c r="E49" s="428">
        <f>'R2_MEFA'!L113*O49/'R2_MEFA'!C5/1000</f>
        <v>0</v>
      </c>
      <c r="F49" s="429"/>
      <c r="G49" s="373">
        <f>'R3_MEFA'!L133*$O49/'R3_MEFA'!$C$5/1000</f>
        <v>0</v>
      </c>
      <c r="H49" s="374"/>
      <c r="I49" s="376"/>
      <c r="J49" s="376"/>
      <c r="K49" s="376"/>
      <c r="L49" s="376"/>
      <c r="N49" s="377" t="s">
        <v>147</v>
      </c>
      <c r="O49" s="209">
        <f>IF(Macro!$H$8=1,Evaluation!U49,IF(Macro!$H$8=2,Evaluation!V49,IF(Macro!$H$8=3,Evaluation!W49,IF(Macro!Q26=0,V49,Macro!Q26))))</f>
        <v>3047.885075818037</v>
      </c>
      <c r="P49" s="1050">
        <v>44652</v>
      </c>
      <c r="Q49" s="1051">
        <v>125.3</v>
      </c>
      <c r="R49" s="1050">
        <v>45261</v>
      </c>
      <c r="S49" s="1052">
        <v>127.3</v>
      </c>
      <c r="T49" s="881">
        <v>3000</v>
      </c>
      <c r="U49" s="1030">
        <f t="shared" si="4"/>
        <v>3962.250598563448</v>
      </c>
      <c r="V49" s="1030">
        <f t="shared" si="6"/>
        <v>3047.885075818037</v>
      </c>
      <c r="W49" s="1030">
        <f t="shared" si="5"/>
        <v>2133.519553072626</v>
      </c>
      <c r="X49" s="262" t="s">
        <v>135</v>
      </c>
      <c r="Y49" t="s">
        <v>0</v>
      </c>
    </row>
    <row r="50" spans="2:27" x14ac:dyDescent="0.3">
      <c r="B50" s="207" t="s">
        <v>98</v>
      </c>
      <c r="C50" s="428"/>
      <c r="D50" s="429">
        <f>'R1_MEFA'!L69*O50/'R1_MEFA'!C5/1000</f>
        <v>0.53170662409716973</v>
      </c>
      <c r="E50" s="428"/>
      <c r="F50" s="429">
        <f>'R2_MEFA'!L96*O50/'R2_MEFA'!C5/1000</f>
        <v>0.5681148420416563</v>
      </c>
      <c r="G50" s="373"/>
      <c r="H50" s="374">
        <f>'R3_MEFA'!L116*$O50/'R3_MEFA'!$C$5/1000</f>
        <v>0.56720232869824549</v>
      </c>
      <c r="I50" s="376"/>
      <c r="J50" s="376"/>
      <c r="K50" s="376"/>
      <c r="L50" s="376"/>
      <c r="N50" s="377" t="s">
        <v>62</v>
      </c>
      <c r="O50" s="209">
        <f>IF(Macro!$H$8=1,Evaluation!U50,IF(Macro!$H$8=2,Evaluation!V50,IF(Macro!$H$8=3,Evaluation!W50,IF(Macro!Q27=0,V50,Macro!Q27))))</f>
        <v>6812.9621036349572</v>
      </c>
      <c r="P50" s="1050">
        <v>45170</v>
      </c>
      <c r="Q50" s="1051">
        <v>129.30000000000001</v>
      </c>
      <c r="R50" s="1050">
        <v>45261</v>
      </c>
      <c r="S50" s="1052">
        <v>127.3</v>
      </c>
      <c r="T50" s="881">
        <v>6920</v>
      </c>
      <c r="U50" s="1030">
        <f t="shared" si="4"/>
        <v>8856.8507347254454</v>
      </c>
      <c r="V50" s="1030">
        <f t="shared" si="6"/>
        <v>6812.9621036349572</v>
      </c>
      <c r="W50" s="1030">
        <f t="shared" si="5"/>
        <v>4769.07347254447</v>
      </c>
      <c r="X50" s="262" t="s">
        <v>1246</v>
      </c>
      <c r="Y50" t="s">
        <v>0</v>
      </c>
    </row>
    <row r="51" spans="2:27" x14ac:dyDescent="0.3">
      <c r="B51" s="207" t="s">
        <v>63</v>
      </c>
      <c r="C51" s="428"/>
      <c r="D51" s="429">
        <f>'R1_MEFA'!L84*O51/'R1_MEFA'!C5/1000</f>
        <v>0</v>
      </c>
      <c r="E51" s="428"/>
      <c r="F51" s="429">
        <f>'R2_MEFA'!L111*O51/'R2_MEFA'!C5/1000</f>
        <v>0.98832922685837676</v>
      </c>
      <c r="G51" s="373"/>
      <c r="H51" s="374">
        <f>'R3_MEFA'!L131*$O51/'R3_MEFA'!$C$5/1000</f>
        <v>0</v>
      </c>
      <c r="I51" s="376"/>
      <c r="J51" s="376"/>
      <c r="K51" s="376"/>
      <c r="L51" s="376"/>
      <c r="N51" s="377" t="s">
        <v>63</v>
      </c>
      <c r="O51" s="209">
        <f>IF(Macro!$H$8=1,Evaluation!U51,IF(Macro!$H$8=2,Evaluation!V51,IF(Macro!$H$8=3,Evaluation!W51,IF(Macro!Q28=0,V51,Macro!Q28))))</f>
        <v>15296.987827426809</v>
      </c>
      <c r="P51" s="1050">
        <v>45078</v>
      </c>
      <c r="Q51" s="1051">
        <v>129.80000000000001</v>
      </c>
      <c r="R51" s="1050">
        <v>45261</v>
      </c>
      <c r="S51" s="1052">
        <v>127.3</v>
      </c>
      <c r="T51" s="881">
        <f>17140*Q24</f>
        <v>15597.4</v>
      </c>
      <c r="U51" s="1030">
        <f t="shared" si="4"/>
        <v>19886.084175654851</v>
      </c>
      <c r="V51" s="1030">
        <f t="shared" si="6"/>
        <v>15296.987827426809</v>
      </c>
      <c r="W51" s="1030">
        <f t="shared" si="5"/>
        <v>10707.891479198765</v>
      </c>
      <c r="X51" s="262" t="s">
        <v>1243</v>
      </c>
    </row>
    <row r="52" spans="2:27" ht="15.6" x14ac:dyDescent="0.35">
      <c r="B52" s="207" t="s">
        <v>148</v>
      </c>
      <c r="C52" s="428"/>
      <c r="D52" s="429">
        <f>'R1_MEFA'!L83*O52/'R1_MEFA'!C5/1000</f>
        <v>0</v>
      </c>
      <c r="E52" s="428"/>
      <c r="F52" s="429">
        <f>'R2_MEFA'!L110*O52/'R2_MEFA'!C5/1000</f>
        <v>6.967886136446369E-2</v>
      </c>
      <c r="G52" s="373"/>
      <c r="H52" s="374">
        <f>'R3_MEFA'!L130*$O52/'R3_MEFA'!$C$5/1000</f>
        <v>0</v>
      </c>
      <c r="I52" s="376"/>
      <c r="J52" s="376"/>
      <c r="K52" s="376"/>
      <c r="L52" s="376"/>
      <c r="N52" s="377" t="s">
        <v>64</v>
      </c>
      <c r="O52" s="209">
        <f>IF(Macro!$H$8=1,Evaluation!U52,IF(Macro!$H$8=2,Evaluation!V52,IF(Macro!$H$8=3,Evaluation!W52,IF(Macro!Q29=0,V52,Macro!Q29))))</f>
        <v>1021.8816255778121</v>
      </c>
      <c r="P52" s="1050">
        <v>45078</v>
      </c>
      <c r="Q52" s="1051">
        <v>129.80000000000001</v>
      </c>
      <c r="R52" s="1050">
        <v>45261</v>
      </c>
      <c r="S52" s="1052">
        <v>127.3</v>
      </c>
      <c r="T52" s="1049">
        <f>1.145*1000*Q24</f>
        <v>1041.95</v>
      </c>
      <c r="U52" s="1030">
        <f t="shared" si="4"/>
        <v>1328.4461132511558</v>
      </c>
      <c r="V52" s="1030">
        <f t="shared" si="6"/>
        <v>1021.8816255778121</v>
      </c>
      <c r="W52" s="1030">
        <f t="shared" si="5"/>
        <v>715.31713790446838</v>
      </c>
      <c r="X52" s="262" t="s">
        <v>1243</v>
      </c>
    </row>
    <row r="53" spans="2:27" x14ac:dyDescent="0.3">
      <c r="B53" s="207" t="s">
        <v>65</v>
      </c>
      <c r="C53" s="428">
        <f>'R1_MEFA'!F77*O53/'R1_MEFA'!C5/1000</f>
        <v>0</v>
      </c>
      <c r="D53" s="429"/>
      <c r="E53" s="428">
        <f>'R2_MEFA'!F103*O53/'R2_MEFA'!C5/1000</f>
        <v>1.0670889380521837E-2</v>
      </c>
      <c r="F53" s="429"/>
      <c r="G53" s="373">
        <f>'R3_MEFA'!F124*$O53/'R3_MEFA'!$C$5/1000</f>
        <v>0</v>
      </c>
      <c r="H53" s="374"/>
      <c r="I53" s="376"/>
      <c r="J53" s="376"/>
      <c r="K53" s="376"/>
      <c r="L53" s="376"/>
      <c r="N53" s="590" t="s">
        <v>1249</v>
      </c>
      <c r="O53" s="209">
        <f>IF(Macro!$H$8=1,Evaluation!U53,IF(Macro!$H$8=2,Evaluation!V53,IF(Macro!$H$8=3,Evaluation!W53,IF(Macro!Q30=0,V53,Macro!Q30))))</f>
        <v>127.62364406779659</v>
      </c>
      <c r="P53" s="1050">
        <v>45078</v>
      </c>
      <c r="Q53" s="1051">
        <v>129.80000000000001</v>
      </c>
      <c r="R53" s="1050">
        <v>45261</v>
      </c>
      <c r="S53" s="1052">
        <v>127.3</v>
      </c>
      <c r="T53" s="1049">
        <f>0.143*1000*Q24</f>
        <v>130.13</v>
      </c>
      <c r="U53" s="1030">
        <f t="shared" si="4"/>
        <v>165.91073728813558</v>
      </c>
      <c r="V53" s="1030">
        <f t="shared" si="6"/>
        <v>127.62364406779659</v>
      </c>
      <c r="W53" s="1030">
        <f t="shared" si="5"/>
        <v>89.336550847457602</v>
      </c>
      <c r="X53" s="262" t="s">
        <v>1243</v>
      </c>
      <c r="Y53" s="954"/>
    </row>
    <row r="54" spans="2:27" x14ac:dyDescent="0.3">
      <c r="B54" s="893" t="s">
        <v>149</v>
      </c>
      <c r="E54" s="297"/>
      <c r="G54" s="534"/>
      <c r="H54" s="262"/>
      <c r="I54" s="376"/>
      <c r="J54" s="376"/>
      <c r="K54" s="376"/>
      <c r="L54" s="376"/>
      <c r="N54" s="737" t="s">
        <v>149</v>
      </c>
      <c r="O54" s="663">
        <f>IF(Macro!$H$8=1,Evaluation!U54,IF(Macro!$H$8=2,Evaluation!V54,IF(Macro!$H$8=3,Evaluation!W54,IF(Macro!Q31=0,V54,Macro!Q31))))</f>
        <v>230.19660015961693</v>
      </c>
      <c r="P54" s="1050">
        <v>44652</v>
      </c>
      <c r="Q54" s="1051">
        <v>125.3</v>
      </c>
      <c r="R54" s="1050">
        <v>45261</v>
      </c>
      <c r="S54" s="1052">
        <v>127.3</v>
      </c>
      <c r="T54" s="881">
        <v>226.58</v>
      </c>
      <c r="U54" s="1030">
        <f t="shared" si="4"/>
        <v>299.25558020750202</v>
      </c>
      <c r="V54" s="1030">
        <f t="shared" si="6"/>
        <v>230.19660015961693</v>
      </c>
      <c r="W54" s="1030">
        <f t="shared" si="5"/>
        <v>161.13762011173185</v>
      </c>
      <c r="X54" s="555" t="s">
        <v>150</v>
      </c>
      <c r="Y54" t="s">
        <v>0</v>
      </c>
    </row>
    <row r="55" spans="2:27" x14ac:dyDescent="0.3">
      <c r="B55" s="207" t="s">
        <v>66</v>
      </c>
      <c r="C55" s="428">
        <f>'R1_MEFA'!F73*O55/'R1_MEFA'!C5/1000</f>
        <v>0.25062920961914731</v>
      </c>
      <c r="D55" s="429"/>
      <c r="E55" s="428">
        <f>'R2_MEFA'!F98*O55/'R2_MEFA'!C5/1000</f>
        <v>0.24720206289784019</v>
      </c>
      <c r="F55" s="429"/>
      <c r="G55" s="373">
        <f>'R3_MEFA'!F120*$O55/'R3_MEFA'!$C$5/1000</f>
        <v>0.14844871756511635</v>
      </c>
      <c r="H55" s="374"/>
      <c r="I55" s="376"/>
      <c r="J55" s="376"/>
      <c r="K55" s="376"/>
      <c r="L55" s="376"/>
      <c r="N55" s="738" t="s">
        <v>66</v>
      </c>
      <c r="O55" s="209">
        <f>IF(Macro!$H$8=1,Evaluation!U55,IF(Macro!$H$8=2,Evaluation!V55,IF(Macro!$H$8=3,Evaluation!W55,IF(Macro!Q32=0,V55,Macro!Q32))))</f>
        <v>401.61286594761168</v>
      </c>
      <c r="P55" s="1050">
        <v>45078</v>
      </c>
      <c r="Q55" s="1051">
        <v>129.80000000000001</v>
      </c>
      <c r="R55" s="1050">
        <v>45261</v>
      </c>
      <c r="S55" s="1052">
        <v>127.3</v>
      </c>
      <c r="T55" s="1049">
        <f>0.45*1000*Q24</f>
        <v>409.5</v>
      </c>
      <c r="U55" s="1030">
        <f t="shared" si="4"/>
        <v>522.09672573189516</v>
      </c>
      <c r="V55" s="1030">
        <f t="shared" si="6"/>
        <v>401.61286594761168</v>
      </c>
      <c r="W55" s="1030">
        <f t="shared" si="5"/>
        <v>281.12900616332814</v>
      </c>
      <c r="X55" s="262" t="s">
        <v>1243</v>
      </c>
    </row>
    <row r="56" spans="2:27" ht="15.6" x14ac:dyDescent="0.35">
      <c r="B56" s="207" t="s">
        <v>151</v>
      </c>
      <c r="C56" s="428"/>
      <c r="D56" s="429">
        <f>'R1_MEFA'!L76*O56/'R1_MEFA'!C5/1000</f>
        <v>2.0500678328878239</v>
      </c>
      <c r="E56" s="428"/>
      <c r="F56" s="429">
        <f>'R2_MEFA'!L105*O56/'R2_MEFA'!C5/1000</f>
        <v>1.8151642270360939</v>
      </c>
      <c r="G56" s="373"/>
      <c r="H56" s="374">
        <f>'R3_MEFA'!L123*$O56/'R3_MEFA'!$C$5/1000</f>
        <v>1.9090231659851413</v>
      </c>
      <c r="I56" s="376"/>
      <c r="J56" s="376"/>
      <c r="K56" s="376"/>
      <c r="L56" s="376"/>
      <c r="N56" s="377" t="s">
        <v>67</v>
      </c>
      <c r="O56" s="209">
        <f>IF(Macro!$H$8=1,Evaluation!U56,IF(Macro!$H$8=2,Evaluation!V56,IF(Macro!$H$8=3,Evaluation!W56,IF(Macro!Q33=0,V56,Macro!Q33))))</f>
        <v>5707.3650616332816</v>
      </c>
      <c r="P56" s="1050">
        <v>45078</v>
      </c>
      <c r="Q56" s="1051">
        <v>129.80000000000001</v>
      </c>
      <c r="R56" s="1050">
        <v>45261</v>
      </c>
      <c r="S56" s="1052">
        <v>127.3</v>
      </c>
      <c r="T56" s="881">
        <f>6.395*1000*Q24</f>
        <v>5819.45</v>
      </c>
      <c r="U56" s="1030">
        <f t="shared" si="4"/>
        <v>7419.5745801232661</v>
      </c>
      <c r="V56" s="1030">
        <f t="shared" si="6"/>
        <v>5707.3650616332816</v>
      </c>
      <c r="W56" s="1030">
        <f t="shared" si="5"/>
        <v>3995.1555431432967</v>
      </c>
      <c r="X56" s="262" t="s">
        <v>1243</v>
      </c>
      <c r="Y56" s="954"/>
      <c r="Z56" s="954"/>
      <c r="AA56" s="954"/>
    </row>
    <row r="57" spans="2:27" ht="15.6" x14ac:dyDescent="0.35">
      <c r="B57" s="207" t="s">
        <v>152</v>
      </c>
      <c r="C57" s="428">
        <f>'R1_MEFA'!F67*O57/'R1_MEFA'!C5/1000</f>
        <v>7.6774150860899164E-3</v>
      </c>
      <c r="D57" s="429">
        <f>'R1_MEFA'!L80*O57/'R1_MEFA'!C5/1000</f>
        <v>0</v>
      </c>
      <c r="E57" s="428"/>
      <c r="F57" s="429"/>
      <c r="G57" s="373">
        <f>'R3_MEFA'!F114*$O57/'R3_MEFA'!$C$5/1000</f>
        <v>2.9985747117072148E-3</v>
      </c>
      <c r="H57" s="374">
        <f>'R3_MEFA'!L127*$O57/'R3_MEFA'!$C$5/1000</f>
        <v>0</v>
      </c>
      <c r="I57" s="376"/>
      <c r="J57" s="376"/>
      <c r="K57" s="376"/>
      <c r="L57" s="376"/>
      <c r="N57" s="377" t="s">
        <v>153</v>
      </c>
      <c r="O57" s="209">
        <f>IF(Macro!$H$8=1,Evaluation!U57,IF(Macro!$H$8=2,Evaluation!V57,IF(Macro!$H$8=3,Evaluation!W57,IF(Macro!Q34=0,V57,Macro!Q34))))</f>
        <v>52.930998509687036</v>
      </c>
      <c r="P57" s="1050">
        <v>44896</v>
      </c>
      <c r="Q57" s="1051">
        <v>134.19999999999999</v>
      </c>
      <c r="R57" s="1050">
        <v>45261</v>
      </c>
      <c r="S57" s="1052">
        <v>127.3</v>
      </c>
      <c r="T57" s="881">
        <v>55.8</v>
      </c>
      <c r="U57" s="1030">
        <f t="shared" si="4"/>
        <v>68.810298062593148</v>
      </c>
      <c r="V57" s="1030">
        <f t="shared" si="6"/>
        <v>52.930998509687036</v>
      </c>
      <c r="W57" s="1030">
        <f t="shared" si="5"/>
        <v>37.051698956780925</v>
      </c>
      <c r="X57" s="954" t="s">
        <v>1247</v>
      </c>
      <c r="Y57" t="s">
        <v>0</v>
      </c>
    </row>
    <row r="58" spans="2:27" x14ac:dyDescent="0.3">
      <c r="B58" s="207" t="s">
        <v>69</v>
      </c>
      <c r="C58" s="428">
        <f>'R1_MEFA'!F68*O58/'R1_MEFA'!C5/1000</f>
        <v>2.026727890612854E-2</v>
      </c>
      <c r="D58" s="429"/>
      <c r="E58" s="428"/>
      <c r="F58" s="429"/>
      <c r="G58" s="373">
        <f>'R3_MEFA'!F115*$O58/'R3_MEFA'!$C$5/1000</f>
        <v>7.9158088134564566E-3</v>
      </c>
      <c r="H58" s="374"/>
      <c r="I58" s="376"/>
      <c r="J58" s="556"/>
      <c r="K58" s="556"/>
      <c r="N58" s="377" t="s">
        <v>69</v>
      </c>
      <c r="O58" s="209">
        <f>IF(Macro!$H$8=1,Evaluation!U58,IF(Macro!$H$8=2,Evaluation!V58,IF(Macro!$H$8=3,Evaluation!W58,IF(Macro!Q35=0,V58,Macro!Q35))))</f>
        <v>184.90502793296088</v>
      </c>
      <c r="P58" s="1050">
        <v>44652</v>
      </c>
      <c r="Q58" s="1051">
        <v>125.3</v>
      </c>
      <c r="R58" s="1050">
        <v>45261</v>
      </c>
      <c r="S58" s="1052">
        <v>127.3</v>
      </c>
      <c r="T58" s="881">
        <f>0.2*1000*$Q$24</f>
        <v>182</v>
      </c>
      <c r="U58" s="1030">
        <f t="shared" si="4"/>
        <v>240.37653631284914</v>
      </c>
      <c r="V58" s="1030">
        <f t="shared" si="6"/>
        <v>184.90502793296088</v>
      </c>
      <c r="W58" s="1030">
        <f t="shared" si="5"/>
        <v>129.43351955307261</v>
      </c>
      <c r="X58" s="1035" t="s">
        <v>1243</v>
      </c>
    </row>
    <row r="59" spans="2:27" x14ac:dyDescent="0.3">
      <c r="B59" s="736" t="s">
        <v>70</v>
      </c>
      <c r="C59" s="428">
        <f>'R1_MEFA'!F69*O59/'R1_MEFA'!C5/1000</f>
        <v>2.3146992989148928E-2</v>
      </c>
      <c r="D59" s="429"/>
      <c r="E59" s="428">
        <f>'R2_MEFA'!F94*O59/'R2_MEFA'!C5/1000</f>
        <v>2.2849935363993393E-2</v>
      </c>
      <c r="F59" s="429"/>
      <c r="G59" s="373">
        <f>'R3_MEFA'!F116*$O59/'R3_MEFA'!$C$5/1000</f>
        <v>1.3705839875148704E-2</v>
      </c>
      <c r="H59" s="374"/>
      <c r="I59" s="376"/>
      <c r="J59" s="376"/>
      <c r="K59" s="376"/>
      <c r="L59" s="376"/>
      <c r="N59" s="377" t="s">
        <v>70</v>
      </c>
      <c r="O59" s="209">
        <f>IF(Macro!$H$8=1,Evaluation!U59,IF(Macro!$H$8=2,Evaluation!V59,IF(Macro!$H$8=3,Evaluation!W59,IF(Macro!Q36=0,V59,Macro!Q36))))</f>
        <v>74.075261941448375</v>
      </c>
      <c r="P59" s="1050">
        <v>45078</v>
      </c>
      <c r="Q59" s="1051">
        <v>129.80000000000001</v>
      </c>
      <c r="R59" s="1050">
        <v>45261</v>
      </c>
      <c r="S59" s="1052">
        <v>127.3</v>
      </c>
      <c r="T59" s="881">
        <f>0.083*1000*Q24</f>
        <v>75.53</v>
      </c>
      <c r="U59" s="1030">
        <f t="shared" si="4"/>
        <v>96.297840523882897</v>
      </c>
      <c r="V59" s="1030">
        <f>T59*S59/Q59</f>
        <v>74.075261941448375</v>
      </c>
      <c r="W59" s="1030">
        <f t="shared" si="5"/>
        <v>51.852683359013859</v>
      </c>
      <c r="X59" s="262" t="s">
        <v>1243</v>
      </c>
      <c r="Y59" s="1034"/>
    </row>
    <row r="60" spans="2:27" x14ac:dyDescent="0.3">
      <c r="B60" s="207" t="s">
        <v>71</v>
      </c>
      <c r="C60" s="428"/>
      <c r="D60" s="429">
        <f>'R1_MEFA'!L68*O60/'R1_MEFA'!C5/1000</f>
        <v>2.2519526350032529E-2</v>
      </c>
      <c r="E60" s="428"/>
      <c r="F60" s="429">
        <f>'R2_MEFA'!L95*O60/'R2_MEFA'!C5/1000</f>
        <v>3.2816624176968116E-2</v>
      </c>
      <c r="G60" s="373"/>
      <c r="H60" s="374">
        <f>'R3_MEFA'!L115*$O60/'R3_MEFA'!$C$5/1000</f>
        <v>3.292169660377358E-2</v>
      </c>
      <c r="I60" s="376"/>
      <c r="J60" s="376"/>
      <c r="K60" s="376"/>
      <c r="L60" s="376"/>
      <c r="N60" s="377" t="s">
        <v>71</v>
      </c>
      <c r="O60" s="209">
        <f>IF(Macro!$H$8=1,Evaluation!U60,IF(Macro!$H$8=2,Evaluation!V60,IF(Macro!$H$8=3,Evaluation!W60,IF(Macro!Q37=0,V60,Macro!Q37))))</f>
        <v>359.2</v>
      </c>
      <c r="P60" s="1050">
        <v>45261</v>
      </c>
      <c r="Q60" s="1051">
        <v>127.3</v>
      </c>
      <c r="R60" s="1050">
        <v>45261</v>
      </c>
      <c r="S60" s="1052">
        <v>127.3</v>
      </c>
      <c r="T60" s="881">
        <v>359.2</v>
      </c>
      <c r="U60" s="1030">
        <f t="shared" si="4"/>
        <v>466.96</v>
      </c>
      <c r="V60" s="1030">
        <f t="shared" si="6"/>
        <v>359.2</v>
      </c>
      <c r="W60" s="1030">
        <f t="shared" si="5"/>
        <v>251.43999999999997</v>
      </c>
      <c r="X60" s="262" t="s">
        <v>1248</v>
      </c>
      <c r="Y60" t="s">
        <v>0</v>
      </c>
    </row>
    <row r="61" spans="2:27" x14ac:dyDescent="0.3">
      <c r="B61" s="207" t="s">
        <v>154</v>
      </c>
      <c r="C61" s="428"/>
      <c r="D61" s="429"/>
      <c r="E61" s="535">
        <f>'R2_MEFA'!F32*O61/'R2_MEFA'!C5/1000</f>
        <v>3.2509144288324014E-2</v>
      </c>
      <c r="F61" s="429"/>
      <c r="G61" s="373"/>
      <c r="H61" s="374"/>
      <c r="I61" s="376"/>
      <c r="J61" s="376"/>
      <c r="K61" s="376"/>
      <c r="L61" s="376"/>
      <c r="N61" s="590" t="s">
        <v>72</v>
      </c>
      <c r="O61" s="209">
        <f>IF(Macro!$H$8=1,Evaluation!U61,IF(Macro!$H$8=2,Evaluation!V61,IF(Macro!$H$8=3,Evaluation!W61,IF(Macro!Q38=0,V61,Macro!Q38))))</f>
        <v>1879.5291300877893</v>
      </c>
      <c r="P61" s="1050">
        <v>44652</v>
      </c>
      <c r="Q61" s="1051">
        <v>125.3</v>
      </c>
      <c r="R61" s="1050">
        <v>45261</v>
      </c>
      <c r="S61" s="1052">
        <v>127.3</v>
      </c>
      <c r="T61" s="881">
        <v>1850</v>
      </c>
      <c r="U61" s="1030">
        <f t="shared" si="4"/>
        <v>2443.3878691141263</v>
      </c>
      <c r="V61" s="1030">
        <f t="shared" si="6"/>
        <v>1879.5291300877893</v>
      </c>
      <c r="W61" s="1030">
        <f t="shared" si="5"/>
        <v>1315.6703910614524</v>
      </c>
      <c r="X61" s="262" t="s">
        <v>155</v>
      </c>
      <c r="Y61" t="s">
        <v>0</v>
      </c>
    </row>
    <row r="62" spans="2:27" x14ac:dyDescent="0.3">
      <c r="B62" s="207" t="s">
        <v>73</v>
      </c>
      <c r="C62" s="428">
        <f>'R1_MEFA'!F78*O62/'R1_MEFA'!C5/1000</f>
        <v>4.2482567379275064E-4</v>
      </c>
      <c r="D62" s="429"/>
      <c r="E62" s="428">
        <f>'R2_MEFA'!F104*O62/'R1_MEFA'!C5/1000</f>
        <v>1.0853651920806223E-3</v>
      </c>
      <c r="F62" s="429"/>
      <c r="G62" s="428">
        <f>'R3_MEFA'!F125*$O30/'R3_MEFA'!$C$5/1000</f>
        <v>1.8473616321142424E-4</v>
      </c>
      <c r="H62" s="374"/>
      <c r="I62" t="s">
        <v>156</v>
      </c>
      <c r="J62" s="376"/>
      <c r="K62" s="376"/>
      <c r="L62" s="376"/>
      <c r="N62" s="590" t="s">
        <v>73</v>
      </c>
      <c r="O62" s="661">
        <f>IF(Macro!$H$8=1,Evaluation!U62,IF(Macro!$H$8=2,Evaluation!V62,IF(Macro!$H$8=3,Evaluation!W62,IF(Macro!Q39=0,V62,Macro!Q39))))</f>
        <v>2.3537750385208009</v>
      </c>
      <c r="P62" s="1050">
        <v>45078</v>
      </c>
      <c r="Q62" s="1051">
        <v>129.80000000000001</v>
      </c>
      <c r="R62" s="1050">
        <v>45261</v>
      </c>
      <c r="S62" s="1052">
        <v>127.3</v>
      </c>
      <c r="T62" s="883">
        <v>2.4</v>
      </c>
      <c r="U62" s="1032">
        <f t="shared" si="4"/>
        <v>3.0599075500770412</v>
      </c>
      <c r="V62" s="1032">
        <f t="shared" si="6"/>
        <v>2.3537750385208009</v>
      </c>
      <c r="W62" s="1032">
        <f t="shared" si="5"/>
        <v>1.6476425269645605</v>
      </c>
      <c r="X62" s="262" t="s">
        <v>157</v>
      </c>
      <c r="Y62" t="s">
        <v>0</v>
      </c>
    </row>
    <row r="63" spans="2:27" ht="15" thickBot="1" x14ac:dyDescent="0.35">
      <c r="B63" s="266" t="s">
        <v>74</v>
      </c>
      <c r="C63" s="531">
        <f>'R1_MEFA'!F72*O63/'R1_MEFA'!C5/1000</f>
        <v>0.11529791046695881</v>
      </c>
      <c r="D63" s="532"/>
      <c r="E63" s="531">
        <f>'R2_MEFA'!F97*O63/'R2_MEFA'!C5/1000</f>
        <v>7.2157066470864409E-2</v>
      </c>
      <c r="F63" s="532"/>
      <c r="G63" s="531">
        <f>'R3_MEFA'!F119*$O30/'R3_MEFA'!$C$5/1000</f>
        <v>8.5755979214175601E-5</v>
      </c>
      <c r="H63" s="533"/>
      <c r="N63" s="591" t="s">
        <v>74</v>
      </c>
      <c r="O63" s="664">
        <f>IF(Macro!$H$8=1,Evaluation!U63,IF(Macro!$H$8=2,Evaluation!V63,IF(Macro!$H$8=3,Evaluation!W63,IF(Macro!Q40=0,V63,Macro!Q40))))</f>
        <v>1348.8821787709498</v>
      </c>
      <c r="P63" s="1053">
        <v>44652</v>
      </c>
      <c r="Q63" s="1054">
        <v>125.3</v>
      </c>
      <c r="R63" s="1053">
        <v>45261</v>
      </c>
      <c r="S63" s="1055">
        <v>127.3</v>
      </c>
      <c r="T63" s="884">
        <f>1.459*1000*$Q$24</f>
        <v>1327.69</v>
      </c>
      <c r="U63" s="1033">
        <f t="shared" si="4"/>
        <v>1753.5468324022349</v>
      </c>
      <c r="V63" s="1033">
        <f t="shared" si="6"/>
        <v>1348.8821787709498</v>
      </c>
      <c r="W63" s="1033">
        <f t="shared" si="5"/>
        <v>944.21752513966487</v>
      </c>
      <c r="X63" s="1036" t="s">
        <v>1243</v>
      </c>
    </row>
    <row r="64" spans="2:27" ht="15" thickBot="1" x14ac:dyDescent="0.35">
      <c r="B64" s="673" t="s">
        <v>99</v>
      </c>
      <c r="C64" s="675">
        <f t="shared" ref="C64:F64" si="7">SUM(C29:C63)</f>
        <v>0.69700694726445489</v>
      </c>
      <c r="D64" s="676">
        <f t="shared" si="7"/>
        <v>5.1600129919631375</v>
      </c>
      <c r="E64" s="677">
        <f t="shared" si="7"/>
        <v>0.88829379844778122</v>
      </c>
      <c r="F64" s="676">
        <f t="shared" si="7"/>
        <v>5.7622942659294614</v>
      </c>
      <c r="G64" s="675">
        <f>SUM(G29:G63)</f>
        <v>0.29090641324503241</v>
      </c>
      <c r="H64" s="674">
        <f>SUM(H29:H63)</f>
        <v>4.8536712226267706</v>
      </c>
      <c r="Q64" t="s">
        <v>1240</v>
      </c>
    </row>
    <row r="65" spans="1:25" ht="15" thickTop="1" x14ac:dyDescent="0.3">
      <c r="D65" s="376"/>
      <c r="F65" s="376"/>
    </row>
    <row r="66" spans="1:25" ht="15" thickBot="1" x14ac:dyDescent="0.35"/>
    <row r="67" spans="1:25" ht="15" thickBot="1" x14ac:dyDescent="0.35">
      <c r="B67" s="1080" t="s">
        <v>158</v>
      </c>
      <c r="C67" s="1081"/>
      <c r="D67" s="1081"/>
      <c r="E67" s="1081"/>
      <c r="F67" s="1081"/>
      <c r="G67" s="1081"/>
      <c r="H67" s="1082"/>
      <c r="I67" t="s">
        <v>1146</v>
      </c>
      <c r="N67" s="1107" t="s">
        <v>159</v>
      </c>
      <c r="O67" s="1109" t="s">
        <v>101</v>
      </c>
      <c r="P67" s="1110"/>
      <c r="Q67" s="1110"/>
      <c r="R67" s="1110"/>
      <c r="S67" s="1110"/>
      <c r="T67" s="1110"/>
      <c r="U67" s="1111"/>
      <c r="V67" s="1109" t="s">
        <v>102</v>
      </c>
      <c r="W67" s="1111"/>
      <c r="X67" s="1109" t="s">
        <v>103</v>
      </c>
      <c r="Y67" s="1119"/>
    </row>
    <row r="68" spans="1:25" ht="21" x14ac:dyDescent="0.4">
      <c r="B68" s="598"/>
      <c r="C68" s="1078" t="s">
        <v>101</v>
      </c>
      <c r="D68" s="1079"/>
      <c r="E68" s="1078" t="s">
        <v>102</v>
      </c>
      <c r="F68" s="1079"/>
      <c r="G68" s="1078" t="s">
        <v>103</v>
      </c>
      <c r="H68" s="1079"/>
      <c r="N68" s="1108"/>
      <c r="O68" s="782" t="s">
        <v>160</v>
      </c>
      <c r="P68" s="782"/>
      <c r="Q68" s="782"/>
      <c r="R68" s="782"/>
      <c r="S68" s="782"/>
      <c r="T68" s="782"/>
      <c r="U68" s="782" t="s">
        <v>161</v>
      </c>
      <c r="V68" s="782" t="s">
        <v>160</v>
      </c>
      <c r="W68" s="782" t="s">
        <v>161</v>
      </c>
      <c r="X68" s="782" t="s">
        <v>160</v>
      </c>
      <c r="Y68" s="782" t="s">
        <v>161</v>
      </c>
    </row>
    <row r="69" spans="1:25" ht="15" thickBot="1" x14ac:dyDescent="0.35">
      <c r="B69" s="599" t="s">
        <v>79</v>
      </c>
      <c r="C69" s="617" t="s">
        <v>1032</v>
      </c>
      <c r="D69" s="618" t="s">
        <v>161</v>
      </c>
      <c r="E69" s="617" t="s">
        <v>1032</v>
      </c>
      <c r="F69" s="618" t="s">
        <v>161</v>
      </c>
      <c r="G69" s="617" t="s">
        <v>1032</v>
      </c>
      <c r="H69" s="618" t="s">
        <v>161</v>
      </c>
      <c r="N69" s="329" t="s">
        <v>97</v>
      </c>
      <c r="O69" s="411">
        <v>0</v>
      </c>
      <c r="P69" s="411"/>
      <c r="Q69" s="411"/>
      <c r="R69" s="411"/>
      <c r="S69" s="411"/>
      <c r="T69" s="411"/>
      <c r="U69" s="425">
        <f>'R1_MEFA'!L30*1000*Substitution!E7*'CO2-Eq. invisble'!F26/('R1_MEFA'!C5*1000)</f>
        <v>1.8184374820753333</v>
      </c>
      <c r="V69" s="411">
        <v>0</v>
      </c>
      <c r="W69" s="424">
        <f>'R2_MEFA'!L20*1000*Substitution!E29*'CO2-Eq. invisble'!F26/('R2_MEFA'!C5*1000)</f>
        <v>1.8184374820753333</v>
      </c>
      <c r="X69" s="414">
        <v>0</v>
      </c>
      <c r="Y69" s="415">
        <f>('R3_MEFA'!L33+'R3_MEFA'!L40)*1000*Substitution!E29*'CO2-Eq. invisble'!F26/('R3_MEFA'!C5*1000)</f>
        <v>1.9687669745512122</v>
      </c>
    </row>
    <row r="70" spans="1:25" x14ac:dyDescent="0.3">
      <c r="A70" s="1075" t="s">
        <v>162</v>
      </c>
      <c r="B70" s="577" t="s">
        <v>163</v>
      </c>
      <c r="C70" s="402"/>
      <c r="D70" s="587"/>
      <c r="E70" s="402"/>
      <c r="F70" s="587"/>
      <c r="G70" s="402"/>
      <c r="H70" s="587"/>
      <c r="N70" s="329" t="s">
        <v>71</v>
      </c>
      <c r="O70" s="417">
        <v>0</v>
      </c>
      <c r="P70" s="417"/>
      <c r="Q70" s="417"/>
      <c r="R70" s="417"/>
      <c r="S70" s="417"/>
      <c r="T70" s="417"/>
      <c r="U70" s="423">
        <f>'R1_MEFA'!L31*1000*Substitution!E8*'CO2-Eq. invisble'!F25/('R1_MEFA'!C5*1000)</f>
        <v>0.11239205537676598</v>
      </c>
      <c r="V70" s="417">
        <v>0</v>
      </c>
      <c r="W70" s="424">
        <f>'R2_MEFA'!L21*1000*Substitution!E30*'CO2-Eq. invisble'!F25/('R2_MEFA'!C5*1000)</f>
        <v>0.11239205537676598</v>
      </c>
      <c r="X70" s="414">
        <v>0</v>
      </c>
      <c r="Y70" s="415">
        <f>('R3_MEFA'!L34+'R3_MEFA'!L41)*1000*Substitution!E30*'CO2-Eq. invisble'!F25/('R3_MEFA'!C5*1000)</f>
        <v>0.16430794725765019</v>
      </c>
    </row>
    <row r="71" spans="1:25" x14ac:dyDescent="0.3">
      <c r="A71" s="1076"/>
      <c r="B71" s="261" t="s">
        <v>164</v>
      </c>
      <c r="C71" s="599"/>
      <c r="D71" s="408"/>
      <c r="E71" s="599"/>
      <c r="F71" s="408"/>
      <c r="G71" s="599"/>
      <c r="H71" s="408"/>
      <c r="N71" s="329" t="s">
        <v>98</v>
      </c>
      <c r="O71" s="411">
        <v>0</v>
      </c>
      <c r="P71" s="411"/>
      <c r="Q71" s="411"/>
      <c r="R71" s="411"/>
      <c r="S71" s="411"/>
      <c r="T71" s="411"/>
      <c r="U71" s="424">
        <f>'R1_MEFA'!L32*1000*Substitution!E9*'CO2-Eq. invisble'!F14/('R1_MEFA'!C5*1000)</f>
        <v>0.10937745751971882</v>
      </c>
      <c r="V71" s="411">
        <v>0</v>
      </c>
      <c r="W71" s="424">
        <f>'R2_MEFA'!L22*1000*Substitution!E31*'CO2-Eq. invisble'!F14/('R2_MEFA'!C5*1000)</f>
        <v>0.10937745751971882</v>
      </c>
      <c r="X71" s="414">
        <v>0</v>
      </c>
      <c r="Y71" s="415">
        <f>'R3_MEFA'!L35*1000*Substitution!E31*'CO2-Eq. invisble'!F14/('R3_MEFA'!C5*1000)</f>
        <v>0.10937745751971882</v>
      </c>
    </row>
    <row r="72" spans="1:25" x14ac:dyDescent="0.3">
      <c r="A72" s="1076"/>
      <c r="B72" s="261" t="s">
        <v>165</v>
      </c>
      <c r="C72" s="599"/>
      <c r="D72" s="408"/>
      <c r="E72" s="599"/>
      <c r="F72" s="408"/>
      <c r="G72" s="599"/>
      <c r="H72" s="408"/>
      <c r="N72" s="329" t="s">
        <v>166</v>
      </c>
      <c r="O72" s="411">
        <f>'R1_MEFA'!L33*1000*Substitution!D12*'CO2-Eq. invisble'!F29/('R1_MEFA'!C5*1000)</f>
        <v>6.5482055797547222E-3</v>
      </c>
      <c r="P72" s="411"/>
      <c r="Q72" s="411"/>
      <c r="R72" s="411"/>
      <c r="S72" s="411"/>
      <c r="T72" s="411"/>
      <c r="U72" s="423">
        <v>0</v>
      </c>
      <c r="V72" s="411">
        <f>'R2_MEFA'!L23*1000*Substitution!D34*'CO2-Eq. invisble'!F29/('R2_MEFA'!C5*1000)</f>
        <v>6.5482055797547222E-3</v>
      </c>
      <c r="W72" s="424">
        <v>0</v>
      </c>
      <c r="X72" s="414">
        <f>('R3_MEFA'!L36+'R3_MEFA'!L43)*1000*Substitution!D34*'CO2-Eq. invisble'!F29/('R3_MEFA'!C5*1000)</f>
        <v>8.2216358945809281E-3</v>
      </c>
      <c r="Y72" s="415">
        <v>0</v>
      </c>
    </row>
    <row r="73" spans="1:25" x14ac:dyDescent="0.3">
      <c r="A73" s="1076"/>
      <c r="B73" s="261" t="s">
        <v>1027</v>
      </c>
      <c r="C73" s="601">
        <v>0</v>
      </c>
      <c r="D73" s="498">
        <f>'R1_MEFA'!L26*('CO2-Eq. invisble'!F40/1000)/('R1_MEFA'!C5*1000)</f>
        <v>3.2964649750596401E-3</v>
      </c>
      <c r="E73" s="601">
        <v>0</v>
      </c>
      <c r="F73" s="498">
        <f>'R2_MEFA'!L16*'CO2-Eq. invisble'!F40/1000/('R2_MEFA'!C5*1000)</f>
        <v>3.2964649750596401E-3</v>
      </c>
      <c r="G73" s="614">
        <v>0</v>
      </c>
      <c r="H73" s="498">
        <f>'R3_MEFA'!L29*'CO2-Eq. invisble'!F40/1000/('R3_MEFA'!C5*1000)</f>
        <v>3.2964649750596401E-3</v>
      </c>
      <c r="N73" s="329" t="s">
        <v>56</v>
      </c>
      <c r="O73" s="418">
        <f>'R1_MEFA'!L34*1000*1*'CO2-Eq. invisble'!F27/('R1_MEFA'!C5*1000)</f>
        <v>0</v>
      </c>
      <c r="P73" s="418"/>
      <c r="Q73" s="418"/>
      <c r="R73" s="418"/>
      <c r="S73" s="418"/>
      <c r="T73" s="418"/>
      <c r="U73" s="423">
        <f>'R1_MEFA'!L34*1000*Substitution!E10*'CO2-Eq. invisble'!F14/('R1_MEFA'!C5*1000)</f>
        <v>0</v>
      </c>
      <c r="V73" s="418">
        <f>'R2_MEFA'!L24*1000*1*'CO2-Eq. invisble'!F27/('R2_MEFA'!C5*1000)</f>
        <v>0</v>
      </c>
      <c r="W73" s="423">
        <f>'R2_MEFA'!L24*1000*Substitution!E32*'CO2-Eq. invisble'!F14/('R2_MEFA'!C5*1000)</f>
        <v>0</v>
      </c>
      <c r="X73" s="418">
        <f>'R3_MEFA'!L37*1000*1*'CO2-Eq. invisble'!F27/('R3_MEFA'!C5*1000)</f>
        <v>0</v>
      </c>
      <c r="Y73" s="419">
        <f>'R3_MEFA'!L37*1000*Substitution!E32*'CO2-Eq. invisble'!F14/('R3_MEFA'!C5*1000)</f>
        <v>0</v>
      </c>
    </row>
    <row r="74" spans="1:25" ht="15" thickBot="1" x14ac:dyDescent="0.35">
      <c r="A74" s="1077"/>
      <c r="B74" s="739" t="s">
        <v>167</v>
      </c>
      <c r="C74" s="602">
        <v>0</v>
      </c>
      <c r="D74" s="603">
        <f>SUM(U69:U75)-SUM(O69:O75)</f>
        <v>2.0334935803744263</v>
      </c>
      <c r="E74" s="602">
        <v>0</v>
      </c>
      <c r="F74" s="597">
        <f>SUM(W69:W75)-SUM(V69:V75)</f>
        <v>2.0334935803744263</v>
      </c>
      <c r="G74" s="612">
        <v>0</v>
      </c>
      <c r="H74" s="413">
        <f>SUM(Y69:Y75)-SUM(X69:X75)</f>
        <v>2.2437446664105165</v>
      </c>
      <c r="N74" s="329" t="s">
        <v>168</v>
      </c>
      <c r="O74" s="418">
        <v>0</v>
      </c>
      <c r="P74" s="418"/>
      <c r="Q74" s="418"/>
      <c r="R74" s="418"/>
      <c r="S74" s="418"/>
      <c r="T74" s="418"/>
      <c r="U74" s="425">
        <f>'R1_MEFA'!L35*1000*Substitution!E11*'CO2-Eq. invisble'!F24/('R1_MEFA'!C5*1000)</f>
        <v>0</v>
      </c>
      <c r="V74" s="418">
        <v>0</v>
      </c>
      <c r="W74" s="423">
        <f>'R2_MEFA'!L25*1000*Substitution!E33*'CO2-Eq. invisble'!F24/('R2_MEFA'!C5*1000)</f>
        <v>0</v>
      </c>
      <c r="X74" s="418">
        <v>0</v>
      </c>
      <c r="Y74" s="419">
        <f>('R3_MEFA'!L38+'R3_MEFA'!L42)*1000*Substitution!E33*'CO2-Eq. invisble'!F24/('R3_MEFA'!C5*1000)</f>
        <v>9.6791319941532585E-3</v>
      </c>
    </row>
    <row r="75" spans="1:25" ht="15" thickBot="1" x14ac:dyDescent="0.35">
      <c r="A75" s="1075" t="s">
        <v>169</v>
      </c>
      <c r="B75" s="740" t="s">
        <v>170</v>
      </c>
      <c r="C75" s="604">
        <f>('R1_MEFA'!F41*1000*'CO2-Eq. invisble'!F33/('R1_MEFA'!C5*1000))+('R1_MEFA'!F42*1000*'CO2-Eq. invisble'!F34/('R1_MEFA'!C5*1000))+('R1_MEFA'!F44*1000*'CO2-Eq. invisble'!F38/('R1_MEFA'!C5*1000))+('R1_MEFA'!I45*'CO2-Eq. invisble'!F22/('R1_MEFA'!C5*1000))+(('R1_MEFA'!C5*(Battery!E16+Battery!E18+Battery!E19+Battery!E21+Battery!E27+Battery!E28))*1000*'CO2-Eq. invisble'!F23/('R1_MEFA'!C5*1000))</f>
        <v>0.2410759218709056</v>
      </c>
      <c r="D75" s="596">
        <v>0</v>
      </c>
      <c r="E75" s="604">
        <v>0</v>
      </c>
      <c r="F75" s="596">
        <v>0</v>
      </c>
      <c r="G75" s="615">
        <v>0</v>
      </c>
      <c r="H75" s="588">
        <v>0</v>
      </c>
      <c r="N75" s="420" t="s">
        <v>171</v>
      </c>
      <c r="O75" s="421">
        <f>'R1_MEFA'!L36*1000*Substitution!D13*'CO2-Eq. invisble'!F31/('R1_MEFA'!C5*1000)</f>
        <v>1.6520901763668425E-4</v>
      </c>
      <c r="P75" s="421"/>
      <c r="Q75" s="421"/>
      <c r="R75" s="421"/>
      <c r="S75" s="421"/>
      <c r="T75" s="421"/>
      <c r="U75" s="426">
        <v>0</v>
      </c>
      <c r="V75" s="421">
        <f>'R2_MEFA'!L26*1000*'CO2-Eq. invisble'!F31/('R2_MEFA'!C5*1000)</f>
        <v>1.6520901763668425E-4</v>
      </c>
      <c r="W75" s="427">
        <v>0</v>
      </c>
      <c r="X75" s="421">
        <f>'R3_MEFA'!L39*1000*'CO2-Eq. invisble'!F31/('R3_MEFA'!C5*1000)</f>
        <v>1.6520901763668425E-4</v>
      </c>
      <c r="Y75" s="422">
        <v>0</v>
      </c>
    </row>
    <row r="76" spans="1:25" x14ac:dyDescent="0.3">
      <c r="A76" s="1076"/>
      <c r="B76" s="261" t="s">
        <v>172</v>
      </c>
      <c r="C76" s="601">
        <f>'R1_MEFA'!I51*'CO2-Eq. invisble'!F40/1000/('R1_MEFA'!C5*1000)</f>
        <v>2.1976433167064267E-3</v>
      </c>
      <c r="D76" s="498">
        <v>0</v>
      </c>
      <c r="E76" s="601">
        <v>0</v>
      </c>
      <c r="F76" s="498">
        <v>0</v>
      </c>
      <c r="G76" s="601">
        <v>0</v>
      </c>
      <c r="H76" s="498">
        <v>0</v>
      </c>
    </row>
    <row r="77" spans="1:25" x14ac:dyDescent="0.3">
      <c r="A77" s="1076"/>
      <c r="B77" s="261" t="s">
        <v>173</v>
      </c>
      <c r="C77" s="601">
        <f>'R1_MEFA'!I55*'CO2-Eq. invisble'!F40/1000/('R1_MEFA'!C5*1000)</f>
        <v>7.2835075581001961E-4</v>
      </c>
      <c r="D77" s="498">
        <v>0</v>
      </c>
      <c r="E77" s="601">
        <v>0</v>
      </c>
      <c r="F77" s="498">
        <v>0</v>
      </c>
      <c r="G77" s="614">
        <v>0</v>
      </c>
      <c r="H77" s="412">
        <v>0</v>
      </c>
    </row>
    <row r="78" spans="1:25" ht="15" thickBot="1" x14ac:dyDescent="0.35">
      <c r="A78" s="1077"/>
      <c r="B78" s="739" t="s">
        <v>174</v>
      </c>
      <c r="C78" s="605">
        <f>'R1_MEFA'!I60*'CO2-Eq. invisble'!F40/1000/('R1_MEFA'!C5*1000)</f>
        <v>0</v>
      </c>
      <c r="D78" s="597">
        <v>0</v>
      </c>
      <c r="E78" s="605">
        <v>0</v>
      </c>
      <c r="F78" s="597">
        <v>0</v>
      </c>
      <c r="G78" s="612">
        <v>0</v>
      </c>
      <c r="H78" s="413">
        <v>0</v>
      </c>
    </row>
    <row r="79" spans="1:25" x14ac:dyDescent="0.3">
      <c r="A79" s="1075" t="s">
        <v>175</v>
      </c>
      <c r="B79" s="577" t="s">
        <v>176</v>
      </c>
      <c r="C79" s="604">
        <v>0</v>
      </c>
      <c r="D79" s="596">
        <v>0</v>
      </c>
      <c r="E79" s="604">
        <f>('R2_MEFA'!I34*'CO2-Eq. invisble'!F40/1000/('R2_MEFA'!C5*1000))+('R2_MEFA'!F32*1000*'CO2-Eq. invisble'!F11/('R2_MEFA'!C5*1000))</f>
        <v>3.6937918496208451E-3</v>
      </c>
      <c r="F79" s="596">
        <v>0</v>
      </c>
      <c r="G79" s="615">
        <v>0</v>
      </c>
      <c r="H79" s="588">
        <v>0</v>
      </c>
    </row>
    <row r="80" spans="1:25" x14ac:dyDescent="0.3">
      <c r="A80" s="1076"/>
      <c r="B80" s="261" t="s">
        <v>177</v>
      </c>
      <c r="C80" s="601">
        <v>0</v>
      </c>
      <c r="D80" s="498">
        <v>0</v>
      </c>
      <c r="E80" s="610">
        <f>'R2_MEFA'!I41*'CO2-Eq. invisble'!F40/1000/('R2_MEFA'!C5*1000)</f>
        <v>6.1764679786936131E-4</v>
      </c>
      <c r="F80" s="498">
        <v>0</v>
      </c>
      <c r="G80" s="614">
        <v>0</v>
      </c>
      <c r="H80" s="412">
        <v>0</v>
      </c>
    </row>
    <row r="81" spans="1:20" x14ac:dyDescent="0.3">
      <c r="A81" s="1076"/>
      <c r="B81" s="261" t="s">
        <v>172</v>
      </c>
      <c r="C81" s="601">
        <v>0</v>
      </c>
      <c r="D81" s="498">
        <v>0</v>
      </c>
      <c r="E81" s="610">
        <f>'R2_MEFA'!I48*'CO2-Eq. invisble'!F40/1000/('R2_MEFA'!C5*1000)</f>
        <v>2.1976433167064267E-3</v>
      </c>
      <c r="F81" s="498">
        <v>0</v>
      </c>
      <c r="G81" s="614">
        <v>0</v>
      </c>
      <c r="H81" s="412">
        <v>0</v>
      </c>
    </row>
    <row r="82" spans="1:20" x14ac:dyDescent="0.3">
      <c r="A82" s="1076"/>
      <c r="B82" s="261" t="s">
        <v>178</v>
      </c>
      <c r="C82" s="601">
        <v>0</v>
      </c>
      <c r="D82" s="498">
        <v>0</v>
      </c>
      <c r="E82" s="610">
        <f>'R2_MEFA'!I58*'CO2-Eq. invisble'!F40/1000/('R2_MEFA'!C5*1000)</f>
        <v>0</v>
      </c>
      <c r="F82" s="498">
        <f>('R2_MEFA'!L59+'R2_MEFA'!L60)*1000*'CO2-Eq. invisble'!F25/('R2_MEFA'!C5*1000)</f>
        <v>5.1391488932592475E-2</v>
      </c>
      <c r="G82" s="601">
        <v>0</v>
      </c>
      <c r="H82" s="412">
        <v>0</v>
      </c>
      <c r="O82" s="579"/>
      <c r="P82" s="579"/>
      <c r="Q82" s="579"/>
      <c r="R82" s="579"/>
      <c r="S82" s="579"/>
      <c r="T82" s="579"/>
    </row>
    <row r="83" spans="1:20" x14ac:dyDescent="0.3">
      <c r="A83" s="1076"/>
      <c r="B83" s="261" t="s">
        <v>179</v>
      </c>
      <c r="C83" s="601">
        <v>0</v>
      </c>
      <c r="D83" s="498">
        <v>0</v>
      </c>
      <c r="E83" s="610">
        <f>('R2_MEFA'!I65*'CO2-Eq. invisble'!F40/1000/('R2_MEFA'!C5*1000))+(('R2_MEFA'!L68+'R2_MEFA'!L67)*1000*'CO2-Eq. invisble'!F31/('R2_MEFA'!C5*1000))</f>
        <v>1.2679240492033688E-2</v>
      </c>
      <c r="F83" s="498">
        <f>'R2_MEFA'!L66*1000*Substitution!E37*'CO2-Eq. invisble'!F26/('R2_MEFA'!C5*1000)</f>
        <v>0.14425557358796462</v>
      </c>
      <c r="G83" s="614">
        <v>0</v>
      </c>
      <c r="H83" s="412">
        <v>0</v>
      </c>
    </row>
    <row r="84" spans="1:20" x14ac:dyDescent="0.3">
      <c r="A84" s="1076"/>
      <c r="B84" s="261" t="s">
        <v>180</v>
      </c>
      <c r="C84" s="601">
        <v>0</v>
      </c>
      <c r="D84" s="498">
        <v>0</v>
      </c>
      <c r="E84" s="610">
        <f>'R2_MEFA'!I74*'CO2-Eq. invisble'!F40/1000/('R2_MEFA'!C5*1000)</f>
        <v>1.804291778290303E-4</v>
      </c>
      <c r="F84" s="498">
        <v>0</v>
      </c>
      <c r="G84" s="614">
        <v>0</v>
      </c>
      <c r="H84" s="412">
        <v>0</v>
      </c>
    </row>
    <row r="85" spans="1:20" x14ac:dyDescent="0.3">
      <c r="A85" s="1076"/>
      <c r="B85" s="261" t="s">
        <v>1015</v>
      </c>
      <c r="C85" s="601">
        <v>0</v>
      </c>
      <c r="D85" s="498">
        <v>0</v>
      </c>
      <c r="E85" s="610">
        <f>'R2_MEFA'!I79*'CO2-Eq. invisble'!F40/1000/('R2_MEFA'!C5*1000)</f>
        <v>9.0214588914515131E-4</v>
      </c>
      <c r="F85" s="498">
        <v>0</v>
      </c>
      <c r="G85" s="614">
        <v>0</v>
      </c>
      <c r="H85" s="412">
        <v>0</v>
      </c>
    </row>
    <row r="86" spans="1:20" x14ac:dyDescent="0.3">
      <c r="A86" s="1076"/>
      <c r="B86" s="261" t="s">
        <v>536</v>
      </c>
      <c r="C86" s="601">
        <v>0</v>
      </c>
      <c r="D86" s="498">
        <v>0</v>
      </c>
      <c r="E86" s="610">
        <f>('R2_MEFA'!I85*'CO2-Eq. invisble'!F40/1000/('R2_MEFA'!C5*1000))+('R2_MEFA'!L88*1000*'CO2-Eq. invisble'!F31/('R2_MEFA'!C5*1000))</f>
        <v>0.40807768564343128</v>
      </c>
      <c r="F86" s="498">
        <f>('R2_MEFA'!L86*1000*Substitution!E40*'CO2-Eq. invisble'!F26/('R2_MEFA'!C5*1000))+('R2_MEFA'!L87*1000*Substitution!E41*'CO2-Eq. invisble'!F14/('R2_MEFA'!C5*1000))</f>
        <v>0.64911136308375628</v>
      </c>
      <c r="G86" s="614">
        <v>0</v>
      </c>
      <c r="H86" s="412">
        <v>0</v>
      </c>
    </row>
    <row r="87" spans="1:20" ht="15" thickBot="1" x14ac:dyDescent="0.35">
      <c r="A87" s="1077"/>
      <c r="B87" s="600" t="s">
        <v>181</v>
      </c>
      <c r="C87" s="605">
        <v>0</v>
      </c>
      <c r="D87" s="597">
        <v>0</v>
      </c>
      <c r="E87" s="611">
        <f>'R2_MEFA'!I53*'CO2-Eq. invisble'!F40/1000/('R2_MEFA'!C5*1000)</f>
        <v>0</v>
      </c>
      <c r="F87" s="597">
        <f>'R2_MEFA'!L100*1000*'CO2-Eq. invisble'!F37/('R2_MEFA'!C5*1000)</f>
        <v>0</v>
      </c>
      <c r="G87" s="612">
        <v>0</v>
      </c>
      <c r="H87" s="413">
        <v>0</v>
      </c>
    </row>
    <row r="88" spans="1:20" x14ac:dyDescent="0.3">
      <c r="A88" s="1075" t="s">
        <v>182</v>
      </c>
      <c r="B88" s="268" t="s">
        <v>183</v>
      </c>
      <c r="C88" s="604">
        <v>0</v>
      </c>
      <c r="D88" s="596">
        <v>0</v>
      </c>
      <c r="E88" s="613">
        <v>0</v>
      </c>
      <c r="F88" s="596">
        <v>0</v>
      </c>
      <c r="G88" s="703">
        <f>('R3_MEFA'!I49*'CO2-Eq. invisble'!F40/1000/('R3_MEFA'!$C$5*1000))</f>
        <v>2.0618138948851429E-2</v>
      </c>
      <c r="H88" s="588">
        <v>0</v>
      </c>
    </row>
    <row r="89" spans="1:20" ht="15" thickBot="1" x14ac:dyDescent="0.35">
      <c r="A89" s="1077"/>
      <c r="B89" s="741" t="s">
        <v>185</v>
      </c>
      <c r="C89" s="605">
        <v>0</v>
      </c>
      <c r="D89" s="597">
        <v>0</v>
      </c>
      <c r="E89" s="611">
        <v>0</v>
      </c>
      <c r="F89" s="597">
        <v>0</v>
      </c>
      <c r="G89" s="616">
        <f>('R3_MEFA'!I55*'CO2-Eq. invisble'!F40/1000/('R3_MEFA'!$C$5*1000))</f>
        <v>2.1976433167064267E-3</v>
      </c>
      <c r="H89" s="413">
        <v>0</v>
      </c>
    </row>
    <row r="90" spans="1:20" x14ac:dyDescent="0.3">
      <c r="A90" s="1075" t="s">
        <v>186</v>
      </c>
      <c r="B90" s="268" t="s">
        <v>187</v>
      </c>
      <c r="C90" s="604">
        <v>0</v>
      </c>
      <c r="D90" s="596">
        <v>0</v>
      </c>
      <c r="E90" s="613">
        <v>0</v>
      </c>
      <c r="F90" s="596">
        <v>0</v>
      </c>
      <c r="G90" s="615">
        <f>('R3_MEFA'!I62*'CO2-Eq. invisble'!F40/1000/('R3_MEFA'!$C$5*1000))</f>
        <v>1.4645335350869958E-4</v>
      </c>
      <c r="H90" s="588">
        <v>0</v>
      </c>
    </row>
    <row r="91" spans="1:20" x14ac:dyDescent="0.3">
      <c r="A91" s="1089"/>
      <c r="B91" t="s">
        <v>178</v>
      </c>
      <c r="C91" s="601">
        <v>0</v>
      </c>
      <c r="D91" s="498">
        <v>0</v>
      </c>
      <c r="E91" s="610">
        <v>0</v>
      </c>
      <c r="F91" s="498">
        <v>0</v>
      </c>
      <c r="G91" s="614">
        <v>0</v>
      </c>
      <c r="H91" s="412">
        <f>'R3_MEFA'!L68*1000*'CO2-Eq. invisble'!F25/('R3_MEFA'!C5*1000)</f>
        <v>0</v>
      </c>
    </row>
    <row r="92" spans="1:20" x14ac:dyDescent="0.3">
      <c r="A92" s="1089"/>
      <c r="B92" t="s">
        <v>1015</v>
      </c>
      <c r="C92" s="601">
        <v>0</v>
      </c>
      <c r="D92" s="498">
        <v>0</v>
      </c>
      <c r="E92" s="610">
        <v>0</v>
      </c>
      <c r="F92" s="498">
        <v>0</v>
      </c>
      <c r="G92" s="614">
        <f>('R3_MEFA'!I73*'CO2-Eq. invisble'!F40/1000/('R3_MEFA'!$C$5*1000))</f>
        <v>7.3226676754349802E-4</v>
      </c>
      <c r="H92" s="412">
        <v>0</v>
      </c>
    </row>
    <row r="93" spans="1:20" ht="15" thickBot="1" x14ac:dyDescent="0.35">
      <c r="A93" s="1090"/>
      <c r="B93" s="742" t="s">
        <v>188</v>
      </c>
      <c r="C93" s="605">
        <v>0</v>
      </c>
      <c r="D93" s="597">
        <v>0</v>
      </c>
      <c r="E93" s="611">
        <v>0</v>
      </c>
      <c r="F93" s="597">
        <v>0</v>
      </c>
      <c r="G93" s="616">
        <f>('R3_MEFA'!I79*'CO2-Eq. invisble'!F40/1000/('R3_MEFA'!$C$5*1000))+('R3_MEFA'!L82*1000*'CO2-Eq. invisble'!F31/('R3_MEFA'!C5*1000))</f>
        <v>0.11077482864401599</v>
      </c>
      <c r="H93" s="413">
        <f>('R3_MEFA'!L80*1000*Substitution!E40*'CO2-Eq. invisble'!F26/('R3_MEFA'!C5*1000))+('R3_MEFA'!L81*1000*Substitution!E41*'CO2-Eq. invisble'!F14/('R3_MEFA'!C5*1000))</f>
        <v>0.65573494842134572</v>
      </c>
    </row>
    <row r="94" spans="1:20" x14ac:dyDescent="0.3">
      <c r="A94" s="1075" t="s">
        <v>189</v>
      </c>
      <c r="B94" s="577" t="s">
        <v>190</v>
      </c>
      <c r="C94" s="604">
        <v>0</v>
      </c>
      <c r="D94" s="596">
        <v>0</v>
      </c>
      <c r="E94" s="604">
        <v>0</v>
      </c>
      <c r="F94" s="596">
        <v>0</v>
      </c>
      <c r="G94" s="703">
        <f>('R3_MEFA'!F88*1000*'CO2-Eq. invisble'!F33/('R3_MEFA'!C5*1000))+('R3_MEFA'!F89*1000*'CO2-Eq. invisble'!F34/('R3_MEFA'!C5*1000))+('R3_MEFA'!F91*1000*'CO2-Eq. invisble'!F38/('R3_MEFA'!C5*1000))+('R3_MEFA'!I92*'CO2-Eq. invisble'!F22/('R3_MEFA'!C5*1000))+(('R3_MEFA'!C5*(Battery!E16+Battery!E18+Battery!E21)-'R3_MEFA'!L82)*1000*'CO2-Eq. invisble'!F23/('R3_MEFA'!C5*1000))</f>
        <v>9.4453400996382442E-2</v>
      </c>
      <c r="H94" s="588">
        <v>0</v>
      </c>
    </row>
    <row r="95" spans="1:20" x14ac:dyDescent="0.3">
      <c r="A95" s="1076"/>
      <c r="B95" s="261" t="s">
        <v>172</v>
      </c>
      <c r="C95" s="601">
        <v>0</v>
      </c>
      <c r="D95" s="498">
        <v>0</v>
      </c>
      <c r="E95" s="601">
        <v>0</v>
      </c>
      <c r="F95" s="498">
        <v>0</v>
      </c>
      <c r="G95" s="601">
        <f>'R3_MEFA'!I98*'CO2-Eq. invisble'!F40/1000/('R3_MEFA'!C5*1000)</f>
        <v>2.1976433167064267E-3</v>
      </c>
      <c r="H95" s="498">
        <v>0</v>
      </c>
    </row>
    <row r="96" spans="1:20" x14ac:dyDescent="0.3">
      <c r="A96" s="1076"/>
      <c r="B96" s="261" t="s">
        <v>173</v>
      </c>
      <c r="C96" s="601">
        <v>0</v>
      </c>
      <c r="D96" s="498">
        <v>0</v>
      </c>
      <c r="E96" s="601">
        <v>0</v>
      </c>
      <c r="F96" s="498">
        <v>0</v>
      </c>
      <c r="G96" s="614">
        <f>'R3_MEFA'!I102*'CO2-Eq. invisble'!F40/1000/('R3_MEFA'!C5*1000)</f>
        <v>4.20873170443548E-4</v>
      </c>
      <c r="H96" s="412">
        <v>0</v>
      </c>
    </row>
    <row r="97" spans="1:8" ht="15" thickBot="1" x14ac:dyDescent="0.35">
      <c r="A97" s="1077"/>
      <c r="B97" s="600" t="s">
        <v>174</v>
      </c>
      <c r="C97" s="605">
        <v>0</v>
      </c>
      <c r="D97" s="597">
        <v>0</v>
      </c>
      <c r="E97" s="605">
        <v>0</v>
      </c>
      <c r="F97" s="597">
        <v>0</v>
      </c>
      <c r="G97" s="612">
        <f>'R3_MEFA'!I107*'CO2-Eq. invisble'!F40/1000/('R3_MEFA'!C5*1000)</f>
        <v>0</v>
      </c>
      <c r="H97" s="413">
        <v>0</v>
      </c>
    </row>
    <row r="98" spans="1:8" x14ac:dyDescent="0.3">
      <c r="A98" s="1075" t="s">
        <v>191</v>
      </c>
      <c r="B98" s="577" t="s">
        <v>204</v>
      </c>
      <c r="C98" s="604">
        <f>('R1_Hydro_MEFA'!I17*'CO2-Eq. invisble'!F40/1000/('R1_MEFA'!C5*1000))+('R1_Hydro_MEFA'!F16*1000*'CO2-Eq. invisble'!F7/('R1_MEFA'!C5*1000))</f>
        <v>4.3936831042349481E-2</v>
      </c>
      <c r="D98" s="596">
        <v>0</v>
      </c>
      <c r="E98" s="613">
        <v>0</v>
      </c>
      <c r="F98" s="596">
        <v>0</v>
      </c>
      <c r="G98" s="615">
        <v>0</v>
      </c>
      <c r="H98" s="588">
        <v>0</v>
      </c>
    </row>
    <row r="99" spans="1:8" x14ac:dyDescent="0.3">
      <c r="A99" s="1076"/>
      <c r="B99" s="743" t="s">
        <v>205</v>
      </c>
      <c r="C99" s="601">
        <f>('R1_Hydro_MEFA'!I24*'CO2-Eq. invisble'!F40/1000/('R1_MEFA'!C5*1000))</f>
        <v>2.1895056531352616E-3</v>
      </c>
      <c r="D99" s="498">
        <v>0</v>
      </c>
      <c r="E99" s="610">
        <v>0</v>
      </c>
      <c r="F99" s="498">
        <v>0</v>
      </c>
      <c r="G99" s="614">
        <v>0</v>
      </c>
      <c r="H99" s="412">
        <v>0</v>
      </c>
    </row>
    <row r="100" spans="1:8" x14ac:dyDescent="0.3">
      <c r="A100" s="1076"/>
      <c r="B100" s="261" t="s">
        <v>192</v>
      </c>
      <c r="C100" s="601">
        <f>('R1_Hydro_MEFA'!F30*1000*'CO2-Eq. invisble'!F25/('R1_MEFA'!C5*1000))+'R1_Hydro_MEFA'!I31*'CO2-Eq. invisble'!F40/1000/('R1_MEFA'!C5*1000)</f>
        <v>0.12205128096303394</v>
      </c>
      <c r="D100" s="498">
        <v>0</v>
      </c>
      <c r="E100" s="610">
        <v>0</v>
      </c>
      <c r="F100" s="498">
        <v>0</v>
      </c>
      <c r="G100" s="614">
        <v>0</v>
      </c>
      <c r="H100" s="412">
        <v>0</v>
      </c>
    </row>
    <row r="101" spans="1:8" x14ac:dyDescent="0.3">
      <c r="A101" s="1076"/>
      <c r="B101" s="261" t="s">
        <v>193</v>
      </c>
      <c r="C101" s="601">
        <f>('R1_Hydro_MEFA'!I37*'CO2-Eq. invisble'!F40/1000/('R1_MEFA'!C5*1000))</f>
        <v>1.7268280672105235E-3</v>
      </c>
      <c r="D101" s="498">
        <f>'R1_Hydro_MEFA'!L38*1000*Substitution!E14*'CO2-Eq. invisble'!F14/('R1_MEFA'!C5*1000)</f>
        <v>0.4360288437259599</v>
      </c>
      <c r="E101" s="610">
        <v>0</v>
      </c>
      <c r="F101" s="498">
        <v>0</v>
      </c>
      <c r="G101" s="614">
        <v>0</v>
      </c>
      <c r="H101" s="412">
        <v>0</v>
      </c>
    </row>
    <row r="102" spans="1:8" x14ac:dyDescent="0.3">
      <c r="A102" s="1076"/>
      <c r="B102" s="743" t="s">
        <v>346</v>
      </c>
      <c r="C102" s="609">
        <f>('R1_Hydro_MEFA'!F45*1000*'CO2-Eq. invisble'!F9/('R1_MEFA'!C5*1000))+('R1_Hydro_MEFA'!I46*'CO2-Eq. invisble'!F40/1000/('R1_MEFA'!C5*1000))</f>
        <v>0.15446480325270162</v>
      </c>
      <c r="D102" s="498">
        <v>0</v>
      </c>
      <c r="E102" s="610">
        <v>0</v>
      </c>
      <c r="F102" s="498">
        <v>0</v>
      </c>
      <c r="G102" s="614">
        <v>0</v>
      </c>
      <c r="H102" s="412">
        <v>0</v>
      </c>
    </row>
    <row r="103" spans="1:8" x14ac:dyDescent="0.3">
      <c r="A103" s="1076"/>
      <c r="B103" s="261" t="s">
        <v>1031</v>
      </c>
      <c r="C103" s="601">
        <f>(('R1_Hydro_MEFA'!I53+'R1_Hydro_MEFA'!I59)*'CO2-Eq. invisble'!F40/1000/('R1_MEFA'!C5*1000))+('R1_Hydro_MEFA'!F52*1000*'CO2-Eq. invisble'!F8/('R1_MEFA'!C5*1000))</f>
        <v>0.56049265277831173</v>
      </c>
      <c r="D103" s="498">
        <f>'R1_Hydro_MEFA'!L62*1000*Substitution!E20*'CO2-Eq. invisble'!F25/9.98/('R1_MEFA'!C5*1000)</f>
        <v>2.3155672640350518E-2</v>
      </c>
      <c r="E103" s="610">
        <v>0</v>
      </c>
      <c r="F103" s="498">
        <v>0</v>
      </c>
      <c r="G103" s="614">
        <v>0</v>
      </c>
      <c r="H103" s="412">
        <v>0</v>
      </c>
    </row>
    <row r="104" spans="1:8" x14ac:dyDescent="0.3">
      <c r="A104" s="1076"/>
      <c r="B104" s="261" t="s">
        <v>471</v>
      </c>
      <c r="C104" s="601">
        <f>('R1_Hydro_MEFA'!F68*1000*'CO2-Eq. invisble'!F12/('R1_MEFA'!C5*1000))+(('R1_Hydro_MEFA'!I69+'R1_Hydro_MEFA'!I77+'R1_Hydro_MEFA'!I83)*'CO2-Eq. invisble'!F40/1000/('R1_MEFA'!C5*1000))+('R1_Hydro_MEFA'!F82*1000*'CO2-Eq. invisble'!F7/('R1_MEFA'!C5*1000))</f>
        <v>2.8705059369241899E-3</v>
      </c>
      <c r="D104" s="498">
        <v>0</v>
      </c>
      <c r="E104" s="610">
        <v>0</v>
      </c>
      <c r="F104" s="498">
        <v>0</v>
      </c>
      <c r="G104" s="614">
        <v>0</v>
      </c>
      <c r="H104" s="412">
        <v>0</v>
      </c>
    </row>
    <row r="105" spans="1:8" x14ac:dyDescent="0.3">
      <c r="A105" s="1076"/>
      <c r="B105" s="743" t="s">
        <v>194</v>
      </c>
      <c r="C105" s="601">
        <f>('R1_Hydro_MEFA'!I91*'CO2-Eq. invisble'!F40/1000/('R1_MEFA'!C5*1000))</f>
        <v>0.53772241606300075</v>
      </c>
      <c r="D105" s="498">
        <f>'R1_Hydro_MEFA'!L92*1000*Substitution!E16*'CO2-Eq. invisble'!F17/('R1_MEFA'!C5*1000)</f>
        <v>1.9045226301137284</v>
      </c>
      <c r="E105" s="610">
        <v>0</v>
      </c>
      <c r="F105" s="498">
        <v>0</v>
      </c>
      <c r="G105" s="614">
        <v>0</v>
      </c>
      <c r="H105" s="412">
        <v>0</v>
      </c>
    </row>
    <row r="106" spans="1:8" ht="15" thickBot="1" x14ac:dyDescent="0.35">
      <c r="A106" s="1076"/>
      <c r="B106" s="261" t="s">
        <v>195</v>
      </c>
      <c r="C106" s="601">
        <f>('R1_Hydro_MEFA'!I97*'CO2-Eq. invisble'!F40/1000/('R1_MEFA'!C5*1000))</f>
        <v>3.4453389971712545E-2</v>
      </c>
      <c r="D106" s="498">
        <f>'R1_Hydro_MEFA'!L98*1000*Substitution!E17*'CO2-Eq. invisble'!F19/('R1_MEFA'!C5*1000)</f>
        <v>3.8904320149161906</v>
      </c>
      <c r="E106" s="610">
        <v>0</v>
      </c>
      <c r="F106" s="498">
        <v>0</v>
      </c>
      <c r="G106" s="614">
        <v>0</v>
      </c>
      <c r="H106" s="412">
        <v>0</v>
      </c>
    </row>
    <row r="107" spans="1:8" x14ac:dyDescent="0.3">
      <c r="A107" s="1075" t="s">
        <v>196</v>
      </c>
      <c r="B107" s="267" t="s">
        <v>1016</v>
      </c>
      <c r="C107" s="604">
        <f>('R1_Hydro_MEFA'!I115*'CO2-Eq. invisble'!F40/1000/('R1_MEFA'!C5*1000))+('R1_Hydro_MEFA'!F114*1000*'CO2-Eq. invisble'!F7/('R1_MEFA'!C5*1000))</f>
        <v>0</v>
      </c>
      <c r="D107" s="596">
        <v>0</v>
      </c>
      <c r="E107" s="613">
        <v>0</v>
      </c>
      <c r="F107" s="596">
        <v>0</v>
      </c>
      <c r="G107" s="613">
        <v>0</v>
      </c>
      <c r="H107" s="596">
        <v>0</v>
      </c>
    </row>
    <row r="108" spans="1:8" x14ac:dyDescent="0.3">
      <c r="A108" s="1076"/>
      <c r="B108" s="744" t="s">
        <v>1017</v>
      </c>
      <c r="C108" s="601">
        <f>('R1_Hydro_MEFA'!I122*'CO2-Eq. invisble'!F40/1000/('R1_MEFA'!C5*1000))</f>
        <v>0</v>
      </c>
      <c r="D108" s="498">
        <v>0</v>
      </c>
      <c r="E108" s="610">
        <v>0</v>
      </c>
      <c r="F108" s="498">
        <v>0</v>
      </c>
      <c r="G108" s="610">
        <v>0</v>
      </c>
      <c r="H108" s="498">
        <v>0</v>
      </c>
    </row>
    <row r="109" spans="1:8" x14ac:dyDescent="0.3">
      <c r="A109" s="1076"/>
      <c r="B109" s="286" t="s">
        <v>1028</v>
      </c>
      <c r="C109" s="601">
        <f>('R1_Hydro_MEFA'!I128*'CO2-Eq. invisble'!F40/1000/('R1_MEFA'!C5*1000))+('R1_Hydro_MEFA'!L129*1000*'CO2-Eq. invisble'!F39/('R1_MEFA'!C5*1000))</f>
        <v>0</v>
      </c>
      <c r="D109" s="498">
        <f>('R1_Hydro_MEFA'!L130*1000*Substitution!E19*'CO2-Eq. invisble'!F34/('R1_MEFA'!C5*1000))</f>
        <v>0</v>
      </c>
      <c r="E109" s="610">
        <v>0</v>
      </c>
      <c r="F109" s="498">
        <v>0</v>
      </c>
      <c r="G109" s="610">
        <v>0</v>
      </c>
      <c r="H109" s="498">
        <v>0</v>
      </c>
    </row>
    <row r="110" spans="1:8" x14ac:dyDescent="0.3">
      <c r="A110" s="1076"/>
      <c r="B110" s="286" t="s">
        <v>198</v>
      </c>
      <c r="C110" s="601">
        <f>('R1_Hydro_MEFA'!F137*1000*'CO2-Eq. invisble'!F9/('R1_MEFA'!C5*1000))+('R1_Hydro_MEFA'!I138*'CO2-Eq. invisble'!F40/1000/('R1_MEFA'!C5*1000))</f>
        <v>0</v>
      </c>
      <c r="D110" s="498">
        <v>0</v>
      </c>
      <c r="E110" s="610">
        <v>0</v>
      </c>
      <c r="F110" s="498">
        <v>0</v>
      </c>
      <c r="G110" s="610">
        <v>0</v>
      </c>
      <c r="H110" s="498">
        <v>0</v>
      </c>
    </row>
    <row r="111" spans="1:8" x14ac:dyDescent="0.3">
      <c r="A111" s="1076"/>
      <c r="B111" s="286" t="s">
        <v>199</v>
      </c>
      <c r="C111" s="601">
        <f>(('R1_Hydro_MEFA'!I145+'R1_Hydro_MEFA'!I151)*'CO2-Eq. invisble'!F40/1000/('R1_MEFA'!C5*1000))+('R1_Hydro_MEFA'!F144*1000*'CO2-Eq. invisble'!F8/('R1_MEFA'!C5*1000))</f>
        <v>0</v>
      </c>
      <c r="D111" s="498">
        <f>('R1_Hydro_MEFA'!L152*1000*Substitution!E20*'CO2-Eq. invisble'!F25/9.98/('R1_MEFA'!C5*1000))+('R1_Hydro_MEFA'!L153*1000*Substitution!E21*'CO2-Eq. invisble'!F13/('R1_MEFA'!C5*1000))</f>
        <v>0</v>
      </c>
      <c r="E111" s="610">
        <v>0</v>
      </c>
      <c r="F111" s="498">
        <v>0</v>
      </c>
      <c r="G111" s="610">
        <v>0</v>
      </c>
      <c r="H111" s="498">
        <v>0</v>
      </c>
    </row>
    <row r="112" spans="1:8" x14ac:dyDescent="0.3">
      <c r="A112" s="1076"/>
      <c r="B112" s="743" t="s">
        <v>1021</v>
      </c>
      <c r="C112" s="601">
        <f>(('R1_Hydro_MEFA'!I162+'R1_Hydro_MEFA'!I170+'R1_Hydro_MEFA'!I176)*'CO2-Eq. invisble'!F40/1000/('R1_MEFA'!C5*1000))+('R1_Hydro_MEFA'!F161*1000*'CO2-Eq. invisble'!F12/('R1_MEFA'!C5*1000))+('R1_Hydro_MEFA'!F175*1000*'CO2-Eq. invisble'!F7/('R1_MEFA'!C5*1000))</f>
        <v>0</v>
      </c>
      <c r="D112" s="498"/>
      <c r="E112" s="610">
        <v>0</v>
      </c>
      <c r="F112" s="498">
        <v>0</v>
      </c>
      <c r="G112" s="610">
        <v>0</v>
      </c>
      <c r="H112" s="498">
        <v>0</v>
      </c>
    </row>
    <row r="113" spans="1:8" x14ac:dyDescent="0.3">
      <c r="A113" s="1076"/>
      <c r="B113" s="286" t="s">
        <v>1029</v>
      </c>
      <c r="C113" s="601">
        <f>('R1_Hydro_MEFA'!I184*'CO2-Eq. invisble'!F40/1000/('R1_MEFA'!C5*1000))</f>
        <v>0</v>
      </c>
      <c r="D113" s="706">
        <f>'R1_Hydro_MEFA'!L185*1000*Substitution!E22*'CO2-Eq. invisble'!F16/('R1_MEFA'!C5*1000)</f>
        <v>0</v>
      </c>
      <c r="E113" s="610">
        <v>0</v>
      </c>
      <c r="F113" s="498">
        <v>0</v>
      </c>
      <c r="G113" s="610">
        <v>0</v>
      </c>
      <c r="H113" s="498">
        <v>0</v>
      </c>
    </row>
    <row r="114" spans="1:8" x14ac:dyDescent="0.3">
      <c r="A114" s="1076"/>
      <c r="B114" s="744" t="s">
        <v>1033</v>
      </c>
      <c r="C114" s="601">
        <f>('R1_Hydro_MEFA'!I190*'CO2-Eq. invisble'!F40/1000/('R1_MEFA'!C5*1000))</f>
        <v>0</v>
      </c>
      <c r="D114" s="607">
        <v>0</v>
      </c>
      <c r="E114" s="610">
        <v>0</v>
      </c>
      <c r="F114" s="498">
        <v>0</v>
      </c>
      <c r="G114" s="610">
        <v>0</v>
      </c>
      <c r="H114" s="498">
        <v>0</v>
      </c>
    </row>
    <row r="115" spans="1:8" ht="15" thickBot="1" x14ac:dyDescent="0.35">
      <c r="A115" s="1076"/>
      <c r="B115" s="744" t="s">
        <v>1030</v>
      </c>
      <c r="C115" s="601">
        <f>('R1_Hydro_MEFA'!F197*1000*'CO2-Eq. invisble'!F35/('R1_MEFA'!C5*1000))+(('R1_Hydro_MEFA'!I198+'R1_Hydro_MEFA'!I204)*'CO2-Eq. invisble'!F40/1000/('R1_MEFA'!C5*1000))</f>
        <v>0</v>
      </c>
      <c r="D115" s="497">
        <f>'R1_Hydro_MEFA'!L205*1000*Substitution!E23*'CO2-Eq. invisble'!F21/('R1_MEFA'!C5*1000)</f>
        <v>0</v>
      </c>
      <c r="E115" s="610">
        <v>0</v>
      </c>
      <c r="F115" s="498">
        <v>0</v>
      </c>
      <c r="G115" s="610">
        <v>0</v>
      </c>
      <c r="H115" s="498">
        <v>0</v>
      </c>
    </row>
    <row r="116" spans="1:8" x14ac:dyDescent="0.3">
      <c r="A116" s="1075" t="s">
        <v>203</v>
      </c>
      <c r="B116" s="268" t="s">
        <v>204</v>
      </c>
      <c r="C116" s="608">
        <v>0</v>
      </c>
      <c r="D116" s="594">
        <v>0</v>
      </c>
      <c r="E116" s="608">
        <f>('R2_Hydro_MEFA'!F20*1000*'CO2-Eq. invisble'!F7/('R2_MEFA'!C5*1000))+('R2_Hydro_MEFA'!I21*'CO2-Eq. invisble'!F40/1000/('R2_MEFA'!C5*1000))</f>
        <v>4.2013958889028473E-2</v>
      </c>
      <c r="F116" s="594">
        <v>0</v>
      </c>
      <c r="G116" s="608">
        <v>0</v>
      </c>
      <c r="H116" s="594">
        <v>0</v>
      </c>
    </row>
    <row r="117" spans="1:8" x14ac:dyDescent="0.3">
      <c r="A117" s="1076"/>
      <c r="B117" s="121" t="s">
        <v>205</v>
      </c>
      <c r="C117" s="609">
        <v>0</v>
      </c>
      <c r="D117" s="497">
        <v>0</v>
      </c>
      <c r="E117" s="609">
        <f>('R2_Hydro_MEFA'!I28*'CO2-Eq. invisble'!F40/1000/('R2_MEFA'!C5*1000))</f>
        <v>1.5992502002159575E-3</v>
      </c>
      <c r="F117" s="497">
        <v>0</v>
      </c>
      <c r="G117" s="610">
        <v>0</v>
      </c>
      <c r="H117" s="498">
        <v>0</v>
      </c>
    </row>
    <row r="118" spans="1:8" x14ac:dyDescent="0.3">
      <c r="A118" s="1076"/>
      <c r="B118" s="121" t="s">
        <v>206</v>
      </c>
      <c r="C118" s="609">
        <v>0</v>
      </c>
      <c r="D118" s="497">
        <v>0</v>
      </c>
      <c r="E118" s="609">
        <f>'R2_Hydro_MEFA'!I34*'CO2-Eq. invisble'!F40/1000/('R2_MEFA'!C5*1000)+('R2_Hydro_MEFA'!I41*'CO2-Eq. invisble'!F40/1000/('R2_MEFA'!C5*1000))</f>
        <v>1.2675668844148544E-3</v>
      </c>
      <c r="F118" s="497">
        <f>'R2_Hydro_MEFA'!L42*1000*Substitution!E43*'CO2-Eq. invisble'!F15/('R2_MEFA'!C5*1000)</f>
        <v>0.87337277450311213</v>
      </c>
      <c r="G118" s="610">
        <v>0</v>
      </c>
      <c r="H118" s="498">
        <v>0</v>
      </c>
    </row>
    <row r="119" spans="1:8" x14ac:dyDescent="0.3">
      <c r="A119" s="1076"/>
      <c r="B119" t="s">
        <v>207</v>
      </c>
      <c r="C119" s="610">
        <v>0</v>
      </c>
      <c r="D119" s="498">
        <v>0</v>
      </c>
      <c r="E119" s="609">
        <f>(('R2_Hydro_MEFA'!I48+'R2_Hydro_MEFA'!I54)*'CO2-Eq. invisble'!F40/1000/('R2_MEFA'!C5*1000))+('R2_Hydro_MEFA'!F47*1000*'CO2-Eq. invisble'!F25/('R2_MEFA'!C5*1000))</f>
        <v>5.0671516643821125E-3</v>
      </c>
      <c r="F119" s="497">
        <f>'R2_Hydro_MEFA'!L55*1000*Substitution!E44*'CO2-Eq. invisble'!F14/('R2_MEFA'!C5*1000)</f>
        <v>9.3728083859098317E-3</v>
      </c>
      <c r="G119" s="610">
        <v>0</v>
      </c>
      <c r="H119" s="498">
        <v>0</v>
      </c>
    </row>
    <row r="120" spans="1:8" x14ac:dyDescent="0.3">
      <c r="A120" s="1076"/>
      <c r="B120" t="s">
        <v>208</v>
      </c>
      <c r="C120" s="610">
        <v>0</v>
      </c>
      <c r="D120" s="498">
        <v>0</v>
      </c>
      <c r="E120" s="609">
        <f>('R2_Hydro_MEFA'!F61*1000*'CO2-Eq. invisble'!F9/('R2_MEFA'!C5*1000))+('R2_Hydro_MEFA'!I63*'CO2-Eq. invisble'!F40/1000/('R2_MEFA'!C5*1000))</f>
        <v>9.6808102263154158E-2</v>
      </c>
      <c r="F120" s="497">
        <v>0</v>
      </c>
      <c r="G120" s="610">
        <v>0</v>
      </c>
      <c r="H120" s="498">
        <v>0</v>
      </c>
    </row>
    <row r="121" spans="1:8" x14ac:dyDescent="0.3">
      <c r="A121" s="1076"/>
      <c r="B121" t="s">
        <v>209</v>
      </c>
      <c r="C121" s="610">
        <v>0</v>
      </c>
      <c r="D121" s="498">
        <v>0</v>
      </c>
      <c r="E121" s="609">
        <f>('R2_Hydro_MEFA'!F69*1000*'CO2-Eq. invisble'!F8/('R2_MEFA'!C5*1000))+(('R2_Hydro_MEFA'!I70+'R2_Hydro_MEFA'!I76)*'CO2-Eq. invisble'!F40/1000/('R2_MEFA'!C5*1000))</f>
        <v>0.55170398296502676</v>
      </c>
      <c r="F121" s="497">
        <f>('R2_Hydro_MEFA'!L79*1000*Substitution!E45*'CO2-Eq. invisble'!F25/9.98/('R2_MEFA'!C5*1000))+('R2_Hydro_MEFA'!L80*1000*Substitution!E46*'CO2-Eq. invisble'!F13/('R2_MEFA'!C5*1000))</f>
        <v>1.8904990984224684E-3</v>
      </c>
      <c r="G121" s="609">
        <v>0</v>
      </c>
      <c r="H121" s="497">
        <v>0</v>
      </c>
    </row>
    <row r="122" spans="1:8" x14ac:dyDescent="0.3">
      <c r="A122" s="1076"/>
      <c r="B122" s="743" t="s">
        <v>1034</v>
      </c>
      <c r="C122" s="610">
        <v>0</v>
      </c>
      <c r="D122" s="498">
        <v>0</v>
      </c>
      <c r="E122" s="609">
        <f>('R2_Hydro_MEFA'!F86*1000*'CO2-Eq. invisble'!F12/('R2_MEFA'!C5*1000))+(('R2_Hydro_MEFA'!I87+'R2_Hydro_MEFA'!I96+'R2_Hydro_MEFA'!I102)*'CO2-Eq. invisble'!F40/1000/('R2_MEFA'!C5*1000))+('R2_Hydro_MEFA'!F101*1000*'CO2-Eq. invisble'!F7/('R2_MEFA'!C5*1000))</f>
        <v>3.2219257312132523E-3</v>
      </c>
      <c r="F122" s="497">
        <v>0</v>
      </c>
      <c r="G122" s="609">
        <v>0</v>
      </c>
      <c r="H122" s="497">
        <v>0</v>
      </c>
    </row>
    <row r="123" spans="1:8" x14ac:dyDescent="0.3">
      <c r="A123" s="1076"/>
      <c r="B123" s="261" t="s">
        <v>471</v>
      </c>
      <c r="C123" s="610">
        <v>0</v>
      </c>
      <c r="D123" s="498">
        <v>0</v>
      </c>
      <c r="E123" s="609">
        <f>('R2_Hydro_MEFA'!F112*1000*'CO2-Eq. invisble'!F12/('R2_MEFA'!C5*1000))+(('R2_Hydro_MEFA'!I113+'R2_Hydro_MEFA'!I121+'R2_Hydro_MEFA'!I127)*'CO2-Eq. invisble'!F40/1000/('R2_MEFA'!C5*1000))+('R2_Hydro_MEFA'!F126*1000*'CO2-Eq. invisble'!F7/('R2_MEFA'!C5*1000))</f>
        <v>1.302556765087805E-3</v>
      </c>
      <c r="F123" s="497">
        <v>0</v>
      </c>
      <c r="G123" s="609">
        <v>0</v>
      </c>
      <c r="H123" s="497">
        <v>0</v>
      </c>
    </row>
    <row r="124" spans="1:8" x14ac:dyDescent="0.3">
      <c r="A124" s="1076"/>
      <c r="B124" s="121" t="s">
        <v>194</v>
      </c>
      <c r="C124" s="610">
        <v>0</v>
      </c>
      <c r="D124" s="498">
        <v>0</v>
      </c>
      <c r="E124" s="609">
        <f>('R2_Hydro_MEFA'!I135*'CO2-Eq. invisble'!F40/1000/('R2_MEFA'!C5*1000))</f>
        <v>4.2650393898794658E-2</v>
      </c>
      <c r="F124" s="497">
        <f>'R2_Hydro_MEFA'!L136*1000*Substitution!E47*'CO2-Eq. invisble'!F17/('R2_MEFA'!C5*1000)</f>
        <v>1.6862960787465304</v>
      </c>
      <c r="G124" s="609">
        <v>0</v>
      </c>
      <c r="H124" s="497">
        <v>0</v>
      </c>
    </row>
    <row r="125" spans="1:8" x14ac:dyDescent="0.3">
      <c r="A125" s="1076"/>
      <c r="B125" t="s">
        <v>195</v>
      </c>
      <c r="C125" s="610">
        <v>0</v>
      </c>
      <c r="D125" s="498">
        <v>0</v>
      </c>
      <c r="E125" s="609">
        <f>('R2_Hydro_MEFA'!I141*'CO2-Eq. invisble'!F40/1000/('R2_MEFA'!C5*1000))</f>
        <v>2.8151445569929375E-2</v>
      </c>
      <c r="F125" s="497">
        <f>'R2_Hydro_MEFA'!L142*1000*Substitution!E48*'CO2-Eq. invisble'!F19/('R2_MEFA'!C5*1000)</f>
        <v>3.444653346540377</v>
      </c>
      <c r="G125" s="609">
        <v>0</v>
      </c>
      <c r="H125" s="497">
        <v>0</v>
      </c>
    </row>
    <row r="126" spans="1:8" x14ac:dyDescent="0.3">
      <c r="A126" s="1076"/>
      <c r="B126" s="261" t="s">
        <v>394</v>
      </c>
      <c r="C126" s="610">
        <v>0</v>
      </c>
      <c r="D126" s="498">
        <v>0</v>
      </c>
      <c r="E126" s="609">
        <f>('R2_Hydro_MEFA'!F149*1000*'CO2-Eq. invisble'!F12/('R2_MEFA'!C5*1000)+(('R2_Hydro_MEFA'!I150+'R2_Hydro_MEFA'!I157+'R2_Hydro_MEFA'!I163)*'CO2-Eq. invisble'!F40/1000/('R2_MEFA'!C5*1000))+('R2_Hydro_MEFA'!F162*1000*'CO2-Eq. invisble'!F7/('R2_MEFA'!C5*1000)))</f>
        <v>2.6131244329446247E-3</v>
      </c>
      <c r="F126" s="497">
        <v>0</v>
      </c>
      <c r="G126" s="609">
        <v>0</v>
      </c>
      <c r="H126" s="497">
        <v>0</v>
      </c>
    </row>
    <row r="127" spans="1:8" x14ac:dyDescent="0.3">
      <c r="A127" s="1076"/>
      <c r="B127" s="121" t="s">
        <v>200</v>
      </c>
      <c r="C127" s="610">
        <v>0</v>
      </c>
      <c r="D127" s="498">
        <v>0</v>
      </c>
      <c r="E127" s="609">
        <f>('R2_Hydro_MEFA'!I171*'CO2-Eq. invisble'!F40/1000/('R2_MEFA'!C5*1000))</f>
        <v>1.8044463772534342E-2</v>
      </c>
      <c r="F127" s="497">
        <f>'R2_Hydro_MEFA'!L172*1000*Substitution!E49*'CO2-Eq. invisble'!F16/('R2_MEFA'!C5*1000)</f>
        <v>6.0605582609592291E-2</v>
      </c>
      <c r="G127" s="609">
        <v>0</v>
      </c>
      <c r="H127" s="497">
        <v>0</v>
      </c>
    </row>
    <row r="128" spans="1:8" x14ac:dyDescent="0.3">
      <c r="A128" s="1076"/>
      <c r="B128" t="s">
        <v>201</v>
      </c>
      <c r="C128" s="610">
        <v>0</v>
      </c>
      <c r="D128" s="498">
        <v>0</v>
      </c>
      <c r="E128" s="609">
        <f>('R2_Hydro_MEFA'!I178*'CO2-Eq. invisble'!F40/1000/('R2_MEFA'!C5*1000))</f>
        <v>0.14663058301729096</v>
      </c>
      <c r="F128" s="497">
        <v>0</v>
      </c>
      <c r="G128" s="609">
        <v>0</v>
      </c>
      <c r="H128" s="497">
        <v>0</v>
      </c>
    </row>
    <row r="129" spans="1:20" ht="15" thickBot="1" x14ac:dyDescent="0.35">
      <c r="A129" s="1076"/>
      <c r="B129" t="s">
        <v>202</v>
      </c>
      <c r="C129" s="610">
        <v>0</v>
      </c>
      <c r="D129" s="498">
        <v>0</v>
      </c>
      <c r="E129" s="609">
        <f>('R2_Hydro_MEFA'!F185*1000*'CO2-Eq. invisble'!F35/('R2_MEFA'!C5*1000))+(('R2_Hydro_MEFA'!I186+'R2_Hydro_MEFA'!I192)*'CO2-Eq. invisble'!F40/1000/('R2_MEFA'!C5*1000))</f>
        <v>2.8914694086415227E-2</v>
      </c>
      <c r="F129" s="497">
        <f>'R2_Hydro_MEFA'!L193*1000*Substitution!E50*'CO2-Eq. invisble'!F21/('R2_MEFA'!C5*1000)</f>
        <v>0.51200686423431929</v>
      </c>
      <c r="G129" s="609">
        <v>0</v>
      </c>
      <c r="H129" s="497">
        <v>0</v>
      </c>
    </row>
    <row r="130" spans="1:20" x14ac:dyDescent="0.3">
      <c r="A130" s="1075" t="s">
        <v>210</v>
      </c>
      <c r="B130" s="746" t="s">
        <v>204</v>
      </c>
      <c r="C130" s="613">
        <v>0</v>
      </c>
      <c r="D130" s="596">
        <v>0</v>
      </c>
      <c r="E130" s="613">
        <v>0</v>
      </c>
      <c r="F130" s="596">
        <v>0</v>
      </c>
      <c r="G130" s="608">
        <f>('R3_Hydro_MEFA'!I17*'CO2-Eq. invisble'!F40/1000/('R3_MEFA'!C5*1000))+('R3_Hydro_MEFA'!F16*1000*'CO2-Eq. invisble'!F7/('R3_MEFA'!C5*1000))</f>
        <v>2.4842436414521565E-2</v>
      </c>
      <c r="H130" s="594">
        <v>0</v>
      </c>
    </row>
    <row r="131" spans="1:20" x14ac:dyDescent="0.3">
      <c r="A131" s="1089"/>
      <c r="B131" s="704" t="s">
        <v>205</v>
      </c>
      <c r="C131" s="610">
        <v>0</v>
      </c>
      <c r="D131" s="498">
        <v>0</v>
      </c>
      <c r="E131" s="610">
        <v>0</v>
      </c>
      <c r="F131" s="498">
        <v>0</v>
      </c>
      <c r="G131" s="609">
        <f>('R3_Hydro_MEFA'!I24*'CO2-Eq. invisble'!F40/1000/('R3_MEFA'!C5*1000))</f>
        <v>9.5848889160362293E-4</v>
      </c>
      <c r="H131" s="497">
        <v>0</v>
      </c>
    </row>
    <row r="132" spans="1:20" x14ac:dyDescent="0.3">
      <c r="A132" s="1089"/>
      <c r="B132" s="745" t="s">
        <v>211</v>
      </c>
      <c r="C132" s="610">
        <v>0</v>
      </c>
      <c r="D132" s="498">
        <v>0</v>
      </c>
      <c r="E132" s="610">
        <v>0</v>
      </c>
      <c r="F132" s="498">
        <v>0</v>
      </c>
      <c r="G132" s="609">
        <f>('R3_Hydro_MEFA'!F30*1000*'CO2-Eq. invisble'!F25/('R3_MEFA'!C5*1000))+'R3_Hydro_MEFA'!I31*'CO2-Eq. invisble'!F40/1000/('R3_MEFA'!C5*1000)</f>
        <v>2.1571411284226133E-3</v>
      </c>
      <c r="H132" s="497">
        <v>0</v>
      </c>
    </row>
    <row r="133" spans="1:20" x14ac:dyDescent="0.3">
      <c r="A133" s="1089"/>
      <c r="B133" s="704" t="s">
        <v>212</v>
      </c>
      <c r="C133" s="610">
        <v>0</v>
      </c>
      <c r="D133" s="498">
        <v>0</v>
      </c>
      <c r="E133" s="610">
        <v>0</v>
      </c>
      <c r="F133" s="498">
        <v>0</v>
      </c>
      <c r="G133" s="609">
        <f>('R3_Hydro_MEFA'!I37*'CO2-Eq. invisble'!F40/1000/('R3_MEFA'!C5*1000))</f>
        <v>7.3925260974114953E-4</v>
      </c>
      <c r="H133" s="497">
        <f>'R3_Hydro_MEFA'!L38*1000*Substitution!E14*'CO2-Eq. invisble'!F14/('R3_MEFA'!C5*1000)</f>
        <v>3.7020660586532302E-3</v>
      </c>
      <c r="O133" s="713"/>
      <c r="P133" s="713"/>
      <c r="Q133" s="713"/>
      <c r="R133" s="713"/>
      <c r="S133" s="713"/>
      <c r="T133" s="713"/>
    </row>
    <row r="134" spans="1:20" x14ac:dyDescent="0.3">
      <c r="A134" s="1089"/>
      <c r="B134" s="704" t="s">
        <v>346</v>
      </c>
      <c r="C134" s="610">
        <v>0</v>
      </c>
      <c r="D134" s="498">
        <v>0</v>
      </c>
      <c r="E134" s="610">
        <v>0</v>
      </c>
      <c r="F134" s="498">
        <v>0</v>
      </c>
      <c r="G134" s="609">
        <f>('R3_Hydro_MEFA'!F45*1000*'CO2-Eq. invisble'!F9/('R3_MEFA'!C5*1000))+('R3_Hydro_MEFA'!I46*'CO2-Eq. invisble'!F40/1000/('R3_MEFA'!C5*1000))</f>
        <v>5.5089318231372218E-2</v>
      </c>
      <c r="H134" s="497">
        <v>0</v>
      </c>
    </row>
    <row r="135" spans="1:20" x14ac:dyDescent="0.3">
      <c r="A135" s="1089"/>
      <c r="B135" s="704" t="s">
        <v>1031</v>
      </c>
      <c r="C135" s="610">
        <v>0</v>
      </c>
      <c r="D135" s="498">
        <v>0</v>
      </c>
      <c r="E135" s="610">
        <v>0</v>
      </c>
      <c r="F135" s="498">
        <v>0</v>
      </c>
      <c r="G135" s="609">
        <f>(('R3_Hydro_MEFA'!I53+'R3_Hydro_MEFA'!I59)*'CO2-Eq. invisble'!F40/1000/('R3_MEFA'!C5*1000))+('R3_Hydro_MEFA'!F52*1000*'CO2-Eq. invisble'!F8/('R3_MEFA'!C5*1000))</f>
        <v>0.33145708729683154</v>
      </c>
      <c r="H135" s="497">
        <f>'R3_Hydro_MEFA'!L62*1000*Substitution!E20*'CO2-Eq. invisble'!F25/9.98/('R3_MEFA'!C5*1000)</f>
        <v>1.7602534265684415E-4</v>
      </c>
    </row>
    <row r="136" spans="1:20" x14ac:dyDescent="0.3">
      <c r="A136" s="1089"/>
      <c r="B136" s="704" t="s">
        <v>471</v>
      </c>
      <c r="C136" s="610">
        <v>0</v>
      </c>
      <c r="D136" s="498">
        <v>0</v>
      </c>
      <c r="E136" s="610">
        <v>0</v>
      </c>
      <c r="F136" s="498">
        <v>0</v>
      </c>
      <c r="G136" s="609">
        <f>('R3_Hydro_MEFA'!F68*1000*'CO2-Eq. invisble'!F12/('R3_MEFA'!C5*1000))+(('R3_Hydro_MEFA'!I69+'R3_Hydro_MEFA'!I77+'R3_Hydro_MEFA'!I83)*'CO2-Eq. invisble'!F40/1000/('R3_MEFA'!C5*1000))+('R3_Hydro_MEFA'!F82*1000*'CO2-Eq. invisble'!F7/('R3_MEFA'!C5*1000))</f>
        <v>1.8296180969169986E-3</v>
      </c>
      <c r="H136" s="497">
        <v>0</v>
      </c>
    </row>
    <row r="137" spans="1:20" x14ac:dyDescent="0.3">
      <c r="A137" s="1089"/>
      <c r="B137" s="704" t="s">
        <v>194</v>
      </c>
      <c r="C137" s="610">
        <v>0</v>
      </c>
      <c r="D137" s="498">
        <v>0</v>
      </c>
      <c r="E137" s="610">
        <v>0</v>
      </c>
      <c r="F137" s="498">
        <v>0</v>
      </c>
      <c r="G137" s="609">
        <f>('R3_Hydro_MEFA'!I91*'CO2-Eq. invisble'!F40/1000/('R3_MEFA'!C5*1000))</f>
        <v>0.17888330599678609</v>
      </c>
      <c r="H137" s="497">
        <f>'R3_Hydro_MEFA'!L92*1000*Substitution!E16*'CO2-Eq. invisble'!F17/('R3_MEFA'!C5*1000)</f>
        <v>1.7734914731619036</v>
      </c>
    </row>
    <row r="138" spans="1:20" ht="15" thickBot="1" x14ac:dyDescent="0.35">
      <c r="A138" s="1090"/>
      <c r="B138" s="705" t="s">
        <v>195</v>
      </c>
      <c r="C138" s="611">
        <v>0</v>
      </c>
      <c r="D138" s="597">
        <v>0</v>
      </c>
      <c r="E138" s="611">
        <v>0</v>
      </c>
      <c r="F138" s="597">
        <v>0</v>
      </c>
      <c r="G138" s="616">
        <f>('R3_Hydro_MEFA'!I97*'CO2-Eq. invisble'!F40/1000/('R3_MEFA'!C5*1000))</f>
        <v>3.4181947330778513E-2</v>
      </c>
      <c r="H138" s="592">
        <f>'R3_Hydro_MEFA'!L98*1000*Substitution!E17*'CO2-Eq. invisble'!F19/('R3_MEFA'!C5*1000)</f>
        <v>3.5854221449467616</v>
      </c>
    </row>
    <row r="139" spans="1:20" x14ac:dyDescent="0.3">
      <c r="A139" s="1075" t="s">
        <v>213</v>
      </c>
      <c r="B139" s="267" t="s">
        <v>1016</v>
      </c>
      <c r="C139" s="613">
        <v>0</v>
      </c>
      <c r="D139" s="596">
        <v>0</v>
      </c>
      <c r="E139" s="613">
        <v>0</v>
      </c>
      <c r="F139" s="596">
        <v>0</v>
      </c>
      <c r="G139" s="608">
        <f>('R3_Hydro_MEFA'!I115*'CO2-Eq. invisble'!F40/1000/('R3_MEFA'!C5*1000))+('R3_Hydro_MEFA'!F114*1000*'CO2-Eq. invisble'!F7/('R3_MEFA'!C5*1000))</f>
        <v>0</v>
      </c>
      <c r="H139" s="594">
        <v>0</v>
      </c>
    </row>
    <row r="140" spans="1:20" x14ac:dyDescent="0.3">
      <c r="A140" s="1089"/>
      <c r="B140" s="744" t="s">
        <v>1017</v>
      </c>
      <c r="C140" s="610">
        <v>0</v>
      </c>
      <c r="D140" s="498">
        <v>0</v>
      </c>
      <c r="E140" s="610">
        <v>0</v>
      </c>
      <c r="F140" s="498">
        <v>0</v>
      </c>
      <c r="G140" s="609">
        <f>('R3_Hydro_MEFA'!I122*'CO2-Eq. invisble'!F40/1000/('R3_MEFA'!C5*1000))</f>
        <v>0</v>
      </c>
      <c r="H140" s="497">
        <v>0</v>
      </c>
    </row>
    <row r="141" spans="1:20" x14ac:dyDescent="0.3">
      <c r="A141" s="1089"/>
      <c r="B141" s="286" t="s">
        <v>1028</v>
      </c>
      <c r="C141" s="610">
        <v>0</v>
      </c>
      <c r="D141" s="498">
        <v>0</v>
      </c>
      <c r="E141" s="610">
        <v>0</v>
      </c>
      <c r="F141" s="498">
        <v>0</v>
      </c>
      <c r="G141" s="609">
        <f>('R3_Hydro_MEFA'!I128*'CO2-Eq. invisble'!F40/1000/('R3_MEFA'!C5*1000))+('R3_Hydro_MEFA'!L129*1000*'CO2-Eq. invisble'!F39/('R3_MEFA'!C5*1000))</f>
        <v>0</v>
      </c>
      <c r="H141" s="497">
        <f>('R3_Hydro_MEFA'!L130*1000*Substitution!E19*'CO2-Eq. invisble'!F34/('R3_MEFA'!C5*1000))</f>
        <v>0</v>
      </c>
    </row>
    <row r="142" spans="1:20" x14ac:dyDescent="0.3">
      <c r="A142" s="1089"/>
      <c r="B142" s="286" t="s">
        <v>208</v>
      </c>
      <c r="C142" s="610">
        <v>0</v>
      </c>
      <c r="D142" s="498">
        <v>0</v>
      </c>
      <c r="E142" s="610">
        <v>0</v>
      </c>
      <c r="F142" s="498">
        <v>0</v>
      </c>
      <c r="G142" s="609">
        <f>('R3_Hydro_MEFA'!F137*1000*'CO2-Eq. invisble'!F9/('R3_MEFA'!C5*1000))+('R3_Hydro_MEFA'!I138*'CO2-Eq. invisble'!F40/1000/('R3_MEFA'!C5*1000))</f>
        <v>0</v>
      </c>
      <c r="H142" s="497">
        <v>0</v>
      </c>
    </row>
    <row r="143" spans="1:20" x14ac:dyDescent="0.3">
      <c r="A143" s="1089"/>
      <c r="B143" s="286" t="s">
        <v>1138</v>
      </c>
      <c r="C143" s="610">
        <v>0</v>
      </c>
      <c r="D143" s="498">
        <v>0</v>
      </c>
      <c r="E143" s="610">
        <v>0</v>
      </c>
      <c r="F143" s="498">
        <v>0</v>
      </c>
      <c r="G143" s="609">
        <f>(('R3_Hydro_MEFA'!I145+'R3_Hydro_MEFA'!I151)*'CO2-Eq. invisble'!F40/1000/('R3_MEFA'!C5*1000))+('R3_Hydro_MEFA'!F144*1000*'CO2-Eq. invisble'!F8/('R3_MEFA'!C5*1000))</f>
        <v>0</v>
      </c>
      <c r="H143" s="497">
        <f>'R3_Hydro_MEFA'!L152*1000*Substitution!E20*'CO2-Eq. invisble'!F25/9.98/('R3_MEFA'!C5*1000)+('R3_Hydro_MEFA'!L153*1000*Substitution!E20*'CO2-Eq. invisble'!F13/('R3_MEFA'!C5*1000))</f>
        <v>0</v>
      </c>
    </row>
    <row r="144" spans="1:20" ht="15" customHeight="1" x14ac:dyDescent="0.3">
      <c r="A144" s="1089"/>
      <c r="B144" s="286" t="s">
        <v>1021</v>
      </c>
      <c r="C144" s="610">
        <v>0</v>
      </c>
      <c r="D144" s="498">
        <v>0</v>
      </c>
      <c r="E144" s="610">
        <v>0</v>
      </c>
      <c r="F144" s="498">
        <v>0</v>
      </c>
      <c r="G144" s="609">
        <f>(('R3_Hydro_MEFA'!I162+'R3_Hydro_MEFA'!I170+'R3_Hydro_MEFA'!I176)*'CO2-Eq. invisble'!F40/1000/('R3_MEFA'!C5*1000))+('R3_Hydro_MEFA'!F161*1000*'CO2-Eq. invisble'!F12/('R3_MEFA'!C5*1000))+('R3_Hydro_MEFA'!F175*1000*'CO2-Eq. invisble'!F7/('R3_MEFA'!C5*1000))</f>
        <v>0</v>
      </c>
      <c r="H144" s="497">
        <v>0</v>
      </c>
    </row>
    <row r="145" spans="1:23" x14ac:dyDescent="0.3">
      <c r="A145" s="1089"/>
      <c r="B145" s="744" t="s">
        <v>1029</v>
      </c>
      <c r="C145" s="610">
        <v>0</v>
      </c>
      <c r="D145" s="498">
        <v>0</v>
      </c>
      <c r="E145" s="610">
        <v>0</v>
      </c>
      <c r="F145" s="498">
        <v>0</v>
      </c>
      <c r="G145" s="609">
        <f>('R3_Hydro_MEFA'!I184*'CO2-Eq. invisble'!F40/1000/('R3_MEFA'!C5*1000))</f>
        <v>0</v>
      </c>
      <c r="H145" s="497">
        <f>'R3_Hydro_MEFA'!L185*1000*Substitution!E22*'CO2-Eq. invisble'!F16/('R3_MEFA'!C5*1000)</f>
        <v>0</v>
      </c>
    </row>
    <row r="146" spans="1:23" ht="15" thickBot="1" x14ac:dyDescent="0.35">
      <c r="A146" s="1089"/>
      <c r="B146" s="286" t="s">
        <v>1030</v>
      </c>
      <c r="C146" s="610">
        <v>0</v>
      </c>
      <c r="D146" s="498">
        <v>0</v>
      </c>
      <c r="E146" s="610">
        <v>0</v>
      </c>
      <c r="F146" s="498">
        <v>0</v>
      </c>
      <c r="G146" s="609">
        <f>('R3_Hydro_MEFA'!F190*1000*'CO2-Eq. invisble'!F35/('R3_MEFA'!C5*1000))+(('R3_Hydro_MEFA'!I191+'R3_Hydro_MEFA'!I197)*'CO2-Eq. invisble'!F40/1000/('R3_MEFA'!C5*1000))</f>
        <v>0</v>
      </c>
      <c r="H146" s="497">
        <f>'R3_Hydro_MEFA'!L198*1000*Substitution!E23*'CO2-Eq. invisble'!F21/('R3_MEFA'!C5*1000)</f>
        <v>0</v>
      </c>
    </row>
    <row r="147" spans="1:23" x14ac:dyDescent="0.3">
      <c r="A147" s="1091" t="s">
        <v>214</v>
      </c>
      <c r="B147" s="267" t="s">
        <v>215</v>
      </c>
      <c r="C147" s="948">
        <f>('R1_MEFA'!F78*1000*'CO2-Eq. invisble'!F6)/('R1_MEFA'!C5*1000)</f>
        <v>5.4536267618257708E-5</v>
      </c>
      <c r="D147" s="942">
        <v>0</v>
      </c>
      <c r="E147" s="948">
        <f>('R2_MEFA'!F104*1000*'CO2-Eq. invisble'!F6)/('R1_MEFA'!C5*1000)</f>
        <v>1.3933189595251948E-4</v>
      </c>
      <c r="F147" s="942">
        <v>0</v>
      </c>
      <c r="G147" s="948">
        <f>('R3_MEFA'!F125*'CO2-Eq. invisble'!F6)/('R1_MEFA'!C5*1000)</f>
        <v>1.9776647861352925E-8</v>
      </c>
      <c r="H147" s="949">
        <v>0</v>
      </c>
      <c r="I147" t="s">
        <v>216</v>
      </c>
    </row>
    <row r="148" spans="1:23" x14ac:dyDescent="0.3">
      <c r="A148" s="1092"/>
      <c r="B148" s="728" t="s">
        <v>132</v>
      </c>
      <c r="C148" s="943">
        <f>('R1_MEFA'!L87*'CO2-Eq. invisble'!F36)/('R1_MEFA'!C5*1000)</f>
        <v>2.6010833599446115E-4</v>
      </c>
      <c r="D148" s="944">
        <v>0</v>
      </c>
      <c r="E148" s="943">
        <f>('R2_MEFA'!L115*'CO2-Eq. invisble'!F36)/('R1_MEFA'!C5*1000)</f>
        <v>0</v>
      </c>
      <c r="F148" s="944">
        <v>0</v>
      </c>
      <c r="G148" s="950">
        <f>('R3_MEFA'!L134*'CO2-Eq. invisble'!F36)/('R1_MEFA'!C5*1000)</f>
        <v>1.0215506807688641E-4</v>
      </c>
      <c r="H148" s="951">
        <v>0</v>
      </c>
      <c r="I148" t="s">
        <v>217</v>
      </c>
    </row>
    <row r="149" spans="1:23" ht="15" thickBot="1" x14ac:dyDescent="0.35">
      <c r="A149" s="1093"/>
      <c r="B149" s="716" t="s">
        <v>134</v>
      </c>
      <c r="C149" s="945">
        <f>('R1_MEFA'!L78*'CO2-Eq. invisble'!F32)/('R1_MEFA'!C5*1000)</f>
        <v>0</v>
      </c>
      <c r="D149" s="946">
        <v>0</v>
      </c>
      <c r="E149" s="945">
        <f>('R2_MEFA'!L114*'CO2-Eq. invisble'!F32/('R2_MEFA'!C5*1000))</f>
        <v>1.6326531751969348E-4</v>
      </c>
      <c r="F149" s="946">
        <v>0</v>
      </c>
      <c r="G149" s="952">
        <f>('R3_MEFA'!L125*'CO2-Eq. invisble'!F32/('R3_MEFA'!C5*1000))</f>
        <v>0</v>
      </c>
      <c r="H149" s="947">
        <v>0</v>
      </c>
      <c r="J149" s="713"/>
      <c r="K149" s="713"/>
    </row>
    <row r="150" spans="1:23" ht="15" thickBot="1" x14ac:dyDescent="0.35">
      <c r="A150" s="593"/>
      <c r="B150" s="287"/>
      <c r="C150" s="601"/>
      <c r="D150" s="607"/>
      <c r="E150" s="606"/>
      <c r="F150" s="607"/>
      <c r="G150" s="609"/>
      <c r="H150" s="497"/>
    </row>
    <row r="151" spans="1:23" ht="15" thickBot="1" x14ac:dyDescent="0.35">
      <c r="B151" s="669" t="s">
        <v>99</v>
      </c>
      <c r="C151" s="666">
        <f>SUM(C73:C150)</f>
        <v>1.7042247742754149</v>
      </c>
      <c r="D151" s="667">
        <f t="shared" ref="D151:G151" si="8">SUM(D73:D150)</f>
        <v>8.2909292067457159</v>
      </c>
      <c r="E151" s="666">
        <f t="shared" si="8"/>
        <v>1.3986403805205405</v>
      </c>
      <c r="F151" s="667">
        <f t="shared" si="8"/>
        <v>9.4697464250720618</v>
      </c>
      <c r="G151" s="666">
        <f t="shared" si="8"/>
        <v>0.86178201935585741</v>
      </c>
      <c r="H151" s="668">
        <f>SUM(H73:H150)</f>
        <v>8.2655677893168971</v>
      </c>
    </row>
    <row r="152" spans="1:23" ht="15.6" thickTop="1" thickBot="1" x14ac:dyDescent="0.35">
      <c r="B152" s="670" t="s">
        <v>218</v>
      </c>
      <c r="C152" s="1083">
        <f>C151-D151</f>
        <v>-6.5867044324703006</v>
      </c>
      <c r="D152" s="1084"/>
      <c r="E152" s="1085">
        <f>E151-F151</f>
        <v>-8.0711060445515219</v>
      </c>
      <c r="F152" s="1086"/>
      <c r="G152" s="1087">
        <f>G151-H151</f>
        <v>-7.4037857699610399</v>
      </c>
      <c r="H152" s="1088"/>
      <c r="I152" s="297"/>
    </row>
    <row r="153" spans="1:23" ht="15" thickTop="1" x14ac:dyDescent="0.3">
      <c r="D153" s="579"/>
      <c r="F153" s="579"/>
      <c r="H153" s="579"/>
    </row>
    <row r="155" spans="1:23" x14ac:dyDescent="0.3">
      <c r="O155" s="457"/>
      <c r="P155" s="457"/>
      <c r="Q155" s="457"/>
      <c r="R155" s="457"/>
      <c r="S155" s="457"/>
      <c r="T155" s="457"/>
      <c r="U155" s="708"/>
      <c r="V155" s="709"/>
    </row>
    <row r="156" spans="1:23" ht="18" x14ac:dyDescent="0.35">
      <c r="B156" s="290" t="s">
        <v>1161</v>
      </c>
      <c r="C156" s="982" t="s">
        <v>1253</v>
      </c>
      <c r="U156" s="708"/>
    </row>
    <row r="157" spans="1:23" ht="15" thickBot="1" x14ac:dyDescent="0.35">
      <c r="B157" t="s">
        <v>1182</v>
      </c>
      <c r="H157" s="246"/>
      <c r="J157" s="972"/>
      <c r="K157" s="972"/>
      <c r="L157" s="972"/>
      <c r="M157" s="972"/>
      <c r="N157" s="972"/>
      <c r="O157" s="972"/>
      <c r="P157" s="972"/>
      <c r="Q157" s="972"/>
      <c r="R157" s="972"/>
      <c r="S157" s="972"/>
      <c r="T157" s="972"/>
      <c r="U157" s="972"/>
      <c r="V157" s="972"/>
      <c r="W157" s="972"/>
    </row>
    <row r="158" spans="1:23" ht="18" x14ac:dyDescent="0.35">
      <c r="B158" s="746"/>
      <c r="C158" s="1021" t="s">
        <v>101</v>
      </c>
      <c r="D158" s="1020" t="s">
        <v>102</v>
      </c>
      <c r="E158" s="1022" t="s">
        <v>103</v>
      </c>
    </row>
    <row r="159" spans="1:23" x14ac:dyDescent="0.3">
      <c r="B159" s="704" t="s">
        <v>1162</v>
      </c>
      <c r="C159" s="1011">
        <f>C151*'R1_MEFA'!C5</f>
        <v>42605.619356885371</v>
      </c>
      <c r="D159" s="1000">
        <f>E151*'R2_MEFA'!C5</f>
        <v>34966.009513013516</v>
      </c>
      <c r="E159" s="1001">
        <f>G151*'R3_MEFA'!C5</f>
        <v>21544.550483896433</v>
      </c>
      <c r="G159" s="954"/>
      <c r="H159" s="954"/>
    </row>
    <row r="160" spans="1:23" x14ac:dyDescent="0.3">
      <c r="B160" s="704" t="s">
        <v>1205</v>
      </c>
      <c r="C160" s="1012">
        <f>C22/C12+D22/D12+E22/E12+F22/F12+G22/G12+H22/H12+I22/I12</f>
        <v>32179.530078318479</v>
      </c>
      <c r="D160" s="1002">
        <f>C23/C12+D23/D12+E23/E12+F23/F12+G23/G12+H23/H12+I23/I12</f>
        <v>40501.250272304205</v>
      </c>
      <c r="E160" s="1007">
        <f>C24/C12+D24/D12+E24/E12+F24/F12+G24/G12+H24/H12+I24/I12</f>
        <v>34797.244372343986</v>
      </c>
      <c r="G160" s="954"/>
      <c r="H160" s="954"/>
    </row>
    <row r="161" spans="1:8" x14ac:dyDescent="0.3">
      <c r="B161" s="704" t="s">
        <v>1153</v>
      </c>
      <c r="C161" s="1013">
        <f>L22</f>
        <v>12455.662344220396</v>
      </c>
      <c r="D161" s="1003">
        <f>L23</f>
        <v>17936.289159197531</v>
      </c>
      <c r="E161" s="1004">
        <f>L24</f>
        <v>14262.375739545791</v>
      </c>
      <c r="G161" s="998"/>
      <c r="H161" s="954"/>
    </row>
    <row r="162" spans="1:8" x14ac:dyDescent="0.3">
      <c r="B162" s="704"/>
      <c r="C162" s="972"/>
      <c r="D162" s="704"/>
      <c r="E162" s="262"/>
      <c r="G162" s="954"/>
      <c r="H162" s="954"/>
    </row>
    <row r="163" spans="1:8" x14ac:dyDescent="0.3">
      <c r="A163" s="1074" t="s">
        <v>55</v>
      </c>
      <c r="B163" s="704" t="s">
        <v>1165</v>
      </c>
      <c r="C163" s="493">
        <f>C22/C12</f>
        <v>0</v>
      </c>
      <c r="D163" s="997">
        <f>C23/C12</f>
        <v>2950.0231620039035</v>
      </c>
      <c r="E163" s="620">
        <f>C24/C12</f>
        <v>0</v>
      </c>
    </row>
    <row r="164" spans="1:8" x14ac:dyDescent="0.3">
      <c r="A164" s="1074"/>
      <c r="B164" s="704" t="s">
        <v>1206</v>
      </c>
      <c r="C164" s="970">
        <f>C22</f>
        <v>0</v>
      </c>
      <c r="D164" s="978">
        <f>C23</f>
        <v>2950.0231620039035</v>
      </c>
      <c r="E164" s="971">
        <f>C24</f>
        <v>0</v>
      </c>
    </row>
    <row r="165" spans="1:8" x14ac:dyDescent="0.3">
      <c r="A165" s="1074"/>
      <c r="B165" s="704" t="s">
        <v>1207</v>
      </c>
      <c r="C165" s="967">
        <f t="shared" ref="C165:E166" si="9">C163/C160</f>
        <v>0</v>
      </c>
      <c r="D165" s="979">
        <f t="shared" si="9"/>
        <v>7.283782950328338E-2</v>
      </c>
      <c r="E165" s="974">
        <f t="shared" si="9"/>
        <v>0</v>
      </c>
      <c r="F165" t="s">
        <v>1219</v>
      </c>
    </row>
    <row r="166" spans="1:8" x14ac:dyDescent="0.3">
      <c r="A166" s="1074"/>
      <c r="B166" s="975" t="s">
        <v>1208</v>
      </c>
      <c r="C166" s="967">
        <f t="shared" si="9"/>
        <v>0</v>
      </c>
      <c r="D166" s="979">
        <f t="shared" si="9"/>
        <v>0.16447232400304854</v>
      </c>
      <c r="E166" s="974">
        <f t="shared" si="9"/>
        <v>0</v>
      </c>
      <c r="F166" t="s">
        <v>1220</v>
      </c>
    </row>
    <row r="167" spans="1:8" x14ac:dyDescent="0.3">
      <c r="A167" s="1074"/>
      <c r="B167" s="975" t="s">
        <v>1155</v>
      </c>
      <c r="C167" s="1014" t="e">
        <f>C159*C165/C163</f>
        <v>#DIV/0!</v>
      </c>
      <c r="D167" s="994">
        <f>D159*D165/D163</f>
        <v>0.86333160773864237</v>
      </c>
      <c r="E167" s="995" t="e">
        <f>E159*E165/E163</f>
        <v>#DIV/0!</v>
      </c>
    </row>
    <row r="168" spans="1:8" x14ac:dyDescent="0.3">
      <c r="A168" s="1074"/>
      <c r="B168" s="975" t="s">
        <v>1209</v>
      </c>
      <c r="C168" s="1015" t="e">
        <f>C159*C166/C164</f>
        <v>#DIV/0!</v>
      </c>
      <c r="D168" s="989">
        <f>D159*D166/D164</f>
        <v>1.9494561669175214</v>
      </c>
      <c r="E168" s="987" t="e">
        <f>E159*E166/E164</f>
        <v>#DIV/0!</v>
      </c>
    </row>
    <row r="169" spans="1:8" x14ac:dyDescent="0.3">
      <c r="A169" s="628"/>
      <c r="B169" s="704"/>
      <c r="C169" s="972"/>
      <c r="D169" s="704"/>
      <c r="E169" s="262"/>
    </row>
    <row r="170" spans="1:8" x14ac:dyDescent="0.3">
      <c r="A170" s="1074" t="s">
        <v>93</v>
      </c>
      <c r="B170" s="704" t="s">
        <v>1166</v>
      </c>
      <c r="C170" s="493">
        <f>D22/D12</f>
        <v>3169.347029898589</v>
      </c>
      <c r="D170" s="997">
        <f>D23/D12</f>
        <v>2806.1926827227089</v>
      </c>
      <c r="E170" s="620">
        <f>D24/D12</f>
        <v>2920.87022275454</v>
      </c>
    </row>
    <row r="171" spans="1:8" x14ac:dyDescent="0.3">
      <c r="A171" s="1074"/>
      <c r="B171" s="704" t="s">
        <v>1210</v>
      </c>
      <c r="C171" s="970">
        <f>D22</f>
        <v>664.45351439522244</v>
      </c>
      <c r="D171" s="978">
        <f>D23</f>
        <v>588.3182158707699</v>
      </c>
      <c r="E171" s="971">
        <f>D24</f>
        <v>612.36035886663717</v>
      </c>
    </row>
    <row r="172" spans="1:8" x14ac:dyDescent="0.3">
      <c r="A172" s="1074"/>
      <c r="B172" s="975" t="s">
        <v>1173</v>
      </c>
      <c r="C172" s="967">
        <f>C170/C160</f>
        <v>9.8489537360708437E-2</v>
      </c>
      <c r="D172" s="979">
        <f t="shared" ref="D172:E172" si="10">D170/D160</f>
        <v>6.9286569275162732E-2</v>
      </c>
      <c r="E172" s="974">
        <f t="shared" si="10"/>
        <v>8.3939699118128375E-2</v>
      </c>
      <c r="F172" t="s">
        <v>1219</v>
      </c>
    </row>
    <row r="173" spans="1:8" x14ac:dyDescent="0.3">
      <c r="A173" s="1074"/>
      <c r="B173" s="975" t="s">
        <v>1211</v>
      </c>
      <c r="C173" s="967">
        <f>C171/C161</f>
        <v>5.3345498298895226E-2</v>
      </c>
      <c r="D173" s="979">
        <f t="shared" ref="D173:E173" si="11">D171/D161</f>
        <v>3.2800442201227943E-2</v>
      </c>
      <c r="E173" s="974">
        <f t="shared" si="11"/>
        <v>4.2935368556356573E-2</v>
      </c>
      <c r="F173" t="s">
        <v>1220</v>
      </c>
    </row>
    <row r="174" spans="1:8" x14ac:dyDescent="0.3">
      <c r="A174" s="1074"/>
      <c r="B174" s="975" t="s">
        <v>1156</v>
      </c>
      <c r="C174" s="1005">
        <f>C159*C172/C170</f>
        <v>1.3239975615924748</v>
      </c>
      <c r="D174" s="989">
        <f t="shared" ref="D174" si="12">D159*D172/D170</f>
        <v>0.86333160773864237</v>
      </c>
      <c r="E174" s="1006">
        <f>E159*E172/E170</f>
        <v>0.61914530510983579</v>
      </c>
    </row>
    <row r="175" spans="1:8" x14ac:dyDescent="0.3">
      <c r="A175" s="1074"/>
      <c r="B175" s="975" t="s">
        <v>1212</v>
      </c>
      <c r="C175" s="1005">
        <f>C159*C173/C171</f>
        <v>3.4205823969413385</v>
      </c>
      <c r="D175" s="989">
        <f>D159*D173/D171</f>
        <v>1.9494561669175219</v>
      </c>
      <c r="E175" s="1006">
        <f>E159*E173/E171</f>
        <v>1.5105863761644633</v>
      </c>
    </row>
    <row r="176" spans="1:8" x14ac:dyDescent="0.3">
      <c r="A176" s="628"/>
      <c r="B176" s="704"/>
      <c r="C176" s="1016"/>
      <c r="D176" s="704"/>
      <c r="E176" s="262"/>
    </row>
    <row r="177" spans="1:6" x14ac:dyDescent="0.3">
      <c r="A177" s="1074" t="s">
        <v>94</v>
      </c>
      <c r="B177" s="704" t="s">
        <v>1167</v>
      </c>
      <c r="C177" s="575">
        <f>E22/E12</f>
        <v>8979.9224806427319</v>
      </c>
      <c r="D177" s="999">
        <f>E23/E12</f>
        <v>7950.9730297357528</v>
      </c>
      <c r="E177" s="1008">
        <f>E24/E12</f>
        <v>8362.1038139745106</v>
      </c>
    </row>
    <row r="178" spans="1:6" x14ac:dyDescent="0.3">
      <c r="A178" s="1074"/>
      <c r="B178" s="704" t="s">
        <v>1213</v>
      </c>
      <c r="C178" s="970">
        <f>E22</f>
        <v>2005.1999014081391</v>
      </c>
      <c r="D178" s="978">
        <f>E23</f>
        <v>1775.4374127051233</v>
      </c>
      <c r="E178" s="971">
        <f>E24</f>
        <v>1867.2421481912588</v>
      </c>
    </row>
    <row r="179" spans="1:6" x14ac:dyDescent="0.3">
      <c r="A179" s="1074"/>
      <c r="B179" s="975" t="s">
        <v>1174</v>
      </c>
      <c r="C179" s="967">
        <f>C177/C160</f>
        <v>0.27905697997414547</v>
      </c>
      <c r="D179" s="979">
        <f t="shared" ref="D179:E179" si="13">D177/D160</f>
        <v>0.19631426131980009</v>
      </c>
      <c r="E179" s="974">
        <f t="shared" si="13"/>
        <v>0.24030936830792585</v>
      </c>
      <c r="F179" t="s">
        <v>1219</v>
      </c>
    </row>
    <row r="180" spans="1:6" x14ac:dyDescent="0.3">
      <c r="A180" s="1074"/>
      <c r="B180" s="975" t="s">
        <v>1214</v>
      </c>
      <c r="C180" s="967">
        <f>C178/C161</f>
        <v>0.16098701506135321</v>
      </c>
      <c r="D180" s="979">
        <f t="shared" ref="D180:E180" si="14">D178/D161</f>
        <v>9.8985771078222082E-2</v>
      </c>
      <c r="E180" s="974">
        <f t="shared" si="14"/>
        <v>0.13092083551086731</v>
      </c>
      <c r="F180" t="s">
        <v>1220</v>
      </c>
    </row>
    <row r="181" spans="1:6" x14ac:dyDescent="0.3">
      <c r="A181" s="1074"/>
      <c r="B181" s="975" t="s">
        <v>1157</v>
      </c>
      <c r="C181" s="1017">
        <f>C159*C179/C177</f>
        <v>1.3239975615924751</v>
      </c>
      <c r="D181" s="993">
        <f t="shared" ref="D181:E181" si="15">D159*D179/D177</f>
        <v>0.86333160773864226</v>
      </c>
      <c r="E181" s="1009">
        <f t="shared" si="15"/>
        <v>0.61914530510983579</v>
      </c>
    </row>
    <row r="182" spans="1:6" x14ac:dyDescent="0.3">
      <c r="A182" s="1074"/>
      <c r="B182" s="975" t="s">
        <v>1215</v>
      </c>
      <c r="C182" s="1017">
        <f>C159*C180/C178</f>
        <v>3.420582396941338</v>
      </c>
      <c r="D182" s="993">
        <f>D159*D180/D178</f>
        <v>1.9494561669175214</v>
      </c>
      <c r="E182" s="1009">
        <f>E159*E180/E178</f>
        <v>1.5105863761644633</v>
      </c>
    </row>
    <row r="183" spans="1:6" x14ac:dyDescent="0.3">
      <c r="A183" s="628"/>
      <c r="B183" s="704"/>
      <c r="C183" s="972"/>
      <c r="D183" s="704"/>
      <c r="E183" s="262"/>
    </row>
    <row r="184" spans="1:6" x14ac:dyDescent="0.3">
      <c r="A184" s="1074" t="s">
        <v>95</v>
      </c>
      <c r="B184" s="704" t="s">
        <v>1168</v>
      </c>
      <c r="C184" s="493">
        <f>F22/F12</f>
        <v>0</v>
      </c>
      <c r="D184" s="997">
        <f>F23/F12</f>
        <v>1615.2350351720013</v>
      </c>
      <c r="E184" s="620">
        <f>F24/F12</f>
        <v>0</v>
      </c>
    </row>
    <row r="185" spans="1:6" x14ac:dyDescent="0.3">
      <c r="A185" s="1074"/>
      <c r="B185" s="704" t="s">
        <v>1218</v>
      </c>
      <c r="C185" s="970">
        <f>F22</f>
        <v>0</v>
      </c>
      <c r="D185" s="978">
        <f>F23</f>
        <v>303.41673146822819</v>
      </c>
      <c r="E185" s="971">
        <f>F24</f>
        <v>0</v>
      </c>
    </row>
    <row r="186" spans="1:6" x14ac:dyDescent="0.3">
      <c r="A186" s="1074"/>
      <c r="B186" s="975" t="s">
        <v>1175</v>
      </c>
      <c r="C186" s="967">
        <f>C184/C160</f>
        <v>0</v>
      </c>
      <c r="D186" s="979">
        <f t="shared" ref="D186:E186" si="16">D184/D160</f>
        <v>3.9881115380690862E-2</v>
      </c>
      <c r="E186" s="974">
        <f t="shared" si="16"/>
        <v>0</v>
      </c>
      <c r="F186" t="s">
        <v>1219</v>
      </c>
    </row>
    <row r="187" spans="1:6" x14ac:dyDescent="0.3">
      <c r="A187" s="1074"/>
      <c r="B187" s="975" t="s">
        <v>1217</v>
      </c>
      <c r="C187" s="967">
        <f>C185/C161</f>
        <v>0</v>
      </c>
      <c r="D187" s="979">
        <f>D185/D161</f>
        <v>1.6916360389553568E-2</v>
      </c>
      <c r="E187" s="974">
        <f>E185/E161</f>
        <v>0</v>
      </c>
      <c r="F187" t="s">
        <v>1220</v>
      </c>
    </row>
    <row r="188" spans="1:6" x14ac:dyDescent="0.3">
      <c r="A188" s="1074"/>
      <c r="B188" s="975" t="s">
        <v>1154</v>
      </c>
      <c r="C188" s="1014" t="e">
        <f>C159*C186/C184</f>
        <v>#DIV/0!</v>
      </c>
      <c r="D188" s="994">
        <f t="shared" ref="D188:E188" si="17">D159*D186/D184</f>
        <v>0.86333160773864237</v>
      </c>
      <c r="E188" s="995" t="e">
        <f t="shared" si="17"/>
        <v>#DIV/0!</v>
      </c>
    </row>
    <row r="189" spans="1:6" x14ac:dyDescent="0.3">
      <c r="A189" s="1074"/>
      <c r="B189" s="975" t="s">
        <v>1216</v>
      </c>
      <c r="C189" s="1014" t="e">
        <f>C159*C187/C185</f>
        <v>#DIV/0!</v>
      </c>
      <c r="D189" s="994">
        <f>D159*D187/D185</f>
        <v>1.9494561669175217</v>
      </c>
      <c r="E189" s="995" t="e">
        <f>E159*E187/E185</f>
        <v>#DIV/0!</v>
      </c>
    </row>
    <row r="190" spans="1:6" x14ac:dyDescent="0.3">
      <c r="A190" s="628"/>
      <c r="B190" s="704"/>
      <c r="C190" s="972"/>
      <c r="D190" s="704"/>
      <c r="E190" s="262"/>
    </row>
    <row r="191" spans="1:6" x14ac:dyDescent="0.3">
      <c r="A191" s="1074" t="s">
        <v>96</v>
      </c>
      <c r="B191" s="704" t="s">
        <v>1169</v>
      </c>
      <c r="C191" s="493">
        <f>G22/G12</f>
        <v>0</v>
      </c>
      <c r="D191" s="997">
        <f>G23/G12</f>
        <v>1704.6705709446655</v>
      </c>
      <c r="E191" s="620">
        <f>G24/G12</f>
        <v>0</v>
      </c>
    </row>
    <row r="192" spans="1:6" x14ac:dyDescent="0.3">
      <c r="A192" s="1074"/>
      <c r="B192" s="704" t="s">
        <v>1221</v>
      </c>
      <c r="C192" s="970">
        <f>G22</f>
        <v>0</v>
      </c>
      <c r="D192" s="978">
        <f>G23</f>
        <v>554.08393581862003</v>
      </c>
      <c r="E192" s="971">
        <f>G24</f>
        <v>0</v>
      </c>
    </row>
    <row r="193" spans="1:12" x14ac:dyDescent="0.3">
      <c r="A193" s="1074"/>
      <c r="B193" s="975" t="s">
        <v>1176</v>
      </c>
      <c r="C193" s="967">
        <f>C191/C160</f>
        <v>0</v>
      </c>
      <c r="D193" s="979">
        <f t="shared" ref="D193:E193" si="18">D191/D160</f>
        <v>4.2089332044901416E-2</v>
      </c>
      <c r="E193" s="974">
        <f t="shared" si="18"/>
        <v>0</v>
      </c>
      <c r="F193" t="s">
        <v>1219</v>
      </c>
    </row>
    <row r="194" spans="1:12" x14ac:dyDescent="0.3">
      <c r="A194" s="1074"/>
      <c r="B194" s="975" t="s">
        <v>1222</v>
      </c>
      <c r="C194" s="967">
        <f>C192/C161</f>
        <v>0</v>
      </c>
      <c r="D194" s="979">
        <f t="shared" ref="D194:E194" si="19">D192/D161</f>
        <v>3.0891782068226299E-2</v>
      </c>
      <c r="E194" s="974">
        <f t="shared" si="19"/>
        <v>0</v>
      </c>
      <c r="F194" t="s">
        <v>1220</v>
      </c>
    </row>
    <row r="195" spans="1:12" x14ac:dyDescent="0.3">
      <c r="A195" s="1074"/>
      <c r="B195" s="975" t="s">
        <v>1158</v>
      </c>
      <c r="C195" s="1014" t="e">
        <f>C159*C193/C191</f>
        <v>#DIV/0!</v>
      </c>
      <c r="D195" s="994">
        <f t="shared" ref="D195:E195" si="20">D159*D193/D191</f>
        <v>0.86333160773864237</v>
      </c>
      <c r="E195" s="995" t="e">
        <f t="shared" si="20"/>
        <v>#DIV/0!</v>
      </c>
    </row>
    <row r="196" spans="1:12" x14ac:dyDescent="0.3">
      <c r="A196" s="1074"/>
      <c r="B196" s="975" t="s">
        <v>1223</v>
      </c>
      <c r="C196" s="1014" t="e">
        <f>C159*C194/C192</f>
        <v>#DIV/0!</v>
      </c>
      <c r="D196" s="994">
        <f>D159*D194/D192</f>
        <v>1.9494561669175217</v>
      </c>
      <c r="E196" s="995" t="e">
        <f>E159*E194/E192</f>
        <v>#DIV/0!</v>
      </c>
    </row>
    <row r="197" spans="1:12" x14ac:dyDescent="0.3">
      <c r="A197" s="628"/>
      <c r="B197" s="704"/>
      <c r="C197" s="972"/>
      <c r="D197" s="704"/>
      <c r="E197" s="262"/>
    </row>
    <row r="198" spans="1:12" x14ac:dyDescent="0.3">
      <c r="A198" s="1074" t="s">
        <v>1036</v>
      </c>
      <c r="B198" s="704" t="s">
        <v>1170</v>
      </c>
      <c r="C198" s="970">
        <f>'R1_MEFA'!L67+'R1_MEFA'!L81</f>
        <v>6253.8972023422257</v>
      </c>
      <c r="D198" s="978">
        <f>'R2_MEFA'!L94+'R2_MEFA'!L108</f>
        <v>7422.3389621626438</v>
      </c>
      <c r="E198" s="971">
        <f>('R3_MEFA'!L114+'R3_MEFA'!L128)</f>
        <v>7414.0200390370856</v>
      </c>
    </row>
    <row r="199" spans="1:12" x14ac:dyDescent="0.3">
      <c r="A199" s="1074"/>
      <c r="B199" s="704" t="s">
        <v>1224</v>
      </c>
      <c r="C199" s="970">
        <f>H22</f>
        <v>6253.8972023422257</v>
      </c>
      <c r="D199" s="978">
        <f>H23</f>
        <v>7398.9854451057454</v>
      </c>
      <c r="E199" s="971">
        <f>H24</f>
        <v>7414.0200390370856</v>
      </c>
    </row>
    <row r="200" spans="1:12" x14ac:dyDescent="0.3">
      <c r="A200" s="1074"/>
      <c r="B200" s="975" t="s">
        <v>1177</v>
      </c>
      <c r="C200" s="967">
        <f>C198/C160</f>
        <v>0.19434395676759425</v>
      </c>
      <c r="D200" s="979">
        <f>D198/D160</f>
        <v>0.18326197122952104</v>
      </c>
      <c r="E200" s="974">
        <f t="shared" ref="E200" si="21">E198/E160</f>
        <v>0.21306342420980814</v>
      </c>
      <c r="F200" t="s">
        <v>1219</v>
      </c>
      <c r="G200" s="246"/>
    </row>
    <row r="201" spans="1:12" x14ac:dyDescent="0.3">
      <c r="A201" s="1074"/>
      <c r="B201" s="975" t="s">
        <v>1225</v>
      </c>
      <c r="C201" s="967">
        <f>C199/C161</f>
        <v>0.50209270527023575</v>
      </c>
      <c r="D201" s="979">
        <f t="shared" ref="D201:E201" si="22">D199/D161</f>
        <v>0.41251483957659252</v>
      </c>
      <c r="E201" s="974">
        <f t="shared" si="22"/>
        <v>0.51983064914493671</v>
      </c>
      <c r="F201" t="s">
        <v>1220</v>
      </c>
    </row>
    <row r="202" spans="1:12" x14ac:dyDescent="0.3">
      <c r="A202" s="1074"/>
      <c r="B202" s="975" t="s">
        <v>1159</v>
      </c>
      <c r="C202" s="1005">
        <f>C159*C200/C198</f>
        <v>1.3239975615924748</v>
      </c>
      <c r="D202" s="989">
        <f t="shared" ref="D202:E202" si="23">D159*D200/D198</f>
        <v>0.86333160773864237</v>
      </c>
      <c r="E202" s="1006">
        <f t="shared" si="23"/>
        <v>0.6191453051098359</v>
      </c>
    </row>
    <row r="203" spans="1:12" x14ac:dyDescent="0.3">
      <c r="A203" s="1074"/>
      <c r="B203" s="975" t="s">
        <v>1226</v>
      </c>
      <c r="C203" s="1005">
        <f>C159*C201/C199</f>
        <v>3.4205823969413376</v>
      </c>
      <c r="D203" s="989">
        <f>D159*D201/D199</f>
        <v>1.9494561669175214</v>
      </c>
      <c r="E203" s="1006">
        <f>E159*E201/E199</f>
        <v>1.5105863761644633</v>
      </c>
    </row>
    <row r="204" spans="1:12" x14ac:dyDescent="0.3">
      <c r="A204" s="628"/>
      <c r="B204" s="975"/>
      <c r="C204" s="972"/>
      <c r="D204" s="704"/>
      <c r="E204" s="262"/>
    </row>
    <row r="205" spans="1:12" x14ac:dyDescent="0.3">
      <c r="A205" s="1074" t="s">
        <v>98</v>
      </c>
      <c r="B205" s="704" t="s">
        <v>1171</v>
      </c>
      <c r="C205" s="493">
        <f>I22/I12</f>
        <v>1951.0846237258729</v>
      </c>
      <c r="D205" s="997">
        <f>I23/I12</f>
        <v>2084.6837007156801</v>
      </c>
      <c r="E205" s="620">
        <f>I24/I12</f>
        <v>2081.3352550266754</v>
      </c>
    </row>
    <row r="206" spans="1:12" x14ac:dyDescent="0.3">
      <c r="A206" s="1074"/>
      <c r="B206" s="704" t="s">
        <v>1227</v>
      </c>
      <c r="C206" s="970">
        <f>I22</f>
        <v>1951.0846237258729</v>
      </c>
      <c r="D206" s="978">
        <f>I23</f>
        <v>2084.6837007156801</v>
      </c>
      <c r="E206" s="971">
        <f>I24</f>
        <v>2081.3352550266754</v>
      </c>
    </row>
    <row r="207" spans="1:12" x14ac:dyDescent="0.3">
      <c r="A207" s="1074"/>
      <c r="B207" s="975" t="s">
        <v>1178</v>
      </c>
      <c r="C207" s="967">
        <f>C205/C160</f>
        <v>6.0631234172075443E-2</v>
      </c>
      <c r="D207" s="979">
        <f t="shared" ref="D207:E207" si="24">D205/D160</f>
        <v>5.1472082632008039E-2</v>
      </c>
      <c r="E207" s="974">
        <f t="shared" si="24"/>
        <v>5.9813220631943796E-2</v>
      </c>
      <c r="F207" t="s">
        <v>1219</v>
      </c>
      <c r="L207" t="s">
        <v>1250</v>
      </c>
    </row>
    <row r="208" spans="1:12" x14ac:dyDescent="0.3">
      <c r="A208" s="1074"/>
      <c r="B208" s="975" t="s">
        <v>1228</v>
      </c>
      <c r="C208" s="967">
        <f>C206/C161</f>
        <v>0.15664238238050857</v>
      </c>
      <c r="D208" s="979">
        <f t="shared" ref="D208:E208" si="25">D206/D161</f>
        <v>0.11622714610656672</v>
      </c>
      <c r="E208" s="974">
        <f t="shared" si="25"/>
        <v>0.14593187650046857</v>
      </c>
      <c r="F208" t="s">
        <v>1220</v>
      </c>
    </row>
    <row r="209" spans="1:11" x14ac:dyDescent="0.3">
      <c r="A209" s="1074"/>
      <c r="B209" s="975" t="s">
        <v>1160</v>
      </c>
      <c r="C209" s="1005">
        <f>C159*C207/C205</f>
        <v>1.3239975615924751</v>
      </c>
      <c r="D209" s="989">
        <f t="shared" ref="D209:E209" si="26">D159*D207/D205</f>
        <v>0.86333160773864237</v>
      </c>
      <c r="E209" s="1006">
        <f t="shared" si="26"/>
        <v>0.61914530510983579</v>
      </c>
    </row>
    <row r="210" spans="1:11" x14ac:dyDescent="0.3">
      <c r="A210" s="1074"/>
      <c r="B210" s="975" t="s">
        <v>1229</v>
      </c>
      <c r="C210" s="1005">
        <f>C159*C208/C206</f>
        <v>3.4205823969413385</v>
      </c>
      <c r="D210" s="989">
        <f>D159*D208/D206</f>
        <v>1.9494561669175219</v>
      </c>
      <c r="E210" s="1006">
        <f>E159*E208/E206</f>
        <v>1.5105863761644633</v>
      </c>
    </row>
    <row r="211" spans="1:11" x14ac:dyDescent="0.3">
      <c r="A211" s="628"/>
      <c r="B211" s="704"/>
      <c r="C211" s="972"/>
      <c r="D211" s="704"/>
      <c r="E211" s="262"/>
    </row>
    <row r="212" spans="1:11" x14ac:dyDescent="0.3">
      <c r="A212" s="1074" t="s">
        <v>237</v>
      </c>
      <c r="B212" s="704" t="s">
        <v>1172</v>
      </c>
      <c r="C212" s="493">
        <f>J22+K22/K12+M22/M12</f>
        <v>3689.8540016476636</v>
      </c>
      <c r="D212" s="997">
        <f>J23+K23/K12</f>
        <v>4364.5313860904162</v>
      </c>
      <c r="E212" s="620">
        <f>J24+K24/K12+M24/M12</f>
        <v>4376.1582904613206</v>
      </c>
    </row>
    <row r="213" spans="1:11" x14ac:dyDescent="0.3">
      <c r="A213" s="1074"/>
      <c r="B213" s="704" t="s">
        <v>1230</v>
      </c>
      <c r="C213" s="970">
        <f>L22-SUM(C22:I22)</f>
        <v>1581.0271023489368</v>
      </c>
      <c r="D213" s="978">
        <f>L23-SUM(C23:I23)</f>
        <v>2281.3405555094614</v>
      </c>
      <c r="E213" s="971">
        <f>L24-SUM(C24:I24)</f>
        <v>2287.4179384241324</v>
      </c>
    </row>
    <row r="214" spans="1:11" x14ac:dyDescent="0.3">
      <c r="A214" s="1074"/>
      <c r="B214" s="975" t="s">
        <v>1179</v>
      </c>
      <c r="C214" s="967">
        <f>C212/C160</f>
        <v>0.11466463284787888</v>
      </c>
      <c r="D214" s="979">
        <f t="shared" ref="D214:E214" si="27">D212/D160</f>
        <v>0.10776288032458581</v>
      </c>
      <c r="E214" s="974">
        <f t="shared" si="27"/>
        <v>0.12576163341081645</v>
      </c>
      <c r="F214" t="s">
        <v>1219</v>
      </c>
    </row>
    <row r="215" spans="1:11" x14ac:dyDescent="0.3">
      <c r="A215" s="1074"/>
      <c r="B215" s="975" t="s">
        <v>1231</v>
      </c>
      <c r="C215" s="967">
        <f>C213/C161</f>
        <v>0.12693239898900727</v>
      </c>
      <c r="D215" s="979">
        <f t="shared" ref="D215:E215" si="28">D213/D161</f>
        <v>0.12719133457656234</v>
      </c>
      <c r="E215" s="974">
        <f t="shared" si="28"/>
        <v>0.16038127028737073</v>
      </c>
      <c r="F215" t="s">
        <v>1220</v>
      </c>
    </row>
    <row r="216" spans="1:11" x14ac:dyDescent="0.3">
      <c r="A216" s="1074"/>
      <c r="B216" s="975" t="s">
        <v>1196</v>
      </c>
      <c r="C216" s="1005">
        <f>C159*C214/C212</f>
        <v>1.3239975615924751</v>
      </c>
      <c r="D216" s="989">
        <f>D159*D214/D212</f>
        <v>0.86333160773864237</v>
      </c>
      <c r="E216" s="1006">
        <f t="shared" ref="E216" si="29">E159*E214/E212</f>
        <v>0.61914530510983568</v>
      </c>
    </row>
    <row r="217" spans="1:11" ht="15" thickBot="1" x14ac:dyDescent="0.35">
      <c r="A217" s="1074"/>
      <c r="B217" s="976" t="s">
        <v>1232</v>
      </c>
      <c r="C217" s="1018">
        <f>C159*C215/C213</f>
        <v>3.4205823969413385</v>
      </c>
      <c r="D217" s="996">
        <f>D159*D215/D213</f>
        <v>1.9494561669175214</v>
      </c>
      <c r="E217" s="1010">
        <f>E159*E215/E213</f>
        <v>1.5105863761644633</v>
      </c>
    </row>
    <row r="220" spans="1:11" ht="18" x14ac:dyDescent="0.35">
      <c r="B220" s="290" t="s">
        <v>1161</v>
      </c>
      <c r="C220" s="982" t="s">
        <v>1184</v>
      </c>
    </row>
    <row r="221" spans="1:11" ht="15" thickBot="1" x14ac:dyDescent="0.35">
      <c r="B221" t="s">
        <v>1182</v>
      </c>
      <c r="G221" s="954"/>
      <c r="H221" s="954"/>
      <c r="I221" s="954"/>
      <c r="J221" s="954"/>
      <c r="K221" s="954"/>
    </row>
    <row r="222" spans="1:11" ht="18" x14ac:dyDescent="0.35">
      <c r="B222" s="746"/>
      <c r="C222" s="1019" t="s">
        <v>101</v>
      </c>
      <c r="D222" s="1020" t="s">
        <v>102</v>
      </c>
      <c r="E222" s="1020" t="s">
        <v>103</v>
      </c>
    </row>
    <row r="223" spans="1:11" x14ac:dyDescent="0.3">
      <c r="B223" s="704" t="s">
        <v>1162</v>
      </c>
      <c r="C223" s="968">
        <f>C151*'R1_MEFA'!C5</f>
        <v>42605.619356885371</v>
      </c>
      <c r="D223" s="977">
        <f>E151*'R2_MEFA'!C5</f>
        <v>34966.009513013516</v>
      </c>
      <c r="E223" s="977">
        <f>G151*'R3_MEFA'!C5</f>
        <v>21544.550483896433</v>
      </c>
    </row>
    <row r="224" spans="1:11" x14ac:dyDescent="0.3">
      <c r="B224" s="704" t="s">
        <v>1163</v>
      </c>
      <c r="C224" s="969">
        <f>D64*1000*'R1_MEFA'!C5</f>
        <v>129000324.79907843</v>
      </c>
      <c r="D224" s="978">
        <f>F64*1000*'R2_MEFA'!C5</f>
        <v>144057356.64823654</v>
      </c>
      <c r="E224" s="978">
        <f>H64*1000*'R3_MEFA'!C5</f>
        <v>121341780.56566927</v>
      </c>
    </row>
    <row r="225" spans="1:6" x14ac:dyDescent="0.3">
      <c r="B225" s="704"/>
      <c r="C225" s="261"/>
      <c r="D225" s="704"/>
      <c r="E225" s="704"/>
    </row>
    <row r="226" spans="1:6" x14ac:dyDescent="0.3">
      <c r="A226" s="1073" t="s">
        <v>55</v>
      </c>
      <c r="B226" s="704" t="s">
        <v>1164</v>
      </c>
      <c r="C226" s="969">
        <f>O45</f>
        <v>184.90502793296088</v>
      </c>
      <c r="D226" s="978">
        <f>O45</f>
        <v>184.90502793296088</v>
      </c>
      <c r="E226" s="978">
        <f>O45</f>
        <v>184.90502793296088</v>
      </c>
    </row>
    <row r="227" spans="1:6" x14ac:dyDescent="0.3">
      <c r="A227" s="1073"/>
      <c r="B227" s="975" t="s">
        <v>1183</v>
      </c>
      <c r="C227" s="973">
        <f>(C226*$C$22/$C$12)/C224</f>
        <v>0</v>
      </c>
      <c r="D227" s="979">
        <f>(D226*$C$23/$C$12)/D224</f>
        <v>3.7865064850882133E-3</v>
      </c>
      <c r="E227" s="979">
        <f>(E226*$C$24/$C$12)/E224</f>
        <v>0</v>
      </c>
    </row>
    <row r="228" spans="1:6" x14ac:dyDescent="0.3">
      <c r="A228" s="1073"/>
      <c r="B228" s="975" t="s">
        <v>1155</v>
      </c>
      <c r="C228" s="984" t="e">
        <f>C223*C227/($C22)</f>
        <v>#DIV/0!</v>
      </c>
      <c r="D228" s="989">
        <f>D223*D227/($C23)</f>
        <v>4.4880671949960316E-2</v>
      </c>
      <c r="E228" s="981" t="e">
        <f>E223*E227/($C24)</f>
        <v>#DIV/0!</v>
      </c>
    </row>
    <row r="229" spans="1:6" x14ac:dyDescent="0.3">
      <c r="A229" s="628"/>
      <c r="B229" s="704"/>
      <c r="C229" s="261"/>
      <c r="D229" s="704"/>
      <c r="E229" s="704"/>
    </row>
    <row r="230" spans="1:6" x14ac:dyDescent="0.3">
      <c r="A230" s="1073" t="s">
        <v>93</v>
      </c>
      <c r="B230" s="704" t="s">
        <v>1180</v>
      </c>
      <c r="C230" s="969">
        <f>O35</f>
        <v>17088.181209553157</v>
      </c>
      <c r="D230" s="978">
        <f>O35</f>
        <v>17088.181209553157</v>
      </c>
      <c r="E230" s="978">
        <f>O35</f>
        <v>17088.181209553157</v>
      </c>
    </row>
    <row r="231" spans="1:6" x14ac:dyDescent="0.3">
      <c r="A231" s="1073"/>
      <c r="B231" s="975" t="s">
        <v>1181</v>
      </c>
      <c r="C231" s="973">
        <f>(C230*$D$22/$D$12)/C224</f>
        <v>0.41983131784527933</v>
      </c>
      <c r="D231" s="979">
        <f>(D230*$D$23/$D$12)/D224</f>
        <v>0.33287247653988356</v>
      </c>
      <c r="E231" s="979">
        <f>(E230*$D$24/$D$12)/E224</f>
        <v>0.41133696426191213</v>
      </c>
    </row>
    <row r="232" spans="1:6" x14ac:dyDescent="0.3">
      <c r="A232" s="1073"/>
      <c r="B232" s="975" t="s">
        <v>1156</v>
      </c>
      <c r="C232" s="990">
        <f>C223*C231/($D22)</f>
        <v>26.920127495293958</v>
      </c>
      <c r="D232" s="989">
        <f>D223*D231/($D23)</f>
        <v>19.783888833166117</v>
      </c>
      <c r="E232" s="989">
        <f>E223*E231/($D24)</f>
        <v>14.471985105037627</v>
      </c>
      <c r="F232" t="s">
        <v>1200</v>
      </c>
    </row>
    <row r="233" spans="1:6" x14ac:dyDescent="0.3">
      <c r="A233" s="628"/>
      <c r="B233" s="704"/>
      <c r="C233" s="985"/>
      <c r="D233" s="704"/>
      <c r="E233" s="704"/>
    </row>
    <row r="234" spans="1:6" x14ac:dyDescent="0.3">
      <c r="A234" s="1073" t="s">
        <v>94</v>
      </c>
      <c r="B234" s="704" t="s">
        <v>1204</v>
      </c>
      <c r="C234" s="969">
        <f>O56</f>
        <v>5707.3650616332816</v>
      </c>
      <c r="D234" s="978">
        <f>O56</f>
        <v>5707.3650616332816</v>
      </c>
      <c r="E234" s="978">
        <f>O56</f>
        <v>5707.3650616332816</v>
      </c>
    </row>
    <row r="235" spans="1:6" x14ac:dyDescent="0.3">
      <c r="A235" s="1073"/>
      <c r="B235" s="975" t="s">
        <v>1190</v>
      </c>
      <c r="C235" s="973">
        <f>(C234*$E$22/$E$12)/C224</f>
        <v>0.3972989672857144</v>
      </c>
      <c r="D235" s="979">
        <f>(D234*$E$23/$E$12)/D224</f>
        <v>0.31500720776593433</v>
      </c>
      <c r="E235" s="979">
        <f>(E234*$E$24/$E$12)/E224</f>
        <v>0.39331530266938686</v>
      </c>
    </row>
    <row r="236" spans="1:6" x14ac:dyDescent="0.3">
      <c r="A236" s="1073"/>
      <c r="B236" s="975" t="s">
        <v>1157</v>
      </c>
      <c r="C236" s="990">
        <f>C223*C235/($E22)</f>
        <v>8.4416364469057701</v>
      </c>
      <c r="D236" s="989">
        <f>D223*D235/($E23)</f>
        <v>6.2038486654560856</v>
      </c>
      <c r="E236" s="989">
        <f>E223*E235/($E24)</f>
        <v>4.5381373822661013</v>
      </c>
      <c r="F236" t="s">
        <v>1199</v>
      </c>
    </row>
    <row r="237" spans="1:6" x14ac:dyDescent="0.3">
      <c r="A237" s="628"/>
      <c r="B237" s="704"/>
      <c r="C237" s="261"/>
      <c r="D237" s="704"/>
      <c r="E237" s="704"/>
    </row>
    <row r="238" spans="1:6" x14ac:dyDescent="0.3">
      <c r="A238" s="1073" t="s">
        <v>95</v>
      </c>
      <c r="B238" s="704" t="s">
        <v>1185</v>
      </c>
      <c r="C238" s="969">
        <f>O51</f>
        <v>15296.987827426809</v>
      </c>
      <c r="D238" s="978">
        <f>O51</f>
        <v>15296.987827426809</v>
      </c>
      <c r="E238" s="978">
        <f>O51</f>
        <v>15296.987827426809</v>
      </c>
    </row>
    <row r="239" spans="1:6" x14ac:dyDescent="0.3">
      <c r="A239" s="1073"/>
      <c r="B239" s="975" t="s">
        <v>1191</v>
      </c>
      <c r="C239" s="973">
        <f>(C238*$F$22/$F$12)/C224</f>
        <v>0</v>
      </c>
      <c r="D239" s="979">
        <f>(D238*$F$23/$F$12)/D224</f>
        <v>0.17151661842437313</v>
      </c>
      <c r="E239" s="979">
        <f>(E238*$F$24/$F$12)/E224</f>
        <v>0</v>
      </c>
    </row>
    <row r="240" spans="1:6" x14ac:dyDescent="0.3">
      <c r="A240" s="1073"/>
      <c r="B240" s="975" t="s">
        <v>1154</v>
      </c>
      <c r="C240" s="991" t="e">
        <f>C223*C239/($F22)</f>
        <v>#DIV/0!</v>
      </c>
      <c r="D240" s="992">
        <f>D223*D239/($F23)</f>
        <v>19.765725121505149</v>
      </c>
      <c r="E240" s="992" t="e">
        <f>E223*E239/($F24)</f>
        <v>#DIV/0!</v>
      </c>
      <c r="F240" t="s">
        <v>1197</v>
      </c>
    </row>
    <row r="241" spans="1:6" x14ac:dyDescent="0.3">
      <c r="A241" s="628"/>
      <c r="B241" s="704"/>
      <c r="C241" s="261"/>
      <c r="D241" s="704"/>
      <c r="E241" s="704"/>
    </row>
    <row r="242" spans="1:6" x14ac:dyDescent="0.3">
      <c r="A242" s="1073" t="s">
        <v>96</v>
      </c>
      <c r="B242" s="704" t="s">
        <v>1186</v>
      </c>
      <c r="C242" s="969">
        <f>O52</f>
        <v>1021.8816255778121</v>
      </c>
      <c r="D242" s="978">
        <f>O52</f>
        <v>1021.8816255778121</v>
      </c>
      <c r="E242" s="978">
        <f>O52</f>
        <v>1021.8816255778121</v>
      </c>
    </row>
    <row r="243" spans="1:6" x14ac:dyDescent="0.3">
      <c r="A243" s="1073"/>
      <c r="B243" s="975" t="s">
        <v>1192</v>
      </c>
      <c r="C243" s="973">
        <f>(C242*$G$22/$G$12)/C224</f>
        <v>0</v>
      </c>
      <c r="D243" s="979">
        <f>(D242*$G$23/$G$12)/D224</f>
        <v>1.2092208094343899E-2</v>
      </c>
      <c r="E243" s="979">
        <f>(E242*$G$24/$G$12)/E224</f>
        <v>0</v>
      </c>
    </row>
    <row r="244" spans="1:6" x14ac:dyDescent="0.3">
      <c r="A244" s="1073"/>
      <c r="B244" s="975" t="s">
        <v>1158</v>
      </c>
      <c r="C244" s="990" t="e">
        <f>C223*C243/($G22)</f>
        <v>#DIV/0!</v>
      </c>
      <c r="D244" s="989">
        <f>D223*D243/($G23)</f>
        <v>0.76309063650345055</v>
      </c>
      <c r="E244" s="989" t="e">
        <f>E223*E243/($G24)</f>
        <v>#DIV/0!</v>
      </c>
      <c r="F244" t="s">
        <v>1198</v>
      </c>
    </row>
    <row r="245" spans="1:6" x14ac:dyDescent="0.3">
      <c r="A245" s="628"/>
      <c r="B245" s="704"/>
      <c r="C245" s="261"/>
      <c r="D245" s="704"/>
      <c r="E245" s="704"/>
    </row>
    <row r="246" spans="1:6" x14ac:dyDescent="0.3">
      <c r="A246" s="1073" t="s">
        <v>1036</v>
      </c>
      <c r="B246" s="704" t="s">
        <v>1187</v>
      </c>
      <c r="C246" s="983" t="s">
        <v>1201</v>
      </c>
      <c r="D246" s="988" t="s">
        <v>1201</v>
      </c>
      <c r="E246" s="988" t="s">
        <v>1201</v>
      </c>
      <c r="F246" t="s">
        <v>1202</v>
      </c>
    </row>
    <row r="247" spans="1:6" x14ac:dyDescent="0.3">
      <c r="A247" s="1073"/>
      <c r="B247" s="975" t="s">
        <v>1193</v>
      </c>
      <c r="C247" s="973">
        <f>(('R1_MEFA'!L67*O32)+('R1_MEFA'!L81*O33))/C224</f>
        <v>5.4539663862034446E-2</v>
      </c>
      <c r="D247" s="979">
        <f>(('R2_MEFA'!L94*O32)+('R2_MEFA'!L108*O33))/D224</f>
        <v>5.7799677876324493E-2</v>
      </c>
      <c r="E247" s="979">
        <f>(('R3_MEFA'!L114*O32)+('R3_MEFA'!L128*O33))/C224</f>
        <v>6.4656988708421501E-2</v>
      </c>
    </row>
    <row r="248" spans="1:6" x14ac:dyDescent="0.3">
      <c r="A248" s="1073"/>
      <c r="B248" s="975" t="s">
        <v>1159</v>
      </c>
      <c r="C248" s="990">
        <f>C223*C247/(('R1_MEFA'!L67+'R1_MEFA'!L81*H12))</f>
        <v>0.37155969840502645</v>
      </c>
      <c r="D248" s="990">
        <f>D223*D247/('R2_MEFA'!L94+'R2_MEFA'!L108*H12)</f>
        <v>0.27314881228879007</v>
      </c>
      <c r="E248" s="989">
        <f>E223*E247/('R3_MEFA'!L114+'R3_MEFA'!L128*H12)</f>
        <v>0.1878880485931663</v>
      </c>
      <c r="F248" t="s">
        <v>1203</v>
      </c>
    </row>
    <row r="249" spans="1:6" x14ac:dyDescent="0.3">
      <c r="A249" s="628"/>
      <c r="B249" s="975"/>
      <c r="C249" s="261"/>
      <c r="D249" s="704"/>
      <c r="E249" s="704"/>
    </row>
    <row r="250" spans="1:6" x14ac:dyDescent="0.3">
      <c r="A250" s="1073" t="s">
        <v>98</v>
      </c>
      <c r="B250" s="704" t="s">
        <v>1188</v>
      </c>
      <c r="C250" s="969">
        <f>O50</f>
        <v>6812.9621036349572</v>
      </c>
      <c r="D250" s="978">
        <f>O50</f>
        <v>6812.9621036349572</v>
      </c>
      <c r="E250" s="978">
        <f>O50</f>
        <v>6812.9621036349572</v>
      </c>
    </row>
    <row r="251" spans="1:6" x14ac:dyDescent="0.3">
      <c r="A251" s="1073"/>
      <c r="B251" s="975" t="s">
        <v>1194</v>
      </c>
      <c r="C251" s="973">
        <f>(C250*$I$22/$I$12)/C224</f>
        <v>0.10304365995305001</v>
      </c>
      <c r="D251" s="979">
        <f>(D250*$I$23/$I$12)/D224</f>
        <v>9.8591778868484956E-2</v>
      </c>
      <c r="E251" s="979">
        <f t="shared" ref="E251" si="30">(E250*$I$22/$I$12)/E224</f>
        <v>0.10954730959494492</v>
      </c>
    </row>
    <row r="252" spans="1:6" x14ac:dyDescent="0.3">
      <c r="A252" s="1073"/>
      <c r="B252" s="975" t="s">
        <v>1160</v>
      </c>
      <c r="C252" s="990">
        <f>C223*C251/($I22)</f>
        <v>2.2501530173079822</v>
      </c>
      <c r="D252" s="989">
        <f>D223*D251/($I23)</f>
        <v>1.6536614531196638</v>
      </c>
      <c r="E252" s="989">
        <f>E223*E251/($I24)</f>
        <v>1.1339583741942978</v>
      </c>
    </row>
    <row r="253" spans="1:6" x14ac:dyDescent="0.3">
      <c r="A253" s="628"/>
      <c r="B253" s="704"/>
      <c r="C253" s="261"/>
      <c r="D253" s="704"/>
      <c r="E253" s="704"/>
    </row>
    <row r="254" spans="1:6" x14ac:dyDescent="0.3">
      <c r="A254" s="1073" t="s">
        <v>237</v>
      </c>
      <c r="B254" s="704" t="s">
        <v>1189</v>
      </c>
      <c r="C254" s="969"/>
      <c r="D254" s="978"/>
      <c r="E254" s="978"/>
    </row>
    <row r="255" spans="1:6" x14ac:dyDescent="0.3">
      <c r="A255" s="1073"/>
      <c r="B255" s="975" t="s">
        <v>1195</v>
      </c>
      <c r="C255" s="973"/>
      <c r="D255" s="979"/>
      <c r="E255" s="979"/>
    </row>
    <row r="256" spans="1:6" ht="15" thickBot="1" x14ac:dyDescent="0.35">
      <c r="A256" s="1073"/>
      <c r="B256" s="976" t="s">
        <v>1196</v>
      </c>
      <c r="C256" s="986"/>
      <c r="D256" s="980"/>
      <c r="E256" s="980"/>
    </row>
  </sheetData>
  <mergeCells count="49">
    <mergeCell ref="V67:W67"/>
    <mergeCell ref="E27:F27"/>
    <mergeCell ref="N26:X27"/>
    <mergeCell ref="G27:H27"/>
    <mergeCell ref="C68:D68"/>
    <mergeCell ref="X67:Y67"/>
    <mergeCell ref="A107:A115"/>
    <mergeCell ref="A116:A129"/>
    <mergeCell ref="A147:A149"/>
    <mergeCell ref="O2:R2"/>
    <mergeCell ref="B26:H26"/>
    <mergeCell ref="B2:M2"/>
    <mergeCell ref="B8:M8"/>
    <mergeCell ref="B14:M14"/>
    <mergeCell ref="B20:M20"/>
    <mergeCell ref="C27:D27"/>
    <mergeCell ref="N67:N68"/>
    <mergeCell ref="O67:U67"/>
    <mergeCell ref="A70:A74"/>
    <mergeCell ref="A75:A78"/>
    <mergeCell ref="G68:H68"/>
    <mergeCell ref="B67:H67"/>
    <mergeCell ref="A163:A168"/>
    <mergeCell ref="A79:A87"/>
    <mergeCell ref="E68:F68"/>
    <mergeCell ref="A88:A89"/>
    <mergeCell ref="A94:A97"/>
    <mergeCell ref="C152:D152"/>
    <mergeCell ref="E152:F152"/>
    <mergeCell ref="G152:H152"/>
    <mergeCell ref="A90:A93"/>
    <mergeCell ref="A139:A146"/>
    <mergeCell ref="A130:A138"/>
    <mergeCell ref="A98:A106"/>
    <mergeCell ref="A254:A256"/>
    <mergeCell ref="A177:A182"/>
    <mergeCell ref="A170:A175"/>
    <mergeCell ref="A184:A189"/>
    <mergeCell ref="A191:A196"/>
    <mergeCell ref="A212:A217"/>
    <mergeCell ref="A205:A210"/>
    <mergeCell ref="A198:A203"/>
    <mergeCell ref="A234:A236"/>
    <mergeCell ref="A238:A240"/>
    <mergeCell ref="A242:A244"/>
    <mergeCell ref="A246:A248"/>
    <mergeCell ref="A250:A252"/>
    <mergeCell ref="A226:A228"/>
    <mergeCell ref="A230:A232"/>
  </mergeCells>
  <pageMargins left="0.7" right="0.7" top="0.78740157499999996" bottom="0.78740157499999996"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41">
    <tabColor theme="0" tint="-0.499984740745262"/>
    <pageSetUpPr fitToPage="1"/>
  </sheetPr>
  <dimension ref="A1:J55"/>
  <sheetViews>
    <sheetView zoomScale="85" zoomScaleNormal="85" workbookViewId="0"/>
  </sheetViews>
  <sheetFormatPr baseColWidth="10" defaultColWidth="12.44140625" defaultRowHeight="13.8" x14ac:dyDescent="0.25"/>
  <cols>
    <col min="1" max="1" width="3.6640625" style="25" customWidth="1"/>
    <col min="2" max="2" width="28.33203125" style="25" customWidth="1"/>
    <col min="3" max="3" width="37.6640625" style="25" customWidth="1"/>
    <col min="4" max="4" width="15.33203125" style="25" bestFit="1" customWidth="1"/>
    <col min="5" max="5" width="14.44140625" style="25" customWidth="1"/>
    <col min="6" max="6" width="10.77734375" style="25" customWidth="1"/>
    <col min="7" max="16384" width="12.44140625" style="25"/>
  </cols>
  <sheetData>
    <row r="1" spans="1:10" ht="14.4" thickBot="1" x14ac:dyDescent="0.3">
      <c r="A1" s="23"/>
      <c r="B1" s="1127" t="s">
        <v>219</v>
      </c>
      <c r="C1" s="1128"/>
      <c r="D1" s="1128"/>
      <c r="E1" s="1129"/>
      <c r="F1" s="24"/>
      <c r="G1" s="786"/>
      <c r="H1" s="786"/>
      <c r="I1" s="786"/>
      <c r="J1" s="786"/>
    </row>
    <row r="2" spans="1:10" x14ac:dyDescent="0.25">
      <c r="A2" s="26"/>
      <c r="B2" s="760" t="s">
        <v>220</v>
      </c>
      <c r="C2" s="859">
        <v>95</v>
      </c>
      <c r="D2" s="27" t="s">
        <v>221</v>
      </c>
      <c r="E2" s="28"/>
      <c r="F2" s="29"/>
      <c r="G2" s="787"/>
      <c r="H2" s="787"/>
      <c r="I2" s="787"/>
      <c r="J2" s="787"/>
    </row>
    <row r="3" spans="1:10" x14ac:dyDescent="0.25">
      <c r="A3" s="26"/>
      <c r="B3" s="30" t="s">
        <v>222</v>
      </c>
      <c r="C3" s="924">
        <f>D43</f>
        <v>576.375</v>
      </c>
      <c r="D3" s="31" t="s">
        <v>90</v>
      </c>
      <c r="E3" s="28"/>
      <c r="F3" s="29"/>
      <c r="G3" s="787"/>
      <c r="H3" s="787"/>
      <c r="I3" s="787"/>
      <c r="J3" s="787"/>
    </row>
    <row r="4" spans="1:10" x14ac:dyDescent="0.25">
      <c r="A4" s="26"/>
      <c r="B4" s="761" t="s">
        <v>223</v>
      </c>
      <c r="C4" s="860" t="s">
        <v>224</v>
      </c>
      <c r="D4" s="31"/>
      <c r="E4" s="28"/>
      <c r="F4" s="29"/>
      <c r="G4" s="787"/>
      <c r="H4" s="787"/>
      <c r="I4" s="787"/>
      <c r="J4" s="787"/>
    </row>
    <row r="5" spans="1:10" x14ac:dyDescent="0.25">
      <c r="A5" s="26"/>
      <c r="B5" s="761" t="s">
        <v>225</v>
      </c>
      <c r="C5" s="860">
        <v>20</v>
      </c>
      <c r="D5" s="31" t="s">
        <v>226</v>
      </c>
      <c r="E5" s="28"/>
      <c r="F5" s="29"/>
      <c r="G5" s="787"/>
      <c r="H5" s="787"/>
      <c r="I5" s="787"/>
      <c r="J5" s="787"/>
    </row>
    <row r="6" spans="1:10" ht="14.4" thickBot="1" x14ac:dyDescent="0.3">
      <c r="A6" s="26"/>
      <c r="B6" s="32" t="s">
        <v>227</v>
      </c>
      <c r="C6" s="861">
        <v>20</v>
      </c>
      <c r="D6" s="33" t="s">
        <v>226</v>
      </c>
      <c r="E6" s="28"/>
      <c r="F6" s="29"/>
      <c r="G6" s="787"/>
      <c r="H6" s="787"/>
      <c r="I6" s="787"/>
      <c r="J6" s="787"/>
    </row>
    <row r="7" spans="1:10" ht="14.4" thickBot="1" x14ac:dyDescent="0.3">
      <c r="A7" s="26"/>
      <c r="B7" s="762" t="s">
        <v>228</v>
      </c>
      <c r="C7" s="34" t="s">
        <v>122</v>
      </c>
      <c r="D7" s="35" t="s">
        <v>229</v>
      </c>
      <c r="E7" s="763" t="s">
        <v>230</v>
      </c>
      <c r="F7" s="26"/>
    </row>
    <row r="8" spans="1:10" ht="14.4" thickBot="1" x14ac:dyDescent="0.3">
      <c r="A8" s="26"/>
      <c r="B8" s="36" t="s">
        <v>231</v>
      </c>
      <c r="C8" s="37"/>
      <c r="D8" s="38">
        <f>SUM(D9:D23)</f>
        <v>349.28100000000001</v>
      </c>
      <c r="E8" s="39">
        <f>SUM(E9:E23)</f>
        <v>0.60599609629147688</v>
      </c>
      <c r="F8" s="50"/>
      <c r="G8" s="907"/>
    </row>
    <row r="9" spans="1:10" ht="14.4" thickTop="1" x14ac:dyDescent="0.25">
      <c r="A9" s="23"/>
      <c r="B9" s="1130" t="s">
        <v>232</v>
      </c>
      <c r="C9" s="40" t="s">
        <v>1037</v>
      </c>
      <c r="D9" s="862">
        <f>(0.6*2.7*20)/1000*C5*C6+(0.0062)*C6*C5</f>
        <v>15.440000000000003</v>
      </c>
      <c r="E9" s="41">
        <f>D9/$D$43</f>
        <v>2.6788115376274131E-2</v>
      </c>
      <c r="F9" s="50"/>
      <c r="G9" s="906"/>
    </row>
    <row r="10" spans="1:10" x14ac:dyDescent="0.25">
      <c r="A10" s="23"/>
      <c r="B10" s="1131"/>
      <c r="C10" s="42" t="s">
        <v>94</v>
      </c>
      <c r="D10" s="863">
        <f>0.33806*0.3633*C5*C6</f>
        <v>49.126879200000005</v>
      </c>
      <c r="E10" s="43">
        <f t="shared" ref="E10:E23" si="0">D10/$D$43</f>
        <v>8.52342297983084E-2</v>
      </c>
      <c r="F10" s="50"/>
      <c r="G10" s="906"/>
      <c r="I10" s="44"/>
    </row>
    <row r="11" spans="1:10" x14ac:dyDescent="0.25">
      <c r="A11" s="23"/>
      <c r="B11" s="1131"/>
      <c r="C11" s="42" t="s">
        <v>93</v>
      </c>
      <c r="D11" s="863">
        <f>0.33806*0.1216*C5*C6</f>
        <v>16.443238400000002</v>
      </c>
      <c r="E11" s="43">
        <f t="shared" si="0"/>
        <v>2.852871550639775E-2</v>
      </c>
      <c r="F11" s="50"/>
      <c r="G11" s="906"/>
    </row>
    <row r="12" spans="1:10" x14ac:dyDescent="0.25">
      <c r="A12" s="23"/>
      <c r="B12" s="1131"/>
      <c r="C12" s="53" t="s">
        <v>96</v>
      </c>
      <c r="D12" s="863">
        <f>0.33806*0.1134*C5*C6</f>
        <v>15.3344016</v>
      </c>
      <c r="E12" s="43">
        <f t="shared" si="0"/>
        <v>2.6604904098893947E-2</v>
      </c>
      <c r="F12" s="50"/>
      <c r="G12" s="908"/>
    </row>
    <row r="13" spans="1:10" x14ac:dyDescent="0.25">
      <c r="A13" s="23"/>
      <c r="B13" s="1131"/>
      <c r="C13" s="42" t="s">
        <v>95</v>
      </c>
      <c r="D13" s="863">
        <f>0.33806*0.0716*C5*C6</f>
        <v>9.6820384000000015</v>
      </c>
      <c r="E13" s="43">
        <f t="shared" si="0"/>
        <v>1.6798158143569726E-2</v>
      </c>
      <c r="F13" s="50"/>
      <c r="G13" s="906"/>
    </row>
    <row r="14" spans="1:10" x14ac:dyDescent="0.25">
      <c r="A14" s="23"/>
      <c r="B14" s="1131"/>
      <c r="C14" s="42"/>
      <c r="D14" s="865"/>
      <c r="E14" s="43">
        <f t="shared" si="0"/>
        <v>0</v>
      </c>
      <c r="F14" s="50"/>
      <c r="G14" s="906"/>
      <c r="I14" s="695"/>
    </row>
    <row r="15" spans="1:10" x14ac:dyDescent="0.25">
      <c r="A15" s="23"/>
      <c r="B15" s="1131" t="s">
        <v>233</v>
      </c>
      <c r="C15" s="53" t="s">
        <v>1038</v>
      </c>
      <c r="D15" s="863">
        <f>15*8.96*0.64/1000*C5*C6+(0.0136)*C6*C5</f>
        <v>39.846400000000003</v>
      </c>
      <c r="E15" s="43">
        <f t="shared" si="0"/>
        <v>6.9132769464324451E-2</v>
      </c>
      <c r="F15" s="50"/>
      <c r="G15" s="906"/>
    </row>
    <row r="16" spans="1:10" x14ac:dyDescent="0.25">
      <c r="A16" s="23"/>
      <c r="B16" s="1131"/>
      <c r="C16" s="42" t="s">
        <v>55</v>
      </c>
      <c r="D16" s="863">
        <f>0.20412*C5*C6</f>
        <v>81.647999999999996</v>
      </c>
      <c r="E16" s="43">
        <f t="shared" si="0"/>
        <v>0.14165777488614184</v>
      </c>
      <c r="F16" s="50"/>
      <c r="G16" s="906"/>
    </row>
    <row r="17" spans="1:8" x14ac:dyDescent="0.25">
      <c r="A17" s="23"/>
      <c r="B17" s="764" t="s">
        <v>235</v>
      </c>
      <c r="C17" s="42" t="s">
        <v>1036</v>
      </c>
      <c r="D17" s="863">
        <v>0</v>
      </c>
      <c r="E17" s="43">
        <f t="shared" si="0"/>
        <v>0</v>
      </c>
      <c r="F17" s="50"/>
      <c r="G17" s="906"/>
    </row>
    <row r="18" spans="1:8" x14ac:dyDescent="0.25">
      <c r="A18" s="23"/>
      <c r="B18" s="922" t="s">
        <v>236</v>
      </c>
      <c r="C18" s="42" t="s">
        <v>168</v>
      </c>
      <c r="D18" s="863">
        <f>15*0.47*1.13/1000*C5*C6+0.01916*C5*C6</f>
        <v>10.8506</v>
      </c>
      <c r="E18" s="43">
        <f t="shared" si="0"/>
        <v>1.8825590978095857E-2</v>
      </c>
      <c r="F18" s="50"/>
      <c r="G18" s="906"/>
    </row>
    <row r="19" spans="1:8" x14ac:dyDescent="0.25">
      <c r="A19" s="23"/>
      <c r="B19" s="922" t="s">
        <v>50</v>
      </c>
      <c r="C19" s="42" t="s">
        <v>50</v>
      </c>
      <c r="D19" s="863">
        <f>1.2*0.113*C6*C5</f>
        <v>54.239999999999995</v>
      </c>
      <c r="E19" s="43">
        <f t="shared" si="0"/>
        <v>9.4105400130123612E-2</v>
      </c>
      <c r="F19" s="50"/>
      <c r="G19" s="906"/>
    </row>
    <row r="20" spans="1:8" x14ac:dyDescent="0.25">
      <c r="A20" s="23"/>
      <c r="B20" s="922"/>
      <c r="C20" s="42" t="s">
        <v>71</v>
      </c>
      <c r="D20" s="863">
        <v>0</v>
      </c>
      <c r="E20" s="43">
        <f>D20/$D$43</f>
        <v>0</v>
      </c>
      <c r="F20" s="50"/>
      <c r="G20" s="906"/>
    </row>
    <row r="21" spans="1:8" x14ac:dyDescent="0.25">
      <c r="A21" s="23"/>
      <c r="B21" s="45"/>
      <c r="C21" s="42" t="s">
        <v>237</v>
      </c>
      <c r="D21" s="863">
        <f>0.33806*0.3301*C5*C6+(0.01439+0.00719)*C5*C6+(0.00425+0.00425)*C5*C6</f>
        <v>56.669442400000001</v>
      </c>
      <c r="E21" s="43">
        <f>D21/$D$43</f>
        <v>9.8320437909347219E-2</v>
      </c>
      <c r="F21" s="50"/>
      <c r="G21" s="906"/>
      <c r="H21" s="906"/>
    </row>
    <row r="22" spans="1:8" x14ac:dyDescent="0.25">
      <c r="A22" s="23"/>
      <c r="B22" s="45"/>
      <c r="C22" s="42"/>
      <c r="D22" s="865"/>
      <c r="E22" s="43">
        <f>D22/$D$43</f>
        <v>0</v>
      </c>
      <c r="F22" s="50"/>
      <c r="G22" s="906"/>
    </row>
    <row r="23" spans="1:8" ht="14.4" thickBot="1" x14ac:dyDescent="0.3">
      <c r="A23" s="23"/>
      <c r="B23" s="46"/>
      <c r="C23" s="47"/>
      <c r="D23" s="866"/>
      <c r="E23" s="48">
        <f t="shared" si="0"/>
        <v>0</v>
      </c>
      <c r="F23" s="50"/>
      <c r="G23" s="906"/>
    </row>
    <row r="24" spans="1:8" ht="14.4" thickBot="1" x14ac:dyDescent="0.3">
      <c r="A24" s="26"/>
      <c r="B24" s="765" t="s">
        <v>238</v>
      </c>
      <c r="C24" s="37"/>
      <c r="D24" s="38">
        <f>SUM(D25:D32)</f>
        <v>32.201999999999998</v>
      </c>
      <c r="E24" s="49">
        <f>SUM(E25:E32)</f>
        <v>5.5869876382563431E-2</v>
      </c>
      <c r="F24" s="50"/>
      <c r="G24" s="907"/>
    </row>
    <row r="25" spans="1:8" ht="14.25" customHeight="1" thickTop="1" x14ac:dyDescent="0.25">
      <c r="A25" s="23"/>
      <c r="B25" s="1120" t="s">
        <v>239</v>
      </c>
      <c r="C25" s="40" t="s">
        <v>1036</v>
      </c>
      <c r="D25" s="862">
        <f>0.602*C6</f>
        <v>12.04</v>
      </c>
      <c r="E25" s="41">
        <f>D25/$D$43</f>
        <v>2.0889178052483189E-2</v>
      </c>
    </row>
    <row r="26" spans="1:8" ht="15" customHeight="1" x14ac:dyDescent="0.25">
      <c r="A26" s="23"/>
      <c r="B26" s="1121"/>
      <c r="C26" s="42" t="s">
        <v>71</v>
      </c>
      <c r="D26" s="863">
        <f>0.843*C6</f>
        <v>16.86</v>
      </c>
      <c r="E26" s="43">
        <f t="shared" ref="E26:E32" si="1">D26/$D$43</f>
        <v>2.9251789199739753E-2</v>
      </c>
      <c r="G26" s="906"/>
    </row>
    <row r="27" spans="1:8" ht="15" customHeight="1" x14ac:dyDescent="0.25">
      <c r="A27" s="23"/>
      <c r="B27" s="1122"/>
      <c r="C27" s="42" t="s">
        <v>168</v>
      </c>
      <c r="D27" s="863">
        <f>0.1191*C6</f>
        <v>2.3820000000000001</v>
      </c>
      <c r="E27" s="43">
        <f t="shared" si="1"/>
        <v>4.1327260897852961E-3</v>
      </c>
      <c r="F27" s="50"/>
      <c r="G27" s="906"/>
    </row>
    <row r="28" spans="1:8" ht="15" customHeight="1" x14ac:dyDescent="0.25">
      <c r="A28" s="23"/>
      <c r="B28" s="1122"/>
      <c r="C28" s="47" t="s">
        <v>166</v>
      </c>
      <c r="D28" s="864">
        <f>0.046*C6</f>
        <v>0.91999999999999993</v>
      </c>
      <c r="E28" s="48">
        <f t="shared" si="1"/>
        <v>1.5961830405551939E-3</v>
      </c>
      <c r="F28" s="50"/>
      <c r="G28" s="906"/>
    </row>
    <row r="29" spans="1:8" ht="15" customHeight="1" x14ac:dyDescent="0.25">
      <c r="A29" s="23"/>
      <c r="B29" s="1122"/>
      <c r="C29" s="47"/>
      <c r="D29" s="867"/>
      <c r="E29" s="48">
        <f t="shared" si="1"/>
        <v>0</v>
      </c>
      <c r="F29" s="50"/>
      <c r="G29" s="906"/>
    </row>
    <row r="30" spans="1:8" ht="15" customHeight="1" x14ac:dyDescent="0.25">
      <c r="A30" s="23"/>
      <c r="B30" s="1122"/>
      <c r="C30" s="47"/>
      <c r="D30" s="867"/>
      <c r="E30" s="48">
        <f t="shared" si="1"/>
        <v>0</v>
      </c>
      <c r="F30" s="50"/>
      <c r="G30" s="906"/>
    </row>
    <row r="31" spans="1:8" ht="15" customHeight="1" x14ac:dyDescent="0.25">
      <c r="A31" s="23"/>
      <c r="B31" s="1122"/>
      <c r="C31" s="47"/>
      <c r="D31" s="866"/>
      <c r="E31" s="48">
        <f t="shared" si="1"/>
        <v>0</v>
      </c>
      <c r="F31" s="50"/>
      <c r="G31" s="906"/>
    </row>
    <row r="32" spans="1:8" ht="15" customHeight="1" thickBot="1" x14ac:dyDescent="0.3">
      <c r="A32" s="23"/>
      <c r="B32" s="1122"/>
      <c r="C32" s="47"/>
      <c r="D32" s="866"/>
      <c r="E32" s="48">
        <f t="shared" si="1"/>
        <v>0</v>
      </c>
      <c r="F32" s="50"/>
      <c r="G32" s="906"/>
    </row>
    <row r="33" spans="1:7" ht="14.4" thickBot="1" x14ac:dyDescent="0.3">
      <c r="A33" s="51"/>
      <c r="B33" s="765" t="s">
        <v>240</v>
      </c>
      <c r="C33" s="37"/>
      <c r="D33" s="38">
        <f>SUM(D34:D42)</f>
        <v>194.892</v>
      </c>
      <c r="E33" s="49">
        <f>SUM(E34:E42)</f>
        <v>0.33813402732595971</v>
      </c>
    </row>
    <row r="34" spans="1:7" ht="14.4" thickTop="1" x14ac:dyDescent="0.25">
      <c r="A34" s="23"/>
      <c r="B34" s="1120" t="s">
        <v>241</v>
      </c>
      <c r="C34" s="52" t="s">
        <v>289</v>
      </c>
      <c r="D34" s="862">
        <f>4*(11.9-0.04)+98.2</f>
        <v>145.64000000000001</v>
      </c>
      <c r="E34" s="41">
        <f>D34/$D$43</f>
        <v>0.25268271524615055</v>
      </c>
      <c r="F34" s="50"/>
      <c r="G34" s="906"/>
    </row>
    <row r="35" spans="1:7" x14ac:dyDescent="0.25">
      <c r="A35" s="23"/>
      <c r="B35" s="1121"/>
      <c r="C35" s="53" t="s">
        <v>71</v>
      </c>
      <c r="D35" s="863">
        <v>36.5</v>
      </c>
      <c r="E35" s="43">
        <f t="shared" ref="E35:E42" si="2">D35/$D$43</f>
        <v>6.3326827152461504E-2</v>
      </c>
      <c r="F35" s="50"/>
      <c r="G35" s="906"/>
    </row>
    <row r="36" spans="1:7" x14ac:dyDescent="0.25">
      <c r="A36" s="23"/>
      <c r="B36" s="1121"/>
      <c r="C36" s="53" t="s">
        <v>242</v>
      </c>
      <c r="D36" s="863">
        <f>0.3341*C6+0.0611*C6+0.0604*C6</f>
        <v>9.1120000000000001</v>
      </c>
      <c r="E36" s="43">
        <f t="shared" si="2"/>
        <v>1.5809152027759704E-2</v>
      </c>
      <c r="F36" s="50"/>
      <c r="G36" s="906"/>
    </row>
    <row r="37" spans="1:7" x14ac:dyDescent="0.25">
      <c r="A37" s="23"/>
      <c r="B37" s="1121"/>
      <c r="C37" s="53" t="s">
        <v>166</v>
      </c>
      <c r="D37" s="863">
        <v>3.6</v>
      </c>
      <c r="E37" s="43">
        <f t="shared" si="2"/>
        <v>6.2459336369551071E-3</v>
      </c>
      <c r="F37" s="50"/>
      <c r="G37" s="906"/>
    </row>
    <row r="38" spans="1:7" ht="27.6" x14ac:dyDescent="0.25">
      <c r="A38" s="23"/>
      <c r="B38" s="1122"/>
      <c r="C38" s="54" t="s">
        <v>243</v>
      </c>
      <c r="D38" s="864">
        <v>0</v>
      </c>
      <c r="E38" s="48">
        <f t="shared" si="2"/>
        <v>0</v>
      </c>
      <c r="F38" s="50"/>
      <c r="G38" s="906"/>
    </row>
    <row r="39" spans="1:7" x14ac:dyDescent="0.25">
      <c r="A39" s="23"/>
      <c r="B39" s="1122"/>
      <c r="C39" s="54" t="s">
        <v>168</v>
      </c>
      <c r="D39" s="864">
        <v>0</v>
      </c>
      <c r="E39" s="48">
        <f t="shared" si="2"/>
        <v>0</v>
      </c>
      <c r="F39" s="50"/>
      <c r="G39" s="906"/>
    </row>
    <row r="40" spans="1:7" x14ac:dyDescent="0.25">
      <c r="A40" s="23"/>
      <c r="B40" s="1122"/>
      <c r="C40" s="54" t="s">
        <v>244</v>
      </c>
      <c r="D40" s="864">
        <v>0.04</v>
      </c>
      <c r="E40" s="48">
        <f t="shared" si="2"/>
        <v>6.9399262632834525E-5</v>
      </c>
      <c r="F40" s="50"/>
      <c r="G40" s="906"/>
    </row>
    <row r="41" spans="1:7" x14ac:dyDescent="0.25">
      <c r="A41" s="23"/>
      <c r="B41" s="1122"/>
      <c r="C41" s="54"/>
      <c r="D41" s="866"/>
      <c r="E41" s="48">
        <f t="shared" si="2"/>
        <v>0</v>
      </c>
      <c r="F41" s="50"/>
      <c r="G41" s="906"/>
    </row>
    <row r="42" spans="1:7" ht="14.4" thickBot="1" x14ac:dyDescent="0.3">
      <c r="A42" s="23"/>
      <c r="B42" s="1123"/>
      <c r="C42" s="55"/>
      <c r="D42" s="868"/>
      <c r="E42" s="56">
        <f t="shared" si="2"/>
        <v>0</v>
      </c>
      <c r="F42" s="50"/>
      <c r="G42" s="906"/>
    </row>
    <row r="43" spans="1:7" ht="15" customHeight="1" thickBot="1" x14ac:dyDescent="0.3">
      <c r="A43" s="57"/>
      <c r="B43" s="1124" t="s">
        <v>245</v>
      </c>
      <c r="C43" s="1125"/>
      <c r="D43" s="58">
        <f>SUM(D33,D24,D8)</f>
        <v>576.375</v>
      </c>
      <c r="E43" s="59">
        <f>E33+E24+E8</f>
        <v>1</v>
      </c>
      <c r="F43" s="50"/>
      <c r="G43" s="60"/>
    </row>
    <row r="44" spans="1:7" ht="15" customHeight="1" x14ac:dyDescent="0.25">
      <c r="A44" s="57"/>
      <c r="B44" s="57"/>
      <c r="C44" s="57"/>
      <c r="D44" s="61"/>
      <c r="E44" s="57"/>
      <c r="F44" s="57"/>
      <c r="G44" s="60"/>
    </row>
    <row r="45" spans="1:7" ht="15" customHeight="1" x14ac:dyDescent="0.25">
      <c r="A45" s="57"/>
      <c r="B45" s="57"/>
      <c r="C45" s="57"/>
      <c r="D45" s="61"/>
      <c r="E45" s="57"/>
      <c r="F45" s="57"/>
      <c r="G45" s="60"/>
    </row>
    <row r="46" spans="1:7" ht="15" customHeight="1" x14ac:dyDescent="0.25">
      <c r="A46" s="57"/>
      <c r="B46" s="57"/>
      <c r="C46" s="57"/>
      <c r="D46" s="61"/>
      <c r="E46" s="57"/>
      <c r="F46" s="57"/>
      <c r="G46" s="60"/>
    </row>
    <row r="47" spans="1:7" ht="15" customHeight="1" x14ac:dyDescent="0.25"/>
    <row r="48" spans="1:7" ht="15" customHeight="1" x14ac:dyDescent="0.25"/>
    <row r="49" spans="4:9" ht="14.25" customHeight="1" x14ac:dyDescent="0.25"/>
    <row r="50" spans="4:9" ht="19.95" customHeight="1" x14ac:dyDescent="0.25"/>
    <row r="51" spans="4:9" ht="30" customHeight="1" x14ac:dyDescent="0.25"/>
    <row r="52" spans="4:9" ht="14.25" customHeight="1" x14ac:dyDescent="0.25">
      <c r="I52" s="62"/>
    </row>
    <row r="53" spans="4:9" ht="14.25" customHeight="1" x14ac:dyDescent="0.25"/>
    <row r="55" spans="4:9" x14ac:dyDescent="0.25">
      <c r="D55" s="1126"/>
      <c r="E55" s="1126"/>
    </row>
  </sheetData>
  <mergeCells count="7">
    <mergeCell ref="B34:B42"/>
    <mergeCell ref="B43:C43"/>
    <mergeCell ref="D55:E55"/>
    <mergeCell ref="B1:E1"/>
    <mergeCell ref="B9:B14"/>
    <mergeCell ref="B15:B16"/>
    <mergeCell ref="B25:B32"/>
  </mergeCells>
  <pageMargins left="0.74803149606299213" right="0.47244094488188981" top="1.4173228346456694" bottom="0.55118110236220474" header="0.47244094488188981" footer="0.39370078740157483"/>
  <pageSetup paperSize="9" scale="24"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0" tint="-0.499984740745262"/>
  </sheetPr>
  <dimension ref="A1:S112"/>
  <sheetViews>
    <sheetView zoomScale="70" zoomScaleNormal="70" workbookViewId="0">
      <selection activeCell="D15" sqref="D15"/>
    </sheetView>
  </sheetViews>
  <sheetFormatPr baseColWidth="10" defaultColWidth="11.44140625" defaultRowHeight="14.4" x14ac:dyDescent="0.3"/>
  <cols>
    <col min="1" max="1" width="21" style="70" customWidth="1"/>
    <col min="2" max="2" width="20.44140625" style="70" customWidth="1"/>
    <col min="3" max="3" width="13.6640625" style="70" customWidth="1"/>
    <col min="4" max="4" width="12.6640625" style="70" customWidth="1"/>
    <col min="5" max="5" width="20.44140625" style="70" bestFit="1" customWidth="1"/>
    <col min="6" max="6" width="17.6640625" style="70" customWidth="1"/>
    <col min="7" max="7" width="13.44140625" style="70" customWidth="1"/>
    <col min="8" max="8" width="16.33203125" style="70" customWidth="1"/>
    <col min="9" max="9" width="15.33203125" style="70" customWidth="1"/>
    <col min="10" max="10" width="17" style="70" customWidth="1"/>
    <col min="11" max="11" width="23.44140625" style="70" customWidth="1"/>
    <col min="12" max="12" width="19.33203125" style="70" customWidth="1"/>
    <col min="13" max="13" width="10.6640625" style="70" customWidth="1"/>
    <col min="14" max="14" width="33" style="70" customWidth="1"/>
    <col min="15" max="15" width="12.77734375" style="70" customWidth="1"/>
    <col min="16" max="16" width="27.44140625" style="70" customWidth="1"/>
    <col min="17" max="17" width="17.6640625" style="70" customWidth="1"/>
    <col min="18" max="18" width="20.33203125" style="70" customWidth="1"/>
    <col min="19" max="19" width="13.77734375" style="70" customWidth="1"/>
    <col min="20" max="20" width="24" style="70" customWidth="1"/>
    <col min="21" max="21" width="11.44140625" style="70"/>
    <col min="22" max="22" width="13.77734375" style="70" customWidth="1"/>
    <col min="23" max="16384" width="11.44140625" style="70"/>
  </cols>
  <sheetData>
    <row r="1" spans="1:19" s="64" customFormat="1" ht="21" x14ac:dyDescent="0.3">
      <c r="A1" s="63" t="s">
        <v>246</v>
      </c>
    </row>
    <row r="2" spans="1:19" s="64" customFormat="1" ht="13.2" customHeight="1" thickBot="1" x14ac:dyDescent="0.35">
      <c r="B2" s="65"/>
    </row>
    <row r="3" spans="1:19" s="64" customFormat="1" ht="18" x14ac:dyDescent="0.3">
      <c r="A3" s="66" t="s">
        <v>247</v>
      </c>
      <c r="B3" s="67" t="s">
        <v>248</v>
      </c>
      <c r="C3" s="68"/>
      <c r="D3" s="69"/>
      <c r="E3" s="70"/>
      <c r="F3" s="67" t="s">
        <v>249</v>
      </c>
      <c r="G3" s="68"/>
      <c r="H3" s="69"/>
      <c r="I3" s="70"/>
      <c r="J3" s="96"/>
      <c r="N3" s="96"/>
      <c r="R3" s="96"/>
    </row>
    <row r="4" spans="1:19" ht="15" customHeight="1" x14ac:dyDescent="0.3">
      <c r="B4" s="72" t="s">
        <v>250</v>
      </c>
      <c r="C4" s="73" t="s">
        <v>251</v>
      </c>
      <c r="D4" s="74" t="s">
        <v>252</v>
      </c>
      <c r="F4" s="72" t="s">
        <v>250</v>
      </c>
      <c r="G4" s="73" t="s">
        <v>251</v>
      </c>
      <c r="H4" s="74" t="s">
        <v>252</v>
      </c>
    </row>
    <row r="5" spans="1:19" ht="28.8" x14ac:dyDescent="0.3">
      <c r="B5" s="72" t="s">
        <v>253</v>
      </c>
      <c r="C5" s="475">
        <f>IF(Macro!$D$8=1,2500,IF(Macro!$D$8=2,25000,75000))</f>
        <v>25000</v>
      </c>
      <c r="D5" s="74" t="s">
        <v>254</v>
      </c>
      <c r="F5" s="72" t="s">
        <v>255</v>
      </c>
      <c r="G5" s="802">
        <v>3</v>
      </c>
      <c r="H5" s="74" t="s">
        <v>256</v>
      </c>
      <c r="K5" s="337"/>
      <c r="M5" s="236"/>
      <c r="S5" s="94"/>
    </row>
    <row r="6" spans="1:19" ht="27.45" customHeight="1" x14ac:dyDescent="0.3">
      <c r="B6" s="72" t="s">
        <v>257</v>
      </c>
      <c r="C6" s="475">
        <f>C5*1000/Battery!C3</f>
        <v>43374.539145521579</v>
      </c>
      <c r="D6" s="74" t="s">
        <v>184</v>
      </c>
      <c r="F6" s="72" t="s">
        <v>258</v>
      </c>
      <c r="G6" s="803">
        <v>0.5</v>
      </c>
      <c r="H6" s="74" t="s">
        <v>259</v>
      </c>
      <c r="K6" s="360"/>
      <c r="S6" s="91"/>
    </row>
    <row r="7" spans="1:19" ht="28.8" x14ac:dyDescent="0.3">
      <c r="B7" s="72" t="s">
        <v>260</v>
      </c>
      <c r="C7" s="800">
        <v>5</v>
      </c>
      <c r="D7" s="74" t="s">
        <v>261</v>
      </c>
      <c r="F7" s="72" t="s">
        <v>262</v>
      </c>
      <c r="G7" s="804">
        <f>SUM(C40,F41,F42)</f>
        <v>27264.234137184416</v>
      </c>
      <c r="H7" s="74" t="s">
        <v>263</v>
      </c>
      <c r="K7" s="91"/>
      <c r="S7" s="341"/>
    </row>
    <row r="8" spans="1:19" ht="18.45" customHeight="1" thickBot="1" x14ac:dyDescent="0.35">
      <c r="B8" s="78" t="s">
        <v>264</v>
      </c>
      <c r="C8" s="801">
        <v>2</v>
      </c>
      <c r="D8" s="79" t="s">
        <v>265</v>
      </c>
      <c r="F8" s="72" t="s">
        <v>266</v>
      </c>
      <c r="G8" s="805">
        <f>G7/G5</f>
        <v>9088.078045728138</v>
      </c>
      <c r="H8" s="74" t="s">
        <v>184</v>
      </c>
      <c r="K8" s="340"/>
      <c r="S8" s="94"/>
    </row>
    <row r="9" spans="1:19" x14ac:dyDescent="0.3">
      <c r="C9" s="81"/>
      <c r="F9" s="72" t="s">
        <v>267</v>
      </c>
      <c r="G9" s="803">
        <v>9.968</v>
      </c>
      <c r="H9" s="74" t="s">
        <v>268</v>
      </c>
      <c r="S9" s="91"/>
    </row>
    <row r="10" spans="1:19" x14ac:dyDescent="0.3">
      <c r="C10" s="81"/>
      <c r="F10" s="72" t="s">
        <v>269</v>
      </c>
      <c r="G10" s="803">
        <v>1.429</v>
      </c>
      <c r="H10" s="74" t="s">
        <v>270</v>
      </c>
      <c r="S10" s="91"/>
    </row>
    <row r="11" spans="1:19" x14ac:dyDescent="0.3">
      <c r="C11" s="81"/>
      <c r="F11" s="82"/>
      <c r="G11" s="83"/>
      <c r="H11" s="84"/>
      <c r="S11" s="91"/>
    </row>
    <row r="12" spans="1:19" x14ac:dyDescent="0.3">
      <c r="C12" s="81"/>
      <c r="F12" s="88" t="s">
        <v>271</v>
      </c>
      <c r="G12" s="89" t="s">
        <v>251</v>
      </c>
      <c r="H12" s="90" t="s">
        <v>252</v>
      </c>
      <c r="J12" s="236" t="s">
        <v>272</v>
      </c>
      <c r="K12" s="91"/>
    </row>
    <row r="13" spans="1:19" ht="28.8" x14ac:dyDescent="0.3">
      <c r="A13" s="92"/>
      <c r="C13" s="81"/>
      <c r="F13" s="72" t="s">
        <v>273</v>
      </c>
      <c r="G13" s="806">
        <v>61</v>
      </c>
      <c r="H13" s="74" t="s">
        <v>274</v>
      </c>
      <c r="K13" s="81"/>
      <c r="S13" s="81"/>
    </row>
    <row r="14" spans="1:19" x14ac:dyDescent="0.3">
      <c r="C14" s="81"/>
      <c r="F14" s="72" t="s">
        <v>275</v>
      </c>
      <c r="G14" s="806">
        <v>25.7</v>
      </c>
      <c r="H14" s="74" t="s">
        <v>274</v>
      </c>
      <c r="K14" s="336"/>
      <c r="O14" s="336"/>
      <c r="S14" s="91"/>
    </row>
    <row r="15" spans="1:19" x14ac:dyDescent="0.3">
      <c r="C15" s="81"/>
      <c r="F15" s="72" t="s">
        <v>276</v>
      </c>
      <c r="G15" s="806">
        <v>13.3</v>
      </c>
      <c r="H15" s="74" t="s">
        <v>274</v>
      </c>
      <c r="K15" s="336"/>
      <c r="O15" s="336"/>
      <c r="S15" s="91"/>
    </row>
    <row r="16" spans="1:19" x14ac:dyDescent="0.3">
      <c r="C16" s="81"/>
      <c r="F16" s="72" t="s">
        <v>69</v>
      </c>
      <c r="G16" s="806">
        <v>422</v>
      </c>
      <c r="H16" s="74" t="s">
        <v>277</v>
      </c>
      <c r="K16" s="336"/>
      <c r="O16" s="336"/>
      <c r="S16" s="91"/>
    </row>
    <row r="17" spans="1:19" x14ac:dyDescent="0.3">
      <c r="C17" s="81"/>
      <c r="F17" s="72" t="s">
        <v>53</v>
      </c>
      <c r="G17" s="806">
        <v>410</v>
      </c>
      <c r="H17" s="74" t="s">
        <v>277</v>
      </c>
      <c r="K17" s="336"/>
      <c r="O17" s="336"/>
      <c r="S17" s="217"/>
    </row>
    <row r="18" spans="1:19" x14ac:dyDescent="0.3">
      <c r="C18" s="81"/>
      <c r="F18" s="72" t="s">
        <v>278</v>
      </c>
      <c r="G18" s="806">
        <v>21.2</v>
      </c>
      <c r="H18" s="74" t="s">
        <v>274</v>
      </c>
      <c r="K18" s="336"/>
      <c r="O18" s="336"/>
    </row>
    <row r="19" spans="1:19" x14ac:dyDescent="0.3">
      <c r="C19" s="81"/>
      <c r="F19" s="72" t="s">
        <v>100</v>
      </c>
      <c r="G19" s="807">
        <v>58.2</v>
      </c>
      <c r="H19" s="74" t="s">
        <v>274</v>
      </c>
      <c r="K19" s="94"/>
      <c r="O19" s="336"/>
    </row>
    <row r="20" spans="1:19" ht="15" thickBot="1" x14ac:dyDescent="0.35">
      <c r="F20" s="78" t="s">
        <v>279</v>
      </c>
      <c r="G20" s="808">
        <v>1.9</v>
      </c>
      <c r="H20" s="79" t="s">
        <v>274</v>
      </c>
      <c r="O20" s="336"/>
    </row>
    <row r="21" spans="1:19" x14ac:dyDescent="0.3">
      <c r="O21" s="336"/>
    </row>
    <row r="22" spans="1:19" x14ac:dyDescent="0.3">
      <c r="A22" s="747" t="s">
        <v>280</v>
      </c>
    </row>
    <row r="23" spans="1:19" s="104" customFormat="1" x14ac:dyDescent="0.3">
      <c r="A23" s="97" t="s">
        <v>281</v>
      </c>
      <c r="B23" s="98" t="s">
        <v>13</v>
      </c>
      <c r="C23" s="98" t="s">
        <v>251</v>
      </c>
      <c r="D23" s="98" t="s">
        <v>252</v>
      </c>
      <c r="E23" s="99" t="s">
        <v>282</v>
      </c>
      <c r="F23" s="99" t="s">
        <v>251</v>
      </c>
      <c r="G23" s="100" t="s">
        <v>252</v>
      </c>
      <c r="H23" s="101" t="s">
        <v>283</v>
      </c>
      <c r="I23" s="101" t="s">
        <v>251</v>
      </c>
      <c r="J23" s="101" t="s">
        <v>252</v>
      </c>
      <c r="K23" s="102" t="s">
        <v>284</v>
      </c>
      <c r="L23" s="102" t="s">
        <v>251</v>
      </c>
      <c r="M23" s="103" t="s">
        <v>252</v>
      </c>
      <c r="N23" s="97" t="s">
        <v>285</v>
      </c>
      <c r="P23" s="105"/>
    </row>
    <row r="24" spans="1:19" s="104" customFormat="1" x14ac:dyDescent="0.3">
      <c r="A24" s="106" t="s">
        <v>286</v>
      </c>
      <c r="B24" s="86"/>
      <c r="C24" s="86"/>
      <c r="D24" s="86"/>
      <c r="E24" s="86"/>
      <c r="F24" s="86"/>
      <c r="G24" s="86"/>
      <c r="H24" s="86"/>
      <c r="I24" s="86"/>
      <c r="J24" s="86"/>
      <c r="K24" s="86"/>
      <c r="L24" s="86"/>
      <c r="M24" s="107"/>
      <c r="N24" s="86"/>
      <c r="P24" s="105"/>
    </row>
    <row r="25" spans="1:19" s="104" customFormat="1" x14ac:dyDescent="0.3">
      <c r="A25" s="108"/>
      <c r="B25" s="108" t="s">
        <v>287</v>
      </c>
      <c r="C25" s="342">
        <f>C5</f>
        <v>25000</v>
      </c>
      <c r="D25" s="109" t="s">
        <v>288</v>
      </c>
      <c r="E25" s="110"/>
      <c r="F25" s="110"/>
      <c r="G25" s="110"/>
      <c r="H25" s="110"/>
      <c r="I25" s="110"/>
      <c r="J25" s="110"/>
      <c r="K25" s="110"/>
      <c r="L25" s="110"/>
      <c r="M25" s="111"/>
      <c r="N25" s="110"/>
      <c r="P25" s="105"/>
    </row>
    <row r="26" spans="1:19" s="104" customFormat="1" x14ac:dyDescent="0.3">
      <c r="A26" s="108"/>
      <c r="B26" s="108"/>
      <c r="C26" s="342"/>
      <c r="D26" s="109"/>
      <c r="E26" s="110"/>
      <c r="F26" s="110"/>
      <c r="G26" s="110"/>
      <c r="H26" s="110"/>
      <c r="I26" s="110"/>
      <c r="J26" s="110"/>
      <c r="K26" s="110" t="s">
        <v>48</v>
      </c>
      <c r="L26" s="342">
        <f>C6*C7</f>
        <v>216872.6957276079</v>
      </c>
      <c r="M26" s="112" t="s">
        <v>221</v>
      </c>
      <c r="N26" s="110"/>
      <c r="P26" s="105"/>
    </row>
    <row r="27" spans="1:19" s="104" customFormat="1" x14ac:dyDescent="0.3">
      <c r="A27" s="113"/>
      <c r="B27" s="113"/>
      <c r="C27" s="343"/>
      <c r="D27" s="114"/>
      <c r="E27" s="93"/>
      <c r="F27" s="93"/>
      <c r="G27" s="93"/>
      <c r="H27" s="93"/>
      <c r="I27" s="93"/>
      <c r="J27" s="93"/>
      <c r="K27" s="93"/>
      <c r="L27" s="343"/>
      <c r="M27" s="115"/>
      <c r="N27" s="93"/>
      <c r="P27" s="105"/>
    </row>
    <row r="28" spans="1:19" s="104" customFormat="1" x14ac:dyDescent="0.3">
      <c r="A28" s="108" t="s">
        <v>248</v>
      </c>
      <c r="B28" s="86"/>
      <c r="C28" s="345"/>
      <c r="D28" s="70"/>
      <c r="E28" s="110"/>
      <c r="F28" s="110"/>
      <c r="G28" s="110"/>
      <c r="H28" s="110"/>
      <c r="I28" s="110"/>
      <c r="J28" s="110"/>
      <c r="K28" s="110"/>
      <c r="L28" s="279"/>
      <c r="M28" s="111"/>
      <c r="N28" s="110"/>
      <c r="P28" s="105"/>
    </row>
    <row r="29" spans="1:19" x14ac:dyDescent="0.3">
      <c r="A29" s="108"/>
      <c r="B29" s="108" t="s">
        <v>287</v>
      </c>
      <c r="C29" s="342">
        <f>C25</f>
        <v>25000</v>
      </c>
      <c r="D29" s="109" t="s">
        <v>288</v>
      </c>
      <c r="E29" s="110"/>
      <c r="F29" s="110"/>
      <c r="G29" s="110"/>
      <c r="H29" s="110"/>
      <c r="I29" s="110"/>
      <c r="J29" s="110"/>
      <c r="K29" s="110"/>
      <c r="L29" s="279"/>
      <c r="M29" s="111"/>
      <c r="N29" s="110"/>
    </row>
    <row r="30" spans="1:19" ht="28.8" x14ac:dyDescent="0.3">
      <c r="A30" s="108"/>
      <c r="B30" s="108"/>
      <c r="C30" s="342"/>
      <c r="D30" s="109"/>
      <c r="E30" s="110"/>
      <c r="F30" s="110"/>
      <c r="G30" s="110"/>
      <c r="H30" s="110"/>
      <c r="I30" s="110"/>
      <c r="J30" s="110"/>
      <c r="K30" s="110" t="s">
        <v>289</v>
      </c>
      <c r="L30" s="342">
        <f>$C$5*Battery!E34*Efficiencies!E6</f>
        <v>6253.8972023422257</v>
      </c>
      <c r="M30" s="112" t="s">
        <v>288</v>
      </c>
      <c r="N30" s="110" t="s">
        <v>290</v>
      </c>
      <c r="P30" s="91"/>
      <c r="Q30" s="218"/>
      <c r="S30" s="236"/>
    </row>
    <row r="31" spans="1:19" x14ac:dyDescent="0.3">
      <c r="A31" s="108"/>
      <c r="B31" s="108"/>
      <c r="C31" s="279"/>
      <c r="D31" s="110"/>
      <c r="E31" s="110"/>
      <c r="F31" s="110"/>
      <c r="G31" s="110"/>
      <c r="H31" s="110"/>
      <c r="I31" s="110"/>
      <c r="J31" s="110"/>
      <c r="K31" s="110" t="s">
        <v>71</v>
      </c>
      <c r="L31" s="342">
        <f>$C$5*Battery!E35*Efficiencies!E6</f>
        <v>1567.3389720234222</v>
      </c>
      <c r="M31" s="112" t="s">
        <v>288</v>
      </c>
      <c r="N31" s="110"/>
    </row>
    <row r="32" spans="1:19" x14ac:dyDescent="0.3">
      <c r="A32" s="108"/>
      <c r="B32" s="108"/>
      <c r="C32" s="279"/>
      <c r="D32" s="110"/>
      <c r="E32" s="110"/>
      <c r="F32" s="110"/>
      <c r="G32" s="110"/>
      <c r="H32" s="110"/>
      <c r="I32" s="110"/>
      <c r="J32" s="110"/>
      <c r="K32" s="110" t="s">
        <v>242</v>
      </c>
      <c r="L32" s="342">
        <f>$C$5*Battery!E36*Efficiencies!E6</f>
        <v>391.27651268705267</v>
      </c>
      <c r="M32" s="112" t="s">
        <v>288</v>
      </c>
      <c r="N32" s="110"/>
      <c r="P32" s="91"/>
      <c r="S32" s="236"/>
    </row>
    <row r="33" spans="1:17" ht="28.8" x14ac:dyDescent="0.3">
      <c r="A33" s="108"/>
      <c r="B33" s="108"/>
      <c r="C33" s="279"/>
      <c r="D33" s="110"/>
      <c r="E33" s="110"/>
      <c r="F33" s="110"/>
      <c r="G33" s="110"/>
      <c r="H33" s="110"/>
      <c r="I33" s="110"/>
      <c r="J33" s="110"/>
      <c r="K33" s="110" t="s">
        <v>291</v>
      </c>
      <c r="L33" s="342">
        <f>$C$5*Battery!E37*Efficiencies!E6</f>
        <v>154.58685751463889</v>
      </c>
      <c r="M33" s="112" t="s">
        <v>288</v>
      </c>
      <c r="N33" s="110" t="s">
        <v>292</v>
      </c>
      <c r="P33" s="91"/>
    </row>
    <row r="34" spans="1:17" ht="28.8" x14ac:dyDescent="0.3">
      <c r="A34" s="108"/>
      <c r="B34" s="108"/>
      <c r="C34" s="279"/>
      <c r="D34" s="110"/>
      <c r="E34" s="110"/>
      <c r="F34" s="110"/>
      <c r="G34" s="110"/>
      <c r="H34" s="110"/>
      <c r="I34" s="110"/>
      <c r="J34" s="110"/>
      <c r="K34" s="110" t="s">
        <v>243</v>
      </c>
      <c r="L34" s="342">
        <f>$C$5*Battery!E38*Efficiencies!E6</f>
        <v>0</v>
      </c>
      <c r="M34" s="112" t="s">
        <v>288</v>
      </c>
      <c r="N34" s="110" t="s">
        <v>293</v>
      </c>
      <c r="P34" s="91"/>
      <c r="Q34" s="348"/>
    </row>
    <row r="35" spans="1:17" x14ac:dyDescent="0.3">
      <c r="A35" s="108"/>
      <c r="B35" s="108"/>
      <c r="C35" s="279"/>
      <c r="D35" s="110"/>
      <c r="E35" s="110"/>
      <c r="F35" s="110"/>
      <c r="G35" s="110"/>
      <c r="H35" s="110"/>
      <c r="I35" s="110"/>
      <c r="J35" s="110"/>
      <c r="K35" s="110" t="s">
        <v>168</v>
      </c>
      <c r="L35" s="342">
        <f>$C$5*Battery!E39*Efficiencies!E6</f>
        <v>0</v>
      </c>
      <c r="M35" s="112" t="s">
        <v>288</v>
      </c>
      <c r="N35" s="110" t="s">
        <v>294</v>
      </c>
      <c r="P35" s="91"/>
    </row>
    <row r="36" spans="1:17" ht="28.8" x14ac:dyDescent="0.3">
      <c r="A36" s="93"/>
      <c r="B36" s="113"/>
      <c r="C36" s="352"/>
      <c r="D36" s="93"/>
      <c r="E36" s="93"/>
      <c r="F36" s="93"/>
      <c r="G36" s="113"/>
      <c r="H36" s="93"/>
      <c r="I36" s="93"/>
      <c r="J36" s="93"/>
      <c r="K36" s="113" t="s">
        <v>295</v>
      </c>
      <c r="L36" s="343">
        <f>$C$5*Battery!E40*Efficiencies!E6</f>
        <v>1.7176317501626546</v>
      </c>
      <c r="M36" s="115" t="s">
        <v>288</v>
      </c>
      <c r="N36" s="93" t="s">
        <v>296</v>
      </c>
      <c r="P36" s="91"/>
      <c r="Q36" s="348"/>
    </row>
    <row r="37" spans="1:17" x14ac:dyDescent="0.3">
      <c r="C37" s="346"/>
      <c r="L37" s="346"/>
      <c r="P37" s="91"/>
      <c r="Q37" s="350"/>
    </row>
    <row r="38" spans="1:17" ht="28.8" x14ac:dyDescent="0.3">
      <c r="A38" s="747" t="s">
        <v>297</v>
      </c>
      <c r="C38" s="346"/>
      <c r="L38" s="346"/>
    </row>
    <row r="39" spans="1:17" x14ac:dyDescent="0.3">
      <c r="A39" s="97" t="s">
        <v>281</v>
      </c>
      <c r="B39" s="98" t="s">
        <v>13</v>
      </c>
      <c r="C39" s="361" t="s">
        <v>251</v>
      </c>
      <c r="D39" s="98" t="s">
        <v>252</v>
      </c>
      <c r="E39" s="99" t="s">
        <v>282</v>
      </c>
      <c r="F39" s="99" t="s">
        <v>251</v>
      </c>
      <c r="G39" s="100" t="s">
        <v>252</v>
      </c>
      <c r="H39" s="101" t="s">
        <v>283</v>
      </c>
      <c r="I39" s="101" t="s">
        <v>251</v>
      </c>
      <c r="J39" s="101" t="s">
        <v>252</v>
      </c>
      <c r="K39" s="102" t="s">
        <v>284</v>
      </c>
      <c r="L39" s="347" t="s">
        <v>251</v>
      </c>
      <c r="M39" s="103" t="s">
        <v>252</v>
      </c>
      <c r="N39" s="97" t="s">
        <v>285</v>
      </c>
      <c r="O39" s="73" t="s">
        <v>298</v>
      </c>
    </row>
    <row r="40" spans="1:17" x14ac:dyDescent="0.3">
      <c r="A40" s="106" t="s">
        <v>170</v>
      </c>
      <c r="B40" s="86" t="s">
        <v>299</v>
      </c>
      <c r="C40" s="362">
        <f>C5-SUM(L30:L36)</f>
        <v>16631.182823682495</v>
      </c>
      <c r="D40" s="86" t="s">
        <v>288</v>
      </c>
      <c r="E40" s="86"/>
      <c r="F40" s="86"/>
      <c r="G40" s="86"/>
      <c r="H40" s="86"/>
      <c r="I40" s="86"/>
      <c r="J40" s="86"/>
      <c r="K40" s="86"/>
      <c r="L40" s="345"/>
      <c r="M40" s="86"/>
      <c r="N40" s="86"/>
      <c r="O40" s="110"/>
    </row>
    <row r="41" spans="1:17" x14ac:dyDescent="0.3">
      <c r="A41" s="108" t="s">
        <v>300</v>
      </c>
      <c r="B41" s="110"/>
      <c r="C41" s="279"/>
      <c r="D41" s="110"/>
      <c r="E41" s="110" t="s">
        <v>57</v>
      </c>
      <c r="F41" s="335">
        <f>C40/G13*G14</f>
        <v>7006.9081732563945</v>
      </c>
      <c r="G41" s="110" t="s">
        <v>288</v>
      </c>
      <c r="H41" s="110"/>
      <c r="I41" s="110"/>
      <c r="J41" s="110"/>
      <c r="K41" s="110"/>
      <c r="L41" s="279"/>
      <c r="M41" s="110"/>
      <c r="N41" s="110"/>
      <c r="O41" s="110"/>
    </row>
    <row r="42" spans="1:17" x14ac:dyDescent="0.3">
      <c r="A42" s="108"/>
      <c r="B42" s="110"/>
      <c r="C42" s="279"/>
      <c r="D42" s="110"/>
      <c r="E42" s="110" t="s">
        <v>68</v>
      </c>
      <c r="F42" s="335">
        <f>C40/G13*G15</f>
        <v>3626.1431402455278</v>
      </c>
      <c r="G42" s="110" t="s">
        <v>288</v>
      </c>
      <c r="H42" s="110"/>
      <c r="I42" s="110"/>
      <c r="J42" s="110"/>
      <c r="K42" s="110"/>
      <c r="L42" s="279"/>
      <c r="M42" s="110"/>
      <c r="N42" s="110"/>
      <c r="O42" s="110"/>
    </row>
    <row r="43" spans="1:17" x14ac:dyDescent="0.3">
      <c r="A43" s="108"/>
      <c r="B43" s="110"/>
      <c r="C43" s="279"/>
      <c r="D43" s="110"/>
      <c r="E43" s="110" t="s">
        <v>69</v>
      </c>
      <c r="F43" s="351">
        <f>G16*G6*G8</f>
        <v>1917584.467648637</v>
      </c>
      <c r="G43" s="110" t="s">
        <v>301</v>
      </c>
      <c r="H43" s="110"/>
      <c r="I43" s="110"/>
      <c r="J43" s="110"/>
      <c r="K43" s="110"/>
      <c r="L43" s="279"/>
      <c r="M43" s="110"/>
      <c r="N43" s="110"/>
      <c r="O43" s="110"/>
    </row>
    <row r="44" spans="1:17" x14ac:dyDescent="0.3">
      <c r="A44" s="108"/>
      <c r="B44" s="110"/>
      <c r="C44" s="279"/>
      <c r="D44" s="110"/>
      <c r="E44" s="111" t="s">
        <v>69</v>
      </c>
      <c r="F44" s="351">
        <f>G16*G6*G8*G10/1000</f>
        <v>2740.2282042699021</v>
      </c>
      <c r="G44" s="110" t="s">
        <v>288</v>
      </c>
      <c r="H44" s="110"/>
      <c r="I44" s="110"/>
      <c r="J44" s="110"/>
      <c r="K44" s="110"/>
      <c r="L44" s="279"/>
      <c r="M44" s="110"/>
      <c r="N44" s="110" t="s">
        <v>302</v>
      </c>
      <c r="O44" s="110"/>
    </row>
    <row r="45" spans="1:17" x14ac:dyDescent="0.3">
      <c r="A45" s="108"/>
      <c r="B45" s="110"/>
      <c r="C45" s="279"/>
      <c r="D45" s="110"/>
      <c r="E45" s="110"/>
      <c r="F45" s="279"/>
      <c r="G45" s="110"/>
      <c r="H45" s="110" t="s">
        <v>53</v>
      </c>
      <c r="I45" s="349">
        <f>G17*G6*G8</f>
        <v>1863055.9993742683</v>
      </c>
      <c r="J45" s="110" t="s">
        <v>301</v>
      </c>
      <c r="K45" s="110"/>
      <c r="L45" s="279"/>
      <c r="M45" s="110"/>
      <c r="N45" s="110" t="s">
        <v>303</v>
      </c>
      <c r="O45" s="110"/>
    </row>
    <row r="46" spans="1:17" x14ac:dyDescent="0.3">
      <c r="A46" s="108"/>
      <c r="B46" s="110"/>
      <c r="C46" s="279"/>
      <c r="D46" s="110"/>
      <c r="E46" s="110"/>
      <c r="F46" s="279"/>
      <c r="G46" s="110"/>
      <c r="H46" s="110"/>
      <c r="I46" s="110"/>
      <c r="J46" s="110"/>
      <c r="K46" s="110" t="s">
        <v>278</v>
      </c>
      <c r="L46" s="279">
        <f>'R1_Hydro_MEFA'!B11</f>
        <v>4791.7812882238131</v>
      </c>
      <c r="M46" s="110" t="s">
        <v>288</v>
      </c>
      <c r="N46" s="110" t="s">
        <v>304</v>
      </c>
      <c r="O46" s="110"/>
    </row>
    <row r="47" spans="1:17" x14ac:dyDescent="0.3">
      <c r="A47" s="108"/>
      <c r="B47" s="110"/>
      <c r="C47" s="279"/>
      <c r="D47" s="110"/>
      <c r="E47" s="110"/>
      <c r="F47" s="279"/>
      <c r="G47" s="110"/>
      <c r="H47" s="110"/>
      <c r="I47" s="110"/>
      <c r="J47" s="110"/>
      <c r="K47" s="110" t="s">
        <v>100</v>
      </c>
      <c r="L47" s="279">
        <f>'R1_Hydro_MEFA'!T120</f>
        <v>0</v>
      </c>
      <c r="M47" s="110" t="s">
        <v>288</v>
      </c>
      <c r="N47" s="110" t="s">
        <v>305</v>
      </c>
      <c r="O47" s="110"/>
    </row>
    <row r="48" spans="1:17" ht="28.8" x14ac:dyDescent="0.3">
      <c r="A48" s="108"/>
      <c r="B48" s="110"/>
      <c r="C48" s="279"/>
      <c r="D48" s="110"/>
      <c r="E48" s="110"/>
      <c r="F48" s="110"/>
      <c r="G48" s="110"/>
      <c r="H48" s="110"/>
      <c r="I48" s="110"/>
      <c r="J48" s="110"/>
      <c r="K48" s="110" t="s">
        <v>279</v>
      </c>
      <c r="L48" s="279">
        <f>G7*G20/100</f>
        <v>518.02044860650381</v>
      </c>
      <c r="M48" s="110" t="s">
        <v>288</v>
      </c>
      <c r="N48" s="110" t="s">
        <v>306</v>
      </c>
      <c r="O48" s="110"/>
    </row>
    <row r="49" spans="1:15" ht="42" customHeight="1" x14ac:dyDescent="0.3">
      <c r="A49" s="113"/>
      <c r="B49" s="93"/>
      <c r="C49" s="352"/>
      <c r="D49" s="93"/>
      <c r="E49" s="93"/>
      <c r="F49" s="93"/>
      <c r="G49" s="93"/>
      <c r="H49" s="93"/>
      <c r="I49" s="93"/>
      <c r="J49" s="93"/>
      <c r="K49" s="93" t="s">
        <v>307</v>
      </c>
      <c r="L49" s="352">
        <f>G7-SUM(L46:L48)</f>
        <v>21954.432400354097</v>
      </c>
      <c r="M49" s="93" t="s">
        <v>288</v>
      </c>
      <c r="N49" s="93" t="s">
        <v>308</v>
      </c>
      <c r="O49" s="110"/>
    </row>
    <row r="50" spans="1:15" x14ac:dyDescent="0.3">
      <c r="A50" s="108" t="s">
        <v>185</v>
      </c>
      <c r="B50" s="108" t="s">
        <v>309</v>
      </c>
      <c r="C50" s="342">
        <f>L49/O50</f>
        <v>11088097.171896009</v>
      </c>
      <c r="D50" s="110" t="s">
        <v>301</v>
      </c>
      <c r="E50" s="110"/>
      <c r="F50" s="110"/>
      <c r="G50" s="110"/>
      <c r="H50" s="110"/>
      <c r="I50" s="110"/>
      <c r="J50" s="110"/>
      <c r="K50" s="108"/>
      <c r="L50" s="279"/>
      <c r="M50" s="110"/>
      <c r="N50" s="110" t="s">
        <v>310</v>
      </c>
      <c r="O50" s="799">
        <v>1.98E-3</v>
      </c>
    </row>
    <row r="51" spans="1:15" x14ac:dyDescent="0.3">
      <c r="A51" s="108"/>
      <c r="B51" s="108"/>
      <c r="C51" s="279"/>
      <c r="D51" s="110"/>
      <c r="E51" s="110"/>
      <c r="F51" s="110"/>
      <c r="G51" s="110"/>
      <c r="H51" s="110" t="s">
        <v>48</v>
      </c>
      <c r="I51" s="279">
        <f>Energy!P11</f>
        <v>144581.7971517386</v>
      </c>
      <c r="J51" s="110" t="s">
        <v>221</v>
      </c>
      <c r="K51" s="108"/>
      <c r="L51" s="279"/>
      <c r="M51" s="110"/>
      <c r="N51" s="110"/>
      <c r="O51" s="110"/>
    </row>
    <row r="52" spans="1:15" x14ac:dyDescent="0.3">
      <c r="A52" s="108"/>
      <c r="B52" s="108"/>
      <c r="C52" s="279"/>
      <c r="D52" s="110"/>
      <c r="E52" s="110"/>
      <c r="F52" s="110"/>
      <c r="G52" s="110"/>
      <c r="H52" s="110"/>
      <c r="I52" s="110"/>
      <c r="J52" s="110"/>
      <c r="K52" s="108" t="s">
        <v>309</v>
      </c>
      <c r="L52" s="279">
        <f>C50</f>
        <v>11088097.171896009</v>
      </c>
      <c r="M52" s="110" t="s">
        <v>301</v>
      </c>
      <c r="N52" s="110"/>
      <c r="O52" s="93"/>
    </row>
    <row r="53" spans="1:15" x14ac:dyDescent="0.3">
      <c r="A53" s="106" t="s">
        <v>311</v>
      </c>
      <c r="B53" s="106"/>
      <c r="C53" s="345"/>
      <c r="D53" s="86"/>
      <c r="E53" s="86"/>
      <c r="F53" s="86"/>
      <c r="G53" s="86"/>
      <c r="H53" s="86"/>
      <c r="I53" s="86"/>
      <c r="J53" s="86"/>
      <c r="K53" s="106"/>
      <c r="L53" s="345"/>
      <c r="M53" s="86"/>
      <c r="N53" s="86"/>
      <c r="O53" s="110"/>
    </row>
    <row r="54" spans="1:15" x14ac:dyDescent="0.3">
      <c r="A54" s="108"/>
      <c r="B54" s="108" t="s">
        <v>278</v>
      </c>
      <c r="C54" s="279">
        <f>L46</f>
        <v>4791.7812882238131</v>
      </c>
      <c r="D54" s="110" t="s">
        <v>288</v>
      </c>
      <c r="E54" s="110"/>
      <c r="F54" s="110"/>
      <c r="G54" s="110"/>
      <c r="H54" s="110"/>
      <c r="I54" s="110"/>
      <c r="J54" s="110"/>
      <c r="K54" s="108"/>
      <c r="L54" s="279"/>
      <c r="M54" s="110"/>
      <c r="N54" s="110"/>
      <c r="O54" s="110"/>
    </row>
    <row r="55" spans="1:15" x14ac:dyDescent="0.3">
      <c r="A55" s="108"/>
      <c r="B55" s="108"/>
      <c r="C55" s="279"/>
      <c r="D55" s="110"/>
      <c r="E55" s="110"/>
      <c r="F55" s="110"/>
      <c r="G55" s="110"/>
      <c r="H55" s="110" t="s">
        <v>48</v>
      </c>
      <c r="I55" s="342">
        <f>Energy!P12</f>
        <v>47917.812882238133</v>
      </c>
      <c r="J55" s="110" t="s">
        <v>221</v>
      </c>
      <c r="K55" s="108"/>
      <c r="L55" s="279"/>
      <c r="M55" s="110"/>
      <c r="N55" s="110"/>
      <c r="O55" s="110"/>
    </row>
    <row r="56" spans="1:15" x14ac:dyDescent="0.3">
      <c r="A56" s="108"/>
      <c r="B56" s="108"/>
      <c r="C56" s="279"/>
      <c r="D56" s="110"/>
      <c r="E56" s="110"/>
      <c r="F56" s="110"/>
      <c r="G56" s="110"/>
      <c r="H56" s="110"/>
      <c r="I56" s="110"/>
      <c r="J56" s="110"/>
      <c r="K56" s="108" t="s">
        <v>278</v>
      </c>
      <c r="L56" s="279">
        <f>C54</f>
        <v>4791.7812882238131</v>
      </c>
      <c r="M56" s="110" t="s">
        <v>288</v>
      </c>
      <c r="N56" s="110"/>
      <c r="O56" s="110"/>
    </row>
    <row r="57" spans="1:15" x14ac:dyDescent="0.3">
      <c r="A57" s="113"/>
      <c r="B57" s="113"/>
      <c r="C57" s="352"/>
      <c r="D57" s="93"/>
      <c r="E57" s="93"/>
      <c r="F57" s="93"/>
      <c r="G57" s="93"/>
      <c r="H57" s="93"/>
      <c r="I57" s="93"/>
      <c r="J57" s="93"/>
      <c r="K57" s="113"/>
      <c r="L57" s="352"/>
      <c r="M57" s="93"/>
      <c r="N57" s="93"/>
      <c r="O57" s="110"/>
    </row>
    <row r="58" spans="1:15" x14ac:dyDescent="0.3">
      <c r="A58" s="108" t="s">
        <v>312</v>
      </c>
      <c r="B58" s="108"/>
      <c r="C58" s="279"/>
      <c r="D58" s="110"/>
      <c r="E58" s="110"/>
      <c r="F58" s="110"/>
      <c r="G58" s="110"/>
      <c r="H58" s="110"/>
      <c r="I58" s="110"/>
      <c r="J58" s="110"/>
      <c r="K58" s="108"/>
      <c r="L58" s="279"/>
      <c r="M58" s="110"/>
      <c r="N58" s="110"/>
      <c r="O58" s="86"/>
    </row>
    <row r="59" spans="1:15" x14ac:dyDescent="0.3">
      <c r="A59" s="108"/>
      <c r="B59" s="108" t="s">
        <v>100</v>
      </c>
      <c r="C59" s="279">
        <f>L47</f>
        <v>0</v>
      </c>
      <c r="D59" s="110" t="s">
        <v>288</v>
      </c>
      <c r="E59" s="110"/>
      <c r="F59" s="110"/>
      <c r="G59" s="110"/>
      <c r="H59" s="110"/>
      <c r="I59" s="110"/>
      <c r="J59" s="110"/>
      <c r="K59" s="108"/>
      <c r="L59" s="279"/>
      <c r="M59" s="110"/>
      <c r="N59" s="110"/>
      <c r="O59" s="110"/>
    </row>
    <row r="60" spans="1:15" x14ac:dyDescent="0.3">
      <c r="A60" s="108"/>
      <c r="B60" s="108"/>
      <c r="C60" s="279"/>
      <c r="D60" s="110"/>
      <c r="E60" s="110"/>
      <c r="F60" s="110"/>
      <c r="G60" s="110"/>
      <c r="H60" s="110" t="s">
        <v>48</v>
      </c>
      <c r="I60" s="279">
        <f>IF(Macro!D10=TRUE,Energy!P13,0)</f>
        <v>0</v>
      </c>
      <c r="J60" s="110" t="s">
        <v>221</v>
      </c>
      <c r="K60" s="108"/>
      <c r="L60" s="279"/>
      <c r="M60" s="110"/>
      <c r="N60" s="110"/>
      <c r="O60" s="110"/>
    </row>
    <row r="61" spans="1:15" x14ac:dyDescent="0.3">
      <c r="A61" s="108"/>
      <c r="B61" s="108"/>
      <c r="C61" s="279"/>
      <c r="D61" s="110"/>
      <c r="E61" s="110"/>
      <c r="F61" s="110"/>
      <c r="G61" s="110"/>
      <c r="H61" s="110"/>
      <c r="I61" s="110"/>
      <c r="J61" s="110"/>
      <c r="K61" s="108" t="s">
        <v>100</v>
      </c>
      <c r="L61" s="279">
        <f>C59</f>
        <v>0</v>
      </c>
      <c r="M61" s="110" t="s">
        <v>288</v>
      </c>
      <c r="N61" s="110"/>
      <c r="O61" s="110"/>
    </row>
    <row r="62" spans="1:15" x14ac:dyDescent="0.3">
      <c r="A62" s="113"/>
      <c r="B62" s="113"/>
      <c r="C62" s="93"/>
      <c r="D62" s="93"/>
      <c r="E62" s="93"/>
      <c r="F62" s="93"/>
      <c r="G62" s="93"/>
      <c r="H62" s="93"/>
      <c r="I62" s="93"/>
      <c r="J62" s="93"/>
      <c r="K62" s="113"/>
      <c r="L62" s="93"/>
      <c r="M62" s="93"/>
      <c r="N62" s="93"/>
      <c r="O62" s="93"/>
    </row>
    <row r="64" spans="1:15" x14ac:dyDescent="0.3">
      <c r="A64" s="96" t="s">
        <v>313</v>
      </c>
      <c r="C64" s="346"/>
      <c r="L64" s="346"/>
    </row>
    <row r="65" spans="1:15" x14ac:dyDescent="0.3">
      <c r="A65" s="97" t="s">
        <v>281</v>
      </c>
      <c r="B65" s="98" t="s">
        <v>13</v>
      </c>
      <c r="C65" s="361" t="s">
        <v>251</v>
      </c>
      <c r="D65" s="98" t="s">
        <v>252</v>
      </c>
      <c r="E65" s="99" t="s">
        <v>282</v>
      </c>
      <c r="F65" s="99" t="s">
        <v>251</v>
      </c>
      <c r="G65" s="100" t="s">
        <v>252</v>
      </c>
      <c r="H65" s="101" t="s">
        <v>283</v>
      </c>
      <c r="I65" s="101" t="s">
        <v>251</v>
      </c>
      <c r="J65" s="101" t="s">
        <v>252</v>
      </c>
      <c r="K65" s="102" t="s">
        <v>284</v>
      </c>
      <c r="L65" s="347" t="s">
        <v>251</v>
      </c>
      <c r="M65" s="103" t="s">
        <v>252</v>
      </c>
      <c r="N65" s="366"/>
      <c r="O65" s="367"/>
    </row>
    <row r="66" spans="1:15" x14ac:dyDescent="0.3">
      <c r="A66" s="86"/>
      <c r="B66" s="86" t="str">
        <f>B25</f>
        <v>C-BEV-System</v>
      </c>
      <c r="C66" s="362">
        <f>C25</f>
        <v>25000</v>
      </c>
      <c r="D66" s="86" t="str">
        <f>D25</f>
        <v>t</v>
      </c>
      <c r="E66" s="86" t="str">
        <f>E41</f>
        <v>Limestone (CaO)</v>
      </c>
      <c r="F66" s="364">
        <f>F41</f>
        <v>7006.9081732563945</v>
      </c>
      <c r="G66" s="86" t="s">
        <v>288</v>
      </c>
      <c r="H66" s="86" t="str">
        <f>H45</f>
        <v>Natural gas (CH4)</v>
      </c>
      <c r="I66" s="363">
        <f>I45</f>
        <v>1863055.9993742683</v>
      </c>
      <c r="J66" s="86" t="str">
        <f t="shared" ref="J66" si="0">J45</f>
        <v>m³</v>
      </c>
      <c r="K66" s="86" t="str">
        <f>K26</f>
        <v>Electricity</v>
      </c>
      <c r="L66" s="364">
        <f t="shared" ref="L66" si="1">L26</f>
        <v>216872.6957276079</v>
      </c>
      <c r="M66" s="86" t="s">
        <v>221</v>
      </c>
      <c r="N66" s="369"/>
      <c r="O66" s="368"/>
    </row>
    <row r="67" spans="1:15" x14ac:dyDescent="0.3">
      <c r="A67" s="110"/>
      <c r="B67" s="110"/>
      <c r="C67" s="279"/>
      <c r="D67" s="110"/>
      <c r="E67" s="110" t="str">
        <f>E42</f>
        <v>Sand (SiO2)</v>
      </c>
      <c r="F67" s="365">
        <f>F42</f>
        <v>3626.1431402455278</v>
      </c>
      <c r="G67" s="110" t="s">
        <v>288</v>
      </c>
      <c r="H67" s="110" t="str">
        <f>H55</f>
        <v>Electricity</v>
      </c>
      <c r="I67" s="349">
        <f>I51+I55+I60+SUMIF('R1_Hydro_MEFA'!H:H,'R1_MEFA'!H67,'R1_Hydro_MEFA'!I:I)</f>
        <v>39221466.087394126</v>
      </c>
      <c r="J67" s="110" t="str">
        <f>J55</f>
        <v>kWh</v>
      </c>
      <c r="K67" s="110" t="s">
        <v>97</v>
      </c>
      <c r="L67" s="365">
        <f>L30</f>
        <v>6253.8972023422257</v>
      </c>
      <c r="M67" s="279" t="s">
        <v>288</v>
      </c>
      <c r="N67" s="371"/>
      <c r="O67" s="370"/>
    </row>
    <row r="68" spans="1:15" x14ac:dyDescent="0.3">
      <c r="A68" s="110"/>
      <c r="B68" s="110"/>
      <c r="C68" s="279"/>
      <c r="D68" s="110"/>
      <c r="E68" s="110" t="str">
        <f>E44</f>
        <v>Oxygen</v>
      </c>
      <c r="F68" s="365">
        <f>F44</f>
        <v>2740.2282042699021</v>
      </c>
      <c r="G68" s="110" t="s">
        <v>288</v>
      </c>
      <c r="H68" s="110"/>
      <c r="I68" s="349"/>
      <c r="J68" s="110"/>
      <c r="K68" s="110" t="str">
        <f>K31</f>
        <v>Steel</v>
      </c>
      <c r="L68" s="365">
        <f t="shared" ref="L68" si="2">L31</f>
        <v>1567.3389720234222</v>
      </c>
      <c r="M68" s="279" t="s">
        <v>288</v>
      </c>
      <c r="N68" s="371"/>
      <c r="O68" s="370"/>
    </row>
    <row r="69" spans="1:15" x14ac:dyDescent="0.3">
      <c r="A69" s="110"/>
      <c r="B69" s="110"/>
      <c r="C69" s="279"/>
      <c r="D69" s="110"/>
      <c r="E69" s="110" t="s">
        <v>70</v>
      </c>
      <c r="F69" s="365">
        <f>SUMIF('R1_Hydro_MEFA'!E:E,'R1_MEFA'!E69,'R1_Hydro_MEFA'!F:F)</f>
        <v>7811.984859211535</v>
      </c>
      <c r="G69" s="110" t="s">
        <v>288</v>
      </c>
      <c r="H69" s="110"/>
      <c r="I69" s="110"/>
      <c r="J69" s="110"/>
      <c r="K69" s="110" t="s">
        <v>98</v>
      </c>
      <c r="L69" s="365">
        <f>L32+'R1_Hydro_MEFA'!L38</f>
        <v>1951.0846237258729</v>
      </c>
      <c r="M69" s="279" t="s">
        <v>288</v>
      </c>
      <c r="N69" s="371"/>
      <c r="O69" s="370"/>
    </row>
    <row r="70" spans="1:15" x14ac:dyDescent="0.3">
      <c r="A70" s="110"/>
      <c r="B70" s="110"/>
      <c r="C70" s="279"/>
      <c r="D70" s="110"/>
      <c r="E70" s="110" t="s">
        <v>214</v>
      </c>
      <c r="F70" s="365">
        <f>SUMIF('R1_Hydro_MEFA'!E:E,'R1_MEFA'!E70,'R1_Hydro_MEFA'!F:F)</f>
        <v>45121.737086196517</v>
      </c>
      <c r="G70" s="110" t="s">
        <v>288</v>
      </c>
      <c r="H70" s="110"/>
      <c r="I70" s="110"/>
      <c r="J70" s="110"/>
      <c r="K70" s="110" t="s">
        <v>52</v>
      </c>
      <c r="L70" s="365">
        <f>L33</f>
        <v>154.58685751463889</v>
      </c>
      <c r="M70" s="279" t="s">
        <v>288</v>
      </c>
      <c r="N70" s="371"/>
      <c r="O70" s="370"/>
    </row>
    <row r="71" spans="1:15" x14ac:dyDescent="0.3">
      <c r="A71" s="110"/>
      <c r="B71" s="110"/>
      <c r="C71" s="279"/>
      <c r="D71" s="110"/>
      <c r="E71" s="110" t="s">
        <v>45</v>
      </c>
      <c r="F71" s="365">
        <f>SUMIF('R1_Hydro_MEFA'!E:E,'R1_MEFA'!E71,'R1_Hydro_MEFA'!F:F)</f>
        <v>1670.7992494259533</v>
      </c>
      <c r="G71" s="110" t="s">
        <v>288</v>
      </c>
      <c r="H71" s="110"/>
      <c r="I71" s="110"/>
      <c r="J71" s="110"/>
      <c r="K71" s="110" t="s">
        <v>56</v>
      </c>
      <c r="L71" s="365">
        <f>L34</f>
        <v>0</v>
      </c>
      <c r="M71" s="279" t="s">
        <v>288</v>
      </c>
      <c r="N71" s="371"/>
      <c r="O71" s="370"/>
    </row>
    <row r="72" spans="1:15" x14ac:dyDescent="0.3">
      <c r="A72" s="110"/>
      <c r="B72" s="110"/>
      <c r="C72" s="279"/>
      <c r="D72" s="110"/>
      <c r="E72" s="110" t="s">
        <v>74</v>
      </c>
      <c r="F72" s="365">
        <f>'R1_Hydro_MEFA'!F45+'R1_Hydro_MEFA'!F137</f>
        <v>2136.9158900893381</v>
      </c>
      <c r="G72" s="110" t="s">
        <v>288</v>
      </c>
      <c r="H72" s="110"/>
      <c r="I72" s="110"/>
      <c r="J72" s="110"/>
      <c r="K72" s="110" t="s">
        <v>17</v>
      </c>
      <c r="L72" s="365">
        <f>L35+L36</f>
        <v>1.7176317501626546</v>
      </c>
      <c r="M72" s="279" t="s">
        <v>288</v>
      </c>
      <c r="N72" s="371"/>
      <c r="O72" s="370"/>
    </row>
    <row r="73" spans="1:15" x14ac:dyDescent="0.3">
      <c r="A73" s="110"/>
      <c r="B73" s="110"/>
      <c r="C73" s="279"/>
      <c r="D73" s="110"/>
      <c r="E73" s="110" t="s">
        <v>66</v>
      </c>
      <c r="F73" s="365">
        <f>SUMIF('R1_Hydro_MEFA'!E:E,'R1_MEFA'!E73,'R1_Hydro_MEFA'!F:F)</f>
        <v>15601.418111181765</v>
      </c>
      <c r="G73" s="110" t="s">
        <v>288</v>
      </c>
      <c r="H73" s="110"/>
      <c r="I73" s="110"/>
      <c r="J73" s="110"/>
      <c r="K73" s="110" t="s">
        <v>46</v>
      </c>
      <c r="L73" s="365">
        <f>SUMIF('R1_Hydro_MEFA'!$K$13:$K$252,'R1_MEFA'!K73,'R1_Hydro_MEFA'!$L$13:$L$252)</f>
        <v>3222.6657351281196</v>
      </c>
      <c r="M73" s="279" t="s">
        <v>288</v>
      </c>
      <c r="N73" s="783"/>
      <c r="O73" s="370"/>
    </row>
    <row r="74" spans="1:15" x14ac:dyDescent="0.3">
      <c r="A74" s="110"/>
      <c r="B74" s="110"/>
      <c r="C74" s="279"/>
      <c r="D74" s="110"/>
      <c r="E74" s="110" t="s">
        <v>59</v>
      </c>
      <c r="F74" s="688">
        <f>SUMIF('R1_Hydro_MEFA'!E:E,'R1_MEFA'!E74,'R1_Hydro_MEFA'!F:F)</f>
        <v>2.7644784239039231</v>
      </c>
      <c r="G74" s="110" t="s">
        <v>288</v>
      </c>
      <c r="H74" s="110"/>
      <c r="I74" s="110"/>
      <c r="J74" s="110"/>
      <c r="K74" s="110" t="s">
        <v>59</v>
      </c>
      <c r="L74" s="365">
        <f>SUMIF('R1_Hydro_MEFA'!$K$13:$K$252,'R1_MEFA'!K74,'R1_Hydro_MEFA'!$L$13:$L$252)</f>
        <v>2.7644784239039231</v>
      </c>
      <c r="M74" s="279" t="s">
        <v>288</v>
      </c>
      <c r="N74" s="784" t="s">
        <v>314</v>
      </c>
      <c r="O74" s="370"/>
    </row>
    <row r="75" spans="1:15" x14ac:dyDescent="0.3">
      <c r="A75" s="110"/>
      <c r="B75" s="110"/>
      <c r="C75" s="279"/>
      <c r="D75" s="110"/>
      <c r="E75" s="110" t="s">
        <v>315</v>
      </c>
      <c r="F75" s="688">
        <f>SUMIF('R1_Hydro_MEFA'!E:E,"Cyanex 272 compensation loss",'R1_Hydro_MEFA'!F:F)+SUMIF('R1_Hydro_MEFA'!E:E,"Cyanex 272 (Circulation)",'R1_Hydro_MEFA'!F:F)</f>
        <v>1.2440152907567654</v>
      </c>
      <c r="G75" s="110" t="s">
        <v>288</v>
      </c>
      <c r="H75" s="110"/>
      <c r="I75" s="110"/>
      <c r="J75" s="110"/>
      <c r="K75" s="110" t="s">
        <v>37</v>
      </c>
      <c r="L75" s="365">
        <f>SUMIF('R1_Hydro_MEFA'!$K$13:$K$252,'R1_MEFA'!K75,'R1_Hydro_MEFA'!$L$13:$L$252)</f>
        <v>1.1847764673873957</v>
      </c>
      <c r="M75" s="279" t="s">
        <v>288</v>
      </c>
      <c r="N75" s="784" t="s">
        <v>314</v>
      </c>
      <c r="O75" s="370"/>
    </row>
    <row r="76" spans="1:15" ht="15.6" x14ac:dyDescent="0.3">
      <c r="A76" s="110"/>
      <c r="B76" s="110"/>
      <c r="C76" s="279"/>
      <c r="D76" s="110"/>
      <c r="E76" s="110" t="s">
        <v>41</v>
      </c>
      <c r="F76" s="836">
        <f>SUMIF('R1_Hydro_MEFA'!E:E,"D2EHPA compensation loss p.a.)",'R1_Hydro_MEFA'!F:F)+SUMIF('R1_Hydro_MEFA'!E:E,"D2EHPA (Circulation)",'R1_Hydro_MEFA'!F:F)</f>
        <v>0</v>
      </c>
      <c r="G76" s="110" t="s">
        <v>288</v>
      </c>
      <c r="H76" s="110"/>
      <c r="I76" s="110"/>
      <c r="J76" s="110"/>
      <c r="K76" s="110" t="s">
        <v>151</v>
      </c>
      <c r="L76" s="365">
        <f>SUMIF('R1_Hydro_MEFA'!$K$13:$K$252,'R1_MEFA'!K76,'R1_Hydro_MEFA'!$L$13:$L$252)</f>
        <v>8979.9224806427319</v>
      </c>
      <c r="M76" s="279" t="s">
        <v>288</v>
      </c>
      <c r="N76" s="784"/>
      <c r="O76" s="370"/>
    </row>
    <row r="77" spans="1:15" ht="15.6" x14ac:dyDescent="0.3">
      <c r="A77" s="110"/>
      <c r="B77" s="110"/>
      <c r="C77" s="279"/>
      <c r="D77" s="110"/>
      <c r="E77" s="110" t="s">
        <v>65</v>
      </c>
      <c r="F77" s="833">
        <f>SUMIF('R1_Hydro_MEFA'!E:E,'R1_MEFA'!E77,'R1_Hydro_MEFA'!F:F)</f>
        <v>0</v>
      </c>
      <c r="G77" s="110" t="s">
        <v>288</v>
      </c>
      <c r="H77" s="110"/>
      <c r="I77" s="110"/>
      <c r="J77" s="110"/>
      <c r="K77" s="110" t="s">
        <v>139</v>
      </c>
      <c r="L77" s="365">
        <f>SUMIF('R1_Hydro_MEFA'!$K$13:$K$252,'R1_MEFA'!K77,'R1_Hydro_MEFA'!$L$13:$L$252)</f>
        <v>3169.347029898589</v>
      </c>
      <c r="M77" s="279" t="s">
        <v>288</v>
      </c>
      <c r="N77" s="784"/>
      <c r="O77" s="370"/>
    </row>
    <row r="78" spans="1:15" x14ac:dyDescent="0.3">
      <c r="A78" s="110"/>
      <c r="B78" s="110"/>
      <c r="C78" s="279"/>
      <c r="D78" s="110"/>
      <c r="E78" s="110" t="s">
        <v>316</v>
      </c>
      <c r="F78" s="833">
        <f>IF(F70*0.9&lt;L85,F70*0.1,F70-L85)</f>
        <v>4512.1737086196517</v>
      </c>
      <c r="G78" s="110" t="s">
        <v>288</v>
      </c>
      <c r="H78" s="110"/>
      <c r="I78" s="110"/>
      <c r="J78" s="110"/>
      <c r="K78" s="110" t="s">
        <v>22</v>
      </c>
      <c r="L78" s="365">
        <f>SUMIF('R1_Hydro_MEFA'!$K$13:$K$252,'R1_MEFA'!K78,'R1_Hydro_MEFA'!$L$13:$L$252)</f>
        <v>0</v>
      </c>
      <c r="M78" s="279" t="s">
        <v>288</v>
      </c>
      <c r="N78" s="784" t="s">
        <v>317</v>
      </c>
      <c r="O78" s="370"/>
    </row>
    <row r="79" spans="1:15" x14ac:dyDescent="0.3">
      <c r="A79" s="110"/>
      <c r="B79" s="110"/>
      <c r="C79" s="279"/>
      <c r="D79" s="110"/>
      <c r="E79" s="110"/>
      <c r="F79" s="833"/>
      <c r="G79" s="110"/>
      <c r="H79" s="110"/>
      <c r="I79" s="110"/>
      <c r="J79" s="110"/>
      <c r="K79" s="110" t="s">
        <v>30</v>
      </c>
      <c r="L79" s="365">
        <f>SUMIF('R1_Hydro_MEFA'!$K$13:$K$252,'R1_MEFA'!K79,'R1_Hydro_MEFA'!$L$13:$L$252)</f>
        <v>0</v>
      </c>
      <c r="M79" s="279" t="s">
        <v>288</v>
      </c>
      <c r="N79" s="785"/>
      <c r="O79" s="370"/>
    </row>
    <row r="80" spans="1:15" x14ac:dyDescent="0.3">
      <c r="A80" s="110"/>
      <c r="B80" s="110"/>
      <c r="C80" s="279"/>
      <c r="D80" s="110"/>
      <c r="E80" s="110"/>
      <c r="F80" s="833"/>
      <c r="G80" s="110"/>
      <c r="H80" s="110"/>
      <c r="I80" s="110"/>
      <c r="J80" s="110"/>
      <c r="K80" s="110" t="s">
        <v>318</v>
      </c>
      <c r="L80" s="365">
        <f>SUMIF('R1_Hydro_MEFA'!$K$13:$K$252,'R1_MEFA'!K80,'R1_Hydro_MEFA'!$L$13:$L$252)</f>
        <v>0</v>
      </c>
      <c r="M80" s="279" t="s">
        <v>288</v>
      </c>
      <c r="N80" s="783"/>
      <c r="O80" s="370"/>
    </row>
    <row r="81" spans="1:15" x14ac:dyDescent="0.3">
      <c r="A81" s="110"/>
      <c r="B81" s="110"/>
      <c r="C81" s="279"/>
      <c r="D81" s="110"/>
      <c r="E81" s="110"/>
      <c r="F81" s="833"/>
      <c r="G81" s="110"/>
      <c r="H81" s="110"/>
      <c r="I81" s="110"/>
      <c r="J81" s="110"/>
      <c r="K81" s="110" t="s">
        <v>29</v>
      </c>
      <c r="L81" s="365">
        <f>SUMIF('R1_Hydro_MEFA'!$K$13:$K$252,'R1_MEFA'!K81,'R1_Hydro_MEFA'!$L$13:$L$252)</f>
        <v>0</v>
      </c>
      <c r="M81" s="279" t="s">
        <v>288</v>
      </c>
      <c r="N81" s="783"/>
      <c r="O81" s="370"/>
    </row>
    <row r="82" spans="1:15" x14ac:dyDescent="0.3">
      <c r="A82" s="110"/>
      <c r="B82" s="110"/>
      <c r="C82" s="279"/>
      <c r="D82" s="110"/>
      <c r="E82" s="110"/>
      <c r="F82" s="833"/>
      <c r="G82" s="110"/>
      <c r="H82" s="110"/>
      <c r="I82" s="110"/>
      <c r="J82" s="110"/>
      <c r="K82" s="110" t="s">
        <v>41</v>
      </c>
      <c r="L82" s="365">
        <f>SUMIF('R1_Hydro_MEFA'!$K$13:$K$252,'R1_MEFA'!K82,'R1_Hydro_MEFA'!$L$13:$L$252)</f>
        <v>0</v>
      </c>
      <c r="M82" s="279" t="s">
        <v>288</v>
      </c>
      <c r="N82" s="784" t="s">
        <v>314</v>
      </c>
      <c r="O82" s="370"/>
    </row>
    <row r="83" spans="1:15" x14ac:dyDescent="0.3">
      <c r="A83" s="110"/>
      <c r="B83" s="110"/>
      <c r="C83" s="279"/>
      <c r="D83" s="110"/>
      <c r="E83" s="110"/>
      <c r="F83" s="837"/>
      <c r="G83" s="110"/>
      <c r="H83" s="110"/>
      <c r="I83" s="110"/>
      <c r="J83" s="110"/>
      <c r="K83" s="110" t="s">
        <v>64</v>
      </c>
      <c r="L83" s="365">
        <f>SUMIF('R1_Hydro_MEFA'!$K$13:$K$252,'R1_MEFA'!K83,'R1_Hydro_MEFA'!$L$13:$L$252)</f>
        <v>0</v>
      </c>
      <c r="M83" s="279" t="s">
        <v>288</v>
      </c>
      <c r="N83" s="783"/>
      <c r="O83" s="370"/>
    </row>
    <row r="84" spans="1:15" x14ac:dyDescent="0.3">
      <c r="A84" s="110"/>
      <c r="B84" s="110"/>
      <c r="C84" s="279"/>
      <c r="D84" s="110"/>
      <c r="E84" s="110"/>
      <c r="F84" s="833"/>
      <c r="G84" s="110"/>
      <c r="H84" s="110"/>
      <c r="I84" s="110"/>
      <c r="J84" s="110"/>
      <c r="K84" s="110" t="s">
        <v>63</v>
      </c>
      <c r="L84" s="365">
        <f>SUMIF('R1_Hydro_MEFA'!$K$13:$K$252,'R1_MEFA'!K84,'R1_Hydro_MEFA'!$L$13:$L$252)</f>
        <v>0</v>
      </c>
      <c r="M84" s="279" t="s">
        <v>288</v>
      </c>
      <c r="N84" s="783"/>
      <c r="O84" s="370"/>
    </row>
    <row r="85" spans="1:15" x14ac:dyDescent="0.3">
      <c r="A85" s="110"/>
      <c r="B85" s="110"/>
      <c r="C85" s="279"/>
      <c r="D85" s="110"/>
      <c r="E85" s="110"/>
      <c r="F85" s="833"/>
      <c r="G85" s="110"/>
      <c r="H85" s="110"/>
      <c r="I85" s="110"/>
      <c r="J85" s="110"/>
      <c r="K85" s="110" t="s">
        <v>214</v>
      </c>
      <c r="L85" s="365">
        <f>SUMIF('R1_Hydro_MEFA'!$K$13:$K$252,'R1_MEFA'!K85,'R1_Hydro_MEFA'!$L$13:$L$252)</f>
        <v>60042.23415237297</v>
      </c>
      <c r="M85" s="279" t="s">
        <v>288</v>
      </c>
      <c r="N85" s="783" t="s">
        <v>319</v>
      </c>
      <c r="O85" s="370"/>
    </row>
    <row r="86" spans="1:15" x14ac:dyDescent="0.3">
      <c r="A86" s="110"/>
      <c r="B86" s="110"/>
      <c r="C86" s="279"/>
      <c r="D86" s="110"/>
      <c r="E86" s="110"/>
      <c r="F86" s="833"/>
      <c r="G86" s="110"/>
      <c r="H86" s="110"/>
      <c r="I86" s="110"/>
      <c r="J86" s="110"/>
      <c r="K86" s="110" t="s">
        <v>60</v>
      </c>
      <c r="L86" s="365">
        <f>SUMIF('R1_Hydro_MEFA'!$K$13:$K$252,'R1_MEFA'!K86,'R1_Hydro_MEFA'!$L$13:$L$252)</f>
        <v>0</v>
      </c>
      <c r="M86" s="279" t="s">
        <v>288</v>
      </c>
      <c r="N86" s="371"/>
      <c r="O86" s="370"/>
    </row>
    <row r="87" spans="1:15" x14ac:dyDescent="0.3">
      <c r="A87" s="113"/>
      <c r="B87" s="113"/>
      <c r="C87" s="93"/>
      <c r="D87" s="93"/>
      <c r="E87" s="93"/>
      <c r="F87" s="93"/>
      <c r="G87" s="93"/>
      <c r="H87" s="93"/>
      <c r="I87" s="93"/>
      <c r="J87" s="93"/>
      <c r="K87" s="93" t="s">
        <v>320</v>
      </c>
      <c r="L87" s="727">
        <f>L85-F70+F78</f>
        <v>19432.670774796105</v>
      </c>
      <c r="M87" s="93" t="s">
        <v>288</v>
      </c>
      <c r="N87" s="93" t="s">
        <v>319</v>
      </c>
      <c r="O87" s="93"/>
    </row>
    <row r="90" spans="1:15" x14ac:dyDescent="0.3">
      <c r="K90" s="923"/>
    </row>
    <row r="91" spans="1:15" x14ac:dyDescent="0.3">
      <c r="F91" s="730"/>
      <c r="H91" s="731"/>
      <c r="L91" s="729"/>
    </row>
    <row r="92" spans="1:15" x14ac:dyDescent="0.3">
      <c r="F92" s="730"/>
      <c r="H92" s="731"/>
      <c r="L92" s="729"/>
    </row>
    <row r="93" spans="1:15" x14ac:dyDescent="0.3">
      <c r="F93" s="730"/>
      <c r="L93" s="729"/>
    </row>
    <row r="94" spans="1:15" x14ac:dyDescent="0.3">
      <c r="F94" s="730"/>
      <c r="L94" s="729"/>
    </row>
    <row r="95" spans="1:15" x14ac:dyDescent="0.3">
      <c r="F95" s="730"/>
      <c r="L95" s="729"/>
    </row>
    <row r="96" spans="1:15" x14ac:dyDescent="0.3">
      <c r="F96" s="730"/>
      <c r="L96" s="729"/>
    </row>
    <row r="97" spans="6:12" x14ac:dyDescent="0.3">
      <c r="F97" s="730"/>
      <c r="L97" s="729"/>
    </row>
    <row r="98" spans="6:12" x14ac:dyDescent="0.3">
      <c r="F98" s="730"/>
      <c r="L98" s="729"/>
    </row>
    <row r="99" spans="6:12" x14ac:dyDescent="0.3">
      <c r="F99" s="730"/>
      <c r="L99" s="729"/>
    </row>
    <row r="100" spans="6:12" x14ac:dyDescent="0.3">
      <c r="F100" s="730"/>
      <c r="L100" s="729"/>
    </row>
    <row r="101" spans="6:12" x14ac:dyDescent="0.3">
      <c r="F101" s="730"/>
      <c r="L101" s="729"/>
    </row>
    <row r="102" spans="6:12" x14ac:dyDescent="0.3">
      <c r="F102" s="730"/>
      <c r="L102" s="729"/>
    </row>
    <row r="103" spans="6:12" x14ac:dyDescent="0.3">
      <c r="F103" s="730"/>
      <c r="L103" s="729"/>
    </row>
    <row r="104" spans="6:12" x14ac:dyDescent="0.3">
      <c r="F104" s="730"/>
      <c r="L104" s="729"/>
    </row>
    <row r="105" spans="6:12" x14ac:dyDescent="0.3">
      <c r="L105" s="729"/>
    </row>
    <row r="106" spans="6:12" x14ac:dyDescent="0.3">
      <c r="L106" s="729"/>
    </row>
    <row r="107" spans="6:12" x14ac:dyDescent="0.3">
      <c r="L107" s="729"/>
    </row>
    <row r="108" spans="6:12" x14ac:dyDescent="0.3">
      <c r="L108" s="729"/>
    </row>
    <row r="109" spans="6:12" x14ac:dyDescent="0.3">
      <c r="L109" s="729"/>
    </row>
    <row r="110" spans="6:12" x14ac:dyDescent="0.3">
      <c r="L110" s="729"/>
    </row>
    <row r="111" spans="6:12" x14ac:dyDescent="0.3">
      <c r="L111" s="729"/>
    </row>
    <row r="112" spans="6:12" x14ac:dyDescent="0.3">
      <c r="L112" s="729"/>
    </row>
  </sheetData>
  <pageMargins left="0.7" right="0.7" top="0.78740157499999996" bottom="0.78740157499999996"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0" tint="-0.499984740745262"/>
  </sheetPr>
  <dimension ref="A1:AC218"/>
  <sheetViews>
    <sheetView zoomScale="70" zoomScaleNormal="70" workbookViewId="0">
      <selection activeCell="P132" sqref="P132"/>
    </sheetView>
  </sheetViews>
  <sheetFormatPr baseColWidth="10" defaultColWidth="11.44140625" defaultRowHeight="14.4" x14ac:dyDescent="0.3"/>
  <cols>
    <col min="1" max="1" width="21" customWidth="1"/>
    <col min="2" max="2" width="14.33203125" bestFit="1" customWidth="1"/>
    <col min="3" max="3" width="11.77734375" bestFit="1" customWidth="1"/>
    <col min="4" max="4" width="8.33203125" customWidth="1"/>
    <col min="5" max="5" width="21.77734375" customWidth="1"/>
    <col min="6" max="6" width="11.77734375" bestFit="1" customWidth="1"/>
    <col min="7" max="7" width="11.44140625" customWidth="1"/>
    <col min="8" max="8" width="16.6640625" customWidth="1"/>
    <col min="9" max="9" width="14.44140625" customWidth="1"/>
    <col min="10" max="10" width="8.109375" customWidth="1"/>
    <col min="11" max="11" width="19.77734375" customWidth="1"/>
    <col min="12" max="12" width="14.6640625" customWidth="1"/>
    <col min="13" max="13" width="7.33203125" customWidth="1"/>
    <col min="14" max="14" width="13" style="356" customWidth="1"/>
    <col min="15" max="15" width="16.44140625" style="356" customWidth="1"/>
    <col min="16" max="16" width="37.6640625" style="121" customWidth="1"/>
    <col min="17" max="17" width="11.33203125" style="122" customWidth="1"/>
    <col min="18" max="18" width="12.6640625" customWidth="1"/>
    <col min="19" max="19" width="26.33203125" customWidth="1"/>
    <col min="20" max="20" width="12.6640625" customWidth="1"/>
    <col min="21" max="21" width="15.6640625" customWidth="1"/>
    <col min="22" max="22" width="12.77734375" customWidth="1"/>
    <col min="23" max="23" width="12.6640625" customWidth="1"/>
    <col min="24" max="24" width="12.77734375" customWidth="1"/>
    <col min="25" max="25" width="15.109375" customWidth="1"/>
    <col min="26" max="26" width="26.109375" customWidth="1"/>
    <col min="27" max="27" width="14.6640625" customWidth="1"/>
    <col min="28" max="28" width="15.77734375" customWidth="1"/>
  </cols>
  <sheetData>
    <row r="1" spans="1:17" ht="21" x14ac:dyDescent="0.4">
      <c r="A1" s="188" t="s">
        <v>321</v>
      </c>
      <c r="B1" s="188"/>
    </row>
    <row r="2" spans="1:17" ht="21" x14ac:dyDescent="0.4">
      <c r="A2" s="188"/>
      <c r="B2" s="188"/>
    </row>
    <row r="3" spans="1:17" x14ac:dyDescent="0.3">
      <c r="E3" s="698" t="s">
        <v>322</v>
      </c>
    </row>
    <row r="4" spans="1:17" s="125" customFormat="1" ht="28.8" x14ac:dyDescent="0.3">
      <c r="A4" s="124" t="s">
        <v>13</v>
      </c>
      <c r="B4" s="124" t="s">
        <v>251</v>
      </c>
      <c r="C4" s="124" t="s">
        <v>252</v>
      </c>
      <c r="E4" s="126" t="s">
        <v>323</v>
      </c>
      <c r="F4" s="124"/>
      <c r="G4" s="124" t="s">
        <v>324</v>
      </c>
      <c r="N4" s="499"/>
      <c r="O4" s="499"/>
      <c r="P4" s="127"/>
      <c r="Q4" s="128"/>
    </row>
    <row r="5" spans="1:17" x14ac:dyDescent="0.3">
      <c r="A5" s="123" t="s">
        <v>325</v>
      </c>
      <c r="B5" s="394">
        <f>IF(Macro!$D$8=1,2500,IF(Macro!$D$8=2,25000,75000))</f>
        <v>25000</v>
      </c>
      <c r="C5" s="123" t="s">
        <v>326</v>
      </c>
      <c r="D5" s="132"/>
      <c r="E5" s="123" t="s">
        <v>327</v>
      </c>
      <c r="F5" s="810">
        <v>0.3</v>
      </c>
      <c r="G5" s="133">
        <v>0.3</v>
      </c>
    </row>
    <row r="6" spans="1:17" x14ac:dyDescent="0.3">
      <c r="A6" s="123"/>
      <c r="B6" s="123"/>
      <c r="C6" s="123"/>
    </row>
    <row r="7" spans="1:17" x14ac:dyDescent="0.3">
      <c r="A7" s="123" t="s">
        <v>94</v>
      </c>
      <c r="B7" s="135">
        <f>B5*Battery!E10</f>
        <v>2130.8557449577102</v>
      </c>
      <c r="C7" s="123" t="s">
        <v>326</v>
      </c>
      <c r="E7" s="121"/>
    </row>
    <row r="8" spans="1:17" x14ac:dyDescent="0.3">
      <c r="A8" s="123" t="s">
        <v>93</v>
      </c>
      <c r="B8" s="135">
        <f>B5*Battery!E11</f>
        <v>713.2178876599437</v>
      </c>
      <c r="C8" s="123" t="s">
        <v>326</v>
      </c>
      <c r="E8" s="104"/>
      <c r="F8" s="491"/>
      <c r="G8" s="70"/>
      <c r="H8" s="104"/>
      <c r="I8" s="104"/>
    </row>
    <row r="9" spans="1:17" ht="28.8" x14ac:dyDescent="0.3">
      <c r="A9" s="698" t="s">
        <v>328</v>
      </c>
      <c r="B9" s="135">
        <f>B5*Battery!E15+B5*Battery!E29</f>
        <v>1728.3192366081112</v>
      </c>
      <c r="C9" s="123" t="s">
        <v>326</v>
      </c>
      <c r="E9" s="70"/>
      <c r="F9" s="464"/>
      <c r="G9" s="70"/>
      <c r="H9" s="70"/>
      <c r="I9" s="70"/>
    </row>
    <row r="10" spans="1:17" x14ac:dyDescent="0.3">
      <c r="A10" s="123" t="s">
        <v>45</v>
      </c>
      <c r="B10" s="147">
        <f>B5*SUM(Battery!E20+Battery!E26)*F5</f>
        <v>219.38841899804814</v>
      </c>
      <c r="C10" s="123" t="s">
        <v>326</v>
      </c>
      <c r="E10" s="70"/>
      <c r="F10" s="70"/>
      <c r="G10" s="70"/>
      <c r="H10" s="70"/>
      <c r="I10" s="70"/>
    </row>
    <row r="11" spans="1:17" x14ac:dyDescent="0.3">
      <c r="A11" s="124" t="s">
        <v>329</v>
      </c>
      <c r="B11" s="135">
        <f>SUM(B7:B10)</f>
        <v>4791.7812882238131</v>
      </c>
      <c r="C11" s="123" t="s">
        <v>326</v>
      </c>
    </row>
    <row r="13" spans="1:17" ht="28.8" x14ac:dyDescent="0.3">
      <c r="A13" s="151" t="s">
        <v>281</v>
      </c>
      <c r="B13" s="98" t="s">
        <v>13</v>
      </c>
      <c r="C13" s="98" t="s">
        <v>251</v>
      </c>
      <c r="D13" s="98" t="s">
        <v>252</v>
      </c>
      <c r="E13" s="99" t="s">
        <v>282</v>
      </c>
      <c r="F13" s="99" t="s">
        <v>251</v>
      </c>
      <c r="G13" s="99" t="s">
        <v>252</v>
      </c>
      <c r="H13" s="101" t="s">
        <v>283</v>
      </c>
      <c r="I13" s="152" t="s">
        <v>251</v>
      </c>
      <c r="J13" s="152" t="s">
        <v>252</v>
      </c>
      <c r="K13" s="102" t="s">
        <v>330</v>
      </c>
      <c r="L13" s="153" t="s">
        <v>251</v>
      </c>
      <c r="M13" s="102" t="s">
        <v>252</v>
      </c>
      <c r="N13" s="518" t="s">
        <v>331</v>
      </c>
      <c r="O13" s="518" t="s">
        <v>332</v>
      </c>
      <c r="P13" s="97" t="s">
        <v>285</v>
      </c>
      <c r="Q13" s="154" t="s">
        <v>298</v>
      </c>
    </row>
    <row r="14" spans="1:17" s="125" customFormat="1" x14ac:dyDescent="0.3">
      <c r="A14" s="155" t="s">
        <v>204</v>
      </c>
      <c r="B14" s="155"/>
      <c r="C14" s="156"/>
      <c r="D14" s="156"/>
      <c r="E14" s="155"/>
      <c r="F14" s="155"/>
      <c r="G14" s="157"/>
      <c r="H14" s="155"/>
      <c r="I14" s="155"/>
      <c r="J14" s="155"/>
      <c r="K14" s="156"/>
      <c r="L14" s="158"/>
      <c r="M14" s="155"/>
      <c r="N14" s="500"/>
      <c r="O14" s="500"/>
      <c r="P14" s="159"/>
      <c r="Q14" s="160"/>
    </row>
    <row r="15" spans="1:17" x14ac:dyDescent="0.3">
      <c r="A15" s="210" t="s">
        <v>333</v>
      </c>
      <c r="B15" s="132" t="s">
        <v>278</v>
      </c>
      <c r="C15" s="161">
        <f>B11</f>
        <v>4791.7812882238131</v>
      </c>
      <c r="D15" s="162" t="s">
        <v>288</v>
      </c>
      <c r="E15" s="132"/>
      <c r="F15" s="132"/>
      <c r="G15" s="162"/>
      <c r="H15" s="132"/>
      <c r="I15" s="132"/>
      <c r="J15" s="132"/>
      <c r="K15" s="162"/>
      <c r="L15" s="132"/>
      <c r="M15" s="132"/>
      <c r="N15" s="501"/>
      <c r="O15" s="501"/>
      <c r="P15" s="163"/>
      <c r="Q15" s="164"/>
    </row>
    <row r="16" spans="1:17" x14ac:dyDescent="0.3">
      <c r="A16" s="132" t="s">
        <v>334</v>
      </c>
      <c r="B16" s="132"/>
      <c r="C16" s="162"/>
      <c r="D16" s="162"/>
      <c r="E16" s="210" t="s">
        <v>70</v>
      </c>
      <c r="F16" s="166">
        <f>Stoichiometry!G12</f>
        <v>7800.7090555908826</v>
      </c>
      <c r="G16" s="162" t="s">
        <v>288</v>
      </c>
      <c r="H16" s="132"/>
      <c r="I16" s="132"/>
      <c r="J16" s="132"/>
      <c r="K16" s="162"/>
      <c r="L16" s="132"/>
      <c r="M16" s="132"/>
      <c r="N16" s="501"/>
      <c r="O16" s="501"/>
      <c r="P16" s="163"/>
      <c r="Q16" s="164"/>
    </row>
    <row r="17" spans="1:17" x14ac:dyDescent="0.3">
      <c r="A17" s="132"/>
      <c r="B17" s="132"/>
      <c r="C17" s="162"/>
      <c r="D17" s="162"/>
      <c r="E17" s="132"/>
      <c r="F17" s="166"/>
      <c r="G17" s="162"/>
      <c r="H17" s="132" t="s">
        <v>48</v>
      </c>
      <c r="I17" s="168">
        <f>Energy!P14</f>
        <v>348335.92413689021</v>
      </c>
      <c r="J17" s="132" t="s">
        <v>221</v>
      </c>
      <c r="K17" s="162"/>
      <c r="L17" s="132"/>
      <c r="M17" s="132"/>
      <c r="N17" s="501"/>
      <c r="O17" s="501"/>
      <c r="P17" s="163" t="s">
        <v>335</v>
      </c>
      <c r="Q17" s="164"/>
    </row>
    <row r="18" spans="1:17" x14ac:dyDescent="0.3">
      <c r="A18" s="132"/>
      <c r="B18" s="168"/>
      <c r="C18" s="162"/>
      <c r="D18" s="162"/>
      <c r="E18" s="132"/>
      <c r="F18" s="132"/>
      <c r="G18" s="162"/>
      <c r="H18" s="132"/>
      <c r="I18" s="132"/>
      <c r="J18" s="132"/>
      <c r="K18" s="162" t="s">
        <v>336</v>
      </c>
      <c r="L18" s="168">
        <f>Stoichiometry!G19</f>
        <v>12431.831368567004</v>
      </c>
      <c r="M18" s="132" t="s">
        <v>288</v>
      </c>
      <c r="N18" s="501"/>
      <c r="O18" s="501"/>
      <c r="P18" s="163" t="s">
        <v>337</v>
      </c>
      <c r="Q18" s="164"/>
    </row>
    <row r="19" spans="1:17" x14ac:dyDescent="0.3">
      <c r="A19" s="132"/>
      <c r="B19" s="168"/>
      <c r="C19" s="162"/>
      <c r="D19" s="162"/>
      <c r="E19" s="132"/>
      <c r="F19" s="132"/>
      <c r="G19" s="162"/>
      <c r="H19" s="132"/>
      <c r="I19" s="132"/>
      <c r="J19" s="132"/>
      <c r="K19" s="162" t="s">
        <v>336</v>
      </c>
      <c r="L19" s="168">
        <f>L18/N19</f>
        <v>3437.746717417218</v>
      </c>
      <c r="M19" s="132" t="s">
        <v>301</v>
      </c>
      <c r="N19" s="502">
        <f>Stoichiometry!C19</f>
        <v>3.6162732133759548</v>
      </c>
      <c r="O19" s="502"/>
      <c r="P19" s="163"/>
      <c r="Q19" s="191"/>
    </row>
    <row r="20" spans="1:17" x14ac:dyDescent="0.3">
      <c r="A20" s="132"/>
      <c r="B20" s="132"/>
      <c r="C20" s="162"/>
      <c r="D20" s="162"/>
      <c r="E20" s="132"/>
      <c r="F20" s="132"/>
      <c r="G20" s="162"/>
      <c r="H20" s="169"/>
      <c r="I20" s="169"/>
      <c r="J20" s="169"/>
      <c r="K20" s="145"/>
      <c r="L20" s="169"/>
      <c r="M20" s="169"/>
      <c r="N20" s="503"/>
      <c r="O20" s="503"/>
      <c r="P20" s="170"/>
      <c r="Q20" s="171"/>
    </row>
    <row r="21" spans="1:17" x14ac:dyDescent="0.3">
      <c r="A21" s="770" t="s">
        <v>205</v>
      </c>
      <c r="B21" s="172"/>
      <c r="C21" s="173"/>
      <c r="D21" s="173"/>
      <c r="E21" s="172"/>
      <c r="F21" s="172"/>
      <c r="G21" s="173"/>
      <c r="H21" s="132"/>
      <c r="I21" s="132"/>
      <c r="J21" s="132"/>
      <c r="K21" s="162"/>
      <c r="L21" s="132"/>
      <c r="M21" s="132"/>
      <c r="N21" s="501"/>
      <c r="O21" s="501"/>
      <c r="P21" s="163"/>
      <c r="Q21" s="164"/>
    </row>
    <row r="22" spans="1:17" x14ac:dyDescent="0.3">
      <c r="A22" s="210" t="s">
        <v>338</v>
      </c>
      <c r="B22" s="132" t="s">
        <v>336</v>
      </c>
      <c r="C22" s="161">
        <f>L18</f>
        <v>12431.831368567004</v>
      </c>
      <c r="D22" s="162" t="s">
        <v>288</v>
      </c>
      <c r="E22" s="132"/>
      <c r="F22" s="132"/>
      <c r="G22" s="162"/>
      <c r="H22" s="132"/>
      <c r="I22" s="132"/>
      <c r="J22" s="132"/>
      <c r="K22" s="162"/>
      <c r="L22" s="132"/>
      <c r="M22" s="132"/>
      <c r="N22" s="501"/>
      <c r="O22" s="501"/>
      <c r="P22" s="163"/>
      <c r="Q22" s="164"/>
    </row>
    <row r="23" spans="1:17" ht="15.45" customHeight="1" x14ac:dyDescent="0.3">
      <c r="A23" s="174"/>
      <c r="B23" s="175"/>
      <c r="C23" s="176"/>
      <c r="D23" s="176"/>
      <c r="E23" s="132" t="s">
        <v>214</v>
      </c>
      <c r="F23" s="177">
        <f>(Stoichiometry!G14/(Stoichiometry!J6/1000)+Stoichiometry!G15/(Stoichiometry!J5/1000)+Stoichiometry!G16/(Stoichiometry!J9/1000)+Stoichiometry!G17/(Stoichiometry!J10/1000))*Q23</f>
        <v>45121.737086196517</v>
      </c>
      <c r="G23" s="162" t="s">
        <v>288</v>
      </c>
      <c r="H23" s="132"/>
      <c r="I23" s="132"/>
      <c r="J23" s="132"/>
      <c r="K23" s="162"/>
      <c r="L23" s="132"/>
      <c r="M23" s="132"/>
      <c r="N23" s="501"/>
      <c r="O23" s="501"/>
      <c r="P23" s="178" t="s">
        <v>339</v>
      </c>
      <c r="Q23" s="811">
        <v>1.2</v>
      </c>
    </row>
    <row r="24" spans="1:17" ht="29.55" customHeight="1" x14ac:dyDescent="0.3">
      <c r="A24" s="174"/>
      <c r="B24" s="175"/>
      <c r="C24" s="176"/>
      <c r="D24" s="176"/>
      <c r="E24" s="132"/>
      <c r="F24" s="177"/>
      <c r="G24" s="162"/>
      <c r="H24" s="388" t="s">
        <v>48</v>
      </c>
      <c r="I24" s="470">
        <f>Energy!P15</f>
        <v>144046.42454837245</v>
      </c>
      <c r="J24" s="388" t="s">
        <v>221</v>
      </c>
      <c r="K24" s="162"/>
      <c r="L24" s="132"/>
      <c r="M24" s="132"/>
      <c r="N24" s="501"/>
      <c r="O24" s="501"/>
      <c r="P24" s="178"/>
      <c r="Q24" s="469"/>
    </row>
    <row r="25" spans="1:17" ht="15.45" customHeight="1" x14ac:dyDescent="0.3">
      <c r="A25" s="132"/>
      <c r="B25" s="132"/>
      <c r="C25" s="162"/>
      <c r="D25" s="162"/>
      <c r="E25" s="132"/>
      <c r="F25" s="132"/>
      <c r="G25" s="162"/>
      <c r="H25" s="132"/>
      <c r="I25" s="132"/>
      <c r="J25" s="132"/>
      <c r="K25" s="162" t="s">
        <v>340</v>
      </c>
      <c r="L25" s="168">
        <f>C22+F23</f>
        <v>57553.568454763517</v>
      </c>
      <c r="M25" s="132" t="s">
        <v>288</v>
      </c>
      <c r="N25" s="501"/>
      <c r="O25" s="501"/>
      <c r="P25" s="163"/>
      <c r="Q25" s="164"/>
    </row>
    <row r="26" spans="1:17" x14ac:dyDescent="0.3">
      <c r="A26" s="132"/>
      <c r="B26" s="132"/>
      <c r="C26" s="162"/>
      <c r="D26" s="162"/>
      <c r="E26" s="132"/>
      <c r="F26" s="132"/>
      <c r="G26" s="162"/>
      <c r="H26" s="132"/>
      <c r="I26" s="132"/>
      <c r="J26" s="132"/>
      <c r="K26" s="162" t="s">
        <v>340</v>
      </c>
      <c r="L26" s="168">
        <f>L25/N26</f>
        <v>36772.462308546754</v>
      </c>
      <c r="M26" s="132" t="s">
        <v>301</v>
      </c>
      <c r="N26" s="504">
        <f>C22*Stoichiometry!C19/L25+F23*1/L25</f>
        <v>1.5651268596551602</v>
      </c>
      <c r="O26" s="504"/>
      <c r="P26" s="163"/>
      <c r="Q26" s="191"/>
    </row>
    <row r="27" spans="1:17" x14ac:dyDescent="0.3">
      <c r="A27" s="132"/>
      <c r="B27" s="132"/>
      <c r="C27" s="162"/>
      <c r="D27" s="162"/>
      <c r="E27" s="132"/>
      <c r="F27" s="132"/>
      <c r="G27" s="162"/>
      <c r="H27" s="169"/>
      <c r="I27" s="169"/>
      <c r="J27" s="169"/>
      <c r="K27" s="145"/>
      <c r="L27" s="169"/>
      <c r="M27" s="169"/>
      <c r="N27" s="503"/>
      <c r="O27" s="503"/>
      <c r="P27" s="170"/>
      <c r="Q27" s="171"/>
    </row>
    <row r="28" spans="1:17" ht="28.8" x14ac:dyDescent="0.3">
      <c r="A28" s="770" t="s">
        <v>341</v>
      </c>
      <c r="B28" s="172"/>
      <c r="C28" s="173"/>
      <c r="D28" s="173"/>
      <c r="E28" s="172"/>
      <c r="F28" s="172"/>
      <c r="G28" s="173"/>
      <c r="H28" s="132"/>
      <c r="I28" s="132"/>
      <c r="J28" s="132"/>
      <c r="K28" s="162"/>
      <c r="L28" s="132"/>
      <c r="M28" s="132"/>
      <c r="N28" s="501"/>
      <c r="O28" s="501"/>
      <c r="P28" s="163"/>
      <c r="Q28" s="164"/>
    </row>
    <row r="29" spans="1:17" x14ac:dyDescent="0.3">
      <c r="A29" s="132" t="s">
        <v>342</v>
      </c>
      <c r="B29" s="132" t="s">
        <v>340</v>
      </c>
      <c r="C29" s="161">
        <f>L25</f>
        <v>57553.568454763517</v>
      </c>
      <c r="D29" s="162" t="s">
        <v>288</v>
      </c>
      <c r="E29" s="132"/>
      <c r="F29" s="132"/>
      <c r="G29" s="162"/>
      <c r="H29" s="162"/>
      <c r="I29" s="132"/>
      <c r="J29" s="132"/>
      <c r="K29" s="162"/>
      <c r="L29" s="132"/>
      <c r="M29" s="132"/>
      <c r="N29" s="501"/>
      <c r="O29" s="501"/>
      <c r="P29" s="163"/>
      <c r="Q29" s="164"/>
    </row>
    <row r="30" spans="1:17" ht="43.2" x14ac:dyDescent="0.3">
      <c r="A30" s="132"/>
      <c r="B30" s="132"/>
      <c r="C30" s="162"/>
      <c r="D30" s="162"/>
      <c r="E30" s="132" t="s">
        <v>45</v>
      </c>
      <c r="F30" s="168">
        <f>B9*(Stoichiometry!D8/Stoichiometry!D7)*Q30</f>
        <v>1670.7992494259533</v>
      </c>
      <c r="G30" s="162" t="s">
        <v>288</v>
      </c>
      <c r="H30" s="162"/>
      <c r="I30" s="132"/>
      <c r="J30" s="132"/>
      <c r="K30" s="162"/>
      <c r="L30" s="132"/>
      <c r="M30" s="132"/>
      <c r="N30" s="501"/>
      <c r="O30" s="501"/>
      <c r="P30" s="110" t="s">
        <v>343</v>
      </c>
      <c r="Q30" s="812">
        <v>1.1000000000000001</v>
      </c>
    </row>
    <row r="31" spans="1:17" x14ac:dyDescent="0.3">
      <c r="A31" s="132"/>
      <c r="B31" s="132"/>
      <c r="C31" s="162"/>
      <c r="D31" s="162"/>
      <c r="E31" s="132"/>
      <c r="F31" s="179"/>
      <c r="G31" s="162"/>
      <c r="H31" s="132" t="s">
        <v>48</v>
      </c>
      <c r="I31" s="177">
        <f>Energy!P16</f>
        <v>147382.19634798207</v>
      </c>
      <c r="J31" s="132" t="s">
        <v>221</v>
      </c>
      <c r="K31" s="162"/>
      <c r="L31" s="132"/>
      <c r="M31" s="132"/>
      <c r="N31" s="501"/>
      <c r="O31" s="501"/>
      <c r="P31" s="178"/>
      <c r="Q31" s="469"/>
    </row>
    <row r="32" spans="1:17" x14ac:dyDescent="0.3">
      <c r="A32" s="132"/>
      <c r="B32" s="132"/>
      <c r="C32" s="162"/>
      <c r="D32" s="162"/>
      <c r="E32" s="132"/>
      <c r="F32" s="132"/>
      <c r="G32" s="162"/>
      <c r="H32" s="162"/>
      <c r="I32" s="132"/>
      <c r="J32" s="132"/>
      <c r="K32" s="162" t="s">
        <v>340</v>
      </c>
      <c r="L32" s="168">
        <f>C29+F30</f>
        <v>59224.36770418947</v>
      </c>
      <c r="M32" s="132" t="s">
        <v>288</v>
      </c>
      <c r="N32" s="501"/>
      <c r="O32" s="501"/>
      <c r="P32" s="163"/>
      <c r="Q32" s="164"/>
    </row>
    <row r="33" spans="1:24" x14ac:dyDescent="0.3">
      <c r="A33" s="132"/>
      <c r="B33" s="132"/>
      <c r="C33" s="162"/>
      <c r="D33" s="162"/>
      <c r="E33" s="132"/>
      <c r="F33" s="132"/>
      <c r="G33" s="162"/>
      <c r="H33" s="162"/>
      <c r="I33" s="132"/>
      <c r="J33" s="132"/>
      <c r="K33" s="162" t="s">
        <v>340</v>
      </c>
      <c r="L33" s="168">
        <f>L32/N33</f>
        <v>37839.97912938393</v>
      </c>
      <c r="M33" s="132" t="s">
        <v>301</v>
      </c>
      <c r="N33" s="504">
        <f>N26</f>
        <v>1.5651268596551602</v>
      </c>
      <c r="O33" s="504"/>
      <c r="P33" s="163"/>
      <c r="Q33" s="191"/>
      <c r="X33" s="167"/>
    </row>
    <row r="34" spans="1:24" x14ac:dyDescent="0.3">
      <c r="A34" s="132"/>
      <c r="B34" s="132"/>
      <c r="C34" s="162"/>
      <c r="D34" s="162"/>
      <c r="E34" s="132"/>
      <c r="F34" s="132"/>
      <c r="G34" s="162"/>
      <c r="H34" s="169"/>
      <c r="I34" s="169"/>
      <c r="J34" s="169"/>
      <c r="K34" s="145"/>
      <c r="L34" s="169"/>
      <c r="M34" s="169"/>
      <c r="N34" s="503"/>
      <c r="O34" s="503"/>
      <c r="P34" s="170"/>
      <c r="Q34" s="171"/>
    </row>
    <row r="35" spans="1:24" x14ac:dyDescent="0.3">
      <c r="A35" s="158" t="s">
        <v>212</v>
      </c>
      <c r="B35" s="172"/>
      <c r="C35" s="173"/>
      <c r="D35" s="173"/>
      <c r="E35" s="172"/>
      <c r="F35" s="172"/>
      <c r="G35" s="173"/>
      <c r="H35" s="132"/>
      <c r="I35" s="132"/>
      <c r="J35" s="132"/>
      <c r="K35" s="162"/>
      <c r="L35" s="132"/>
      <c r="M35" s="132"/>
      <c r="N35" s="501"/>
      <c r="O35" s="501"/>
      <c r="P35" s="163"/>
      <c r="Q35" s="164"/>
    </row>
    <row r="36" spans="1:24" x14ac:dyDescent="0.3">
      <c r="A36" s="132" t="s">
        <v>344</v>
      </c>
      <c r="B36" s="132" t="s">
        <v>340</v>
      </c>
      <c r="C36" s="161">
        <f>L32</f>
        <v>59224.36770418947</v>
      </c>
      <c r="D36" s="162" t="s">
        <v>288</v>
      </c>
      <c r="E36" s="132"/>
      <c r="F36" s="132"/>
      <c r="G36" s="162"/>
      <c r="H36" s="132"/>
      <c r="I36" s="132"/>
      <c r="J36" s="132"/>
      <c r="K36" s="162"/>
      <c r="L36" s="132"/>
      <c r="M36" s="132"/>
      <c r="N36" s="501"/>
      <c r="O36" s="501"/>
      <c r="P36" s="163"/>
      <c r="Q36" s="164"/>
    </row>
    <row r="37" spans="1:24" x14ac:dyDescent="0.3">
      <c r="A37" s="132"/>
      <c r="B37" s="132"/>
      <c r="C37" s="161"/>
      <c r="D37" s="162"/>
      <c r="E37" s="132"/>
      <c r="F37" s="132"/>
      <c r="G37" s="162"/>
      <c r="H37" s="132" t="s">
        <v>48</v>
      </c>
      <c r="I37" s="177">
        <f>Energy!P17</f>
        <v>113607.10968490287</v>
      </c>
      <c r="J37" s="132" t="s">
        <v>221</v>
      </c>
      <c r="K37" s="162"/>
      <c r="L37" s="132"/>
      <c r="M37" s="132"/>
      <c r="N37" s="501"/>
      <c r="O37" s="501"/>
      <c r="P37" s="163"/>
      <c r="Q37" s="469"/>
    </row>
    <row r="38" spans="1:24" x14ac:dyDescent="0.3">
      <c r="A38" s="132"/>
      <c r="B38" s="132"/>
      <c r="C38" s="162"/>
      <c r="D38" s="162"/>
      <c r="E38" s="132"/>
      <c r="F38" s="132"/>
      <c r="G38" s="162"/>
      <c r="H38" s="132"/>
      <c r="I38" s="132"/>
      <c r="J38" s="132"/>
      <c r="K38" s="162" t="s">
        <v>345</v>
      </c>
      <c r="L38" s="168">
        <f>B9*Efficiencies!E23</f>
        <v>1559.8081110388202</v>
      </c>
      <c r="M38" s="132" t="s">
        <v>288</v>
      </c>
      <c r="N38" s="501"/>
      <c r="O38" s="501"/>
      <c r="P38" s="163"/>
      <c r="Q38" s="164"/>
    </row>
    <row r="39" spans="1:24" x14ac:dyDescent="0.3">
      <c r="A39" s="132"/>
      <c r="B39" s="132"/>
      <c r="C39" s="162"/>
      <c r="D39" s="162"/>
      <c r="E39" s="132"/>
      <c r="F39" s="132"/>
      <c r="G39" s="162"/>
      <c r="H39" s="132"/>
      <c r="I39" s="132"/>
      <c r="J39" s="132"/>
      <c r="K39" s="162" t="s">
        <v>340</v>
      </c>
      <c r="L39" s="168">
        <f>C36-L38</f>
        <v>57664.559593150647</v>
      </c>
      <c r="M39" s="132" t="s">
        <v>288</v>
      </c>
      <c r="N39" s="501"/>
      <c r="O39" s="501"/>
      <c r="P39" s="163"/>
      <c r="Q39" s="164"/>
    </row>
    <row r="40" spans="1:24" x14ac:dyDescent="0.3">
      <c r="A40" s="132"/>
      <c r="B40" s="132"/>
      <c r="C40" s="162"/>
      <c r="D40" s="162"/>
      <c r="E40" s="132"/>
      <c r="F40" s="132"/>
      <c r="G40" s="145"/>
      <c r="H40" s="169"/>
      <c r="I40" s="169"/>
      <c r="J40" s="169"/>
      <c r="K40" s="145"/>
      <c r="L40" s="169"/>
      <c r="M40" s="169"/>
      <c r="N40" s="503"/>
      <c r="O40" s="503"/>
      <c r="P40" s="170"/>
      <c r="Q40" s="171"/>
    </row>
    <row r="41" spans="1:24" x14ac:dyDescent="0.3">
      <c r="A41" s="158" t="s">
        <v>346</v>
      </c>
      <c r="B41" s="172"/>
      <c r="C41" s="173"/>
      <c r="D41" s="173"/>
      <c r="E41" s="172"/>
      <c r="F41" s="172"/>
      <c r="G41" s="162"/>
      <c r="H41" s="132"/>
      <c r="I41" s="132"/>
      <c r="J41" s="132"/>
      <c r="K41" s="162"/>
      <c r="L41" s="132"/>
      <c r="M41" s="132"/>
      <c r="N41" s="501"/>
      <c r="O41" s="501"/>
      <c r="P41" s="163"/>
      <c r="Q41" s="164"/>
    </row>
    <row r="42" spans="1:24" x14ac:dyDescent="0.3">
      <c r="A42" s="210" t="s">
        <v>342</v>
      </c>
      <c r="B42" s="132" t="s">
        <v>340</v>
      </c>
      <c r="C42" s="161">
        <f>L39</f>
        <v>57664.559593150647</v>
      </c>
      <c r="D42" s="162" t="s">
        <v>288</v>
      </c>
      <c r="E42" s="132"/>
      <c r="F42" s="132"/>
      <c r="G42" s="162"/>
      <c r="H42" s="132"/>
      <c r="I42" s="132"/>
      <c r="J42" s="132"/>
      <c r="K42" s="162"/>
      <c r="L42" s="132"/>
      <c r="M42" s="132"/>
      <c r="N42" s="501"/>
      <c r="O42" s="501"/>
      <c r="P42" s="163"/>
      <c r="Q42" s="164"/>
    </row>
    <row r="43" spans="1:24" x14ac:dyDescent="0.3">
      <c r="A43" s="132"/>
      <c r="B43" s="132" t="s">
        <v>340</v>
      </c>
      <c r="C43" s="161">
        <f>C42/N43</f>
        <v>36843.377415333416</v>
      </c>
      <c r="D43" s="162" t="s">
        <v>301</v>
      </c>
      <c r="E43" s="132"/>
      <c r="F43" s="132"/>
      <c r="G43" s="162"/>
      <c r="H43" s="162"/>
      <c r="I43" s="132"/>
      <c r="J43" s="132"/>
      <c r="K43" s="162"/>
      <c r="L43" s="132"/>
      <c r="M43" s="132"/>
      <c r="N43" s="504">
        <f>N33</f>
        <v>1.5651268596551602</v>
      </c>
      <c r="O43" s="504"/>
      <c r="P43" s="163"/>
      <c r="Q43" s="191"/>
    </row>
    <row r="44" spans="1:24" x14ac:dyDescent="0.3">
      <c r="A44" s="132"/>
      <c r="B44" s="132"/>
      <c r="C44" s="162"/>
      <c r="D44" s="162"/>
      <c r="E44" s="163" t="s">
        <v>74</v>
      </c>
      <c r="F44" s="168">
        <f>C43*Q44</f>
        <v>1473.7350966133367</v>
      </c>
      <c r="G44" s="162" t="s">
        <v>301</v>
      </c>
      <c r="H44" s="132"/>
      <c r="I44" s="132"/>
      <c r="J44" s="132"/>
      <c r="K44" s="162"/>
      <c r="L44" s="132"/>
      <c r="M44" s="132"/>
      <c r="N44" s="501"/>
      <c r="O44" s="501"/>
      <c r="P44" s="163" t="s">
        <v>347</v>
      </c>
      <c r="Q44" s="813">
        <v>0.04</v>
      </c>
    </row>
    <row r="45" spans="1:24" x14ac:dyDescent="0.3">
      <c r="A45" s="132"/>
      <c r="B45" s="132"/>
      <c r="C45" s="162"/>
      <c r="D45" s="162"/>
      <c r="E45" s="163" t="s">
        <v>74</v>
      </c>
      <c r="F45" s="168">
        <f>F44*Stoichiometry!C23</f>
        <v>2136.9158900893381</v>
      </c>
      <c r="G45" s="162" t="s">
        <v>288</v>
      </c>
      <c r="H45" s="132"/>
      <c r="I45" s="132"/>
      <c r="J45" s="132"/>
      <c r="K45" s="162"/>
      <c r="L45" s="132"/>
      <c r="M45" s="132"/>
      <c r="N45" s="501"/>
      <c r="O45" s="501"/>
      <c r="P45" s="163"/>
      <c r="Q45" s="164"/>
    </row>
    <row r="46" spans="1:24" x14ac:dyDescent="0.3">
      <c r="A46" s="132"/>
      <c r="B46" s="132"/>
      <c r="C46" s="162"/>
      <c r="D46" s="162"/>
      <c r="E46" s="132"/>
      <c r="F46" s="168"/>
      <c r="G46" s="162"/>
      <c r="H46" s="132" t="s">
        <v>48</v>
      </c>
      <c r="I46" s="177">
        <f>Energy!P18</f>
        <v>148867.03312092714</v>
      </c>
      <c r="J46" s="132" t="s">
        <v>221</v>
      </c>
      <c r="K46" s="162"/>
      <c r="L46" s="132"/>
      <c r="M46" s="132"/>
      <c r="N46" s="501"/>
      <c r="O46" s="501"/>
      <c r="P46" s="163"/>
      <c r="Q46" s="469"/>
    </row>
    <row r="47" spans="1:24" x14ac:dyDescent="0.3">
      <c r="A47" s="132"/>
      <c r="B47" s="132"/>
      <c r="C47" s="162"/>
      <c r="D47" s="162"/>
      <c r="E47" s="132"/>
      <c r="F47" s="132"/>
      <c r="G47" s="162"/>
      <c r="H47" s="132"/>
      <c r="I47" s="132"/>
      <c r="J47" s="132"/>
      <c r="K47" s="162" t="s">
        <v>340</v>
      </c>
      <c r="L47" s="168">
        <f>C42+F45</f>
        <v>59801.475483239985</v>
      </c>
      <c r="M47" s="132" t="s">
        <v>288</v>
      </c>
      <c r="N47" s="501"/>
      <c r="O47" s="501"/>
      <c r="P47" s="163"/>
      <c r="Q47" s="164"/>
    </row>
    <row r="48" spans="1:24" x14ac:dyDescent="0.3">
      <c r="A48" s="132"/>
      <c r="B48" s="132"/>
      <c r="C48" s="162"/>
      <c r="D48" s="162"/>
      <c r="E48" s="132"/>
      <c r="F48" s="132"/>
      <c r="G48" s="162"/>
      <c r="H48" s="132"/>
      <c r="I48" s="132"/>
      <c r="J48" s="132"/>
      <c r="K48" s="162" t="s">
        <v>340</v>
      </c>
      <c r="L48" s="168">
        <f>C43+F44</f>
        <v>38317.112511946754</v>
      </c>
      <c r="M48" s="132" t="s">
        <v>301</v>
      </c>
      <c r="N48" s="501"/>
      <c r="O48" s="501"/>
      <c r="P48" s="163"/>
      <c r="Q48" s="164"/>
    </row>
    <row r="49" spans="1:17" x14ac:dyDescent="0.3">
      <c r="A49" s="132"/>
      <c r="B49" s="132"/>
      <c r="C49" s="162"/>
      <c r="D49" s="162"/>
      <c r="E49" s="132"/>
      <c r="F49" s="132"/>
      <c r="G49" s="145"/>
      <c r="H49" s="169"/>
      <c r="I49" s="169"/>
      <c r="J49" s="169"/>
      <c r="K49" s="145"/>
      <c r="L49" s="169"/>
      <c r="M49" s="169"/>
      <c r="N49" s="503"/>
      <c r="O49" s="503"/>
      <c r="P49" s="170"/>
      <c r="Q49" s="171"/>
    </row>
    <row r="50" spans="1:17" x14ac:dyDescent="0.3">
      <c r="A50" s="158" t="s">
        <v>468</v>
      </c>
      <c r="B50" s="172"/>
      <c r="C50" s="173"/>
      <c r="D50" s="173"/>
      <c r="E50" s="172"/>
      <c r="F50" s="172"/>
      <c r="G50" s="162"/>
      <c r="H50" s="132"/>
      <c r="I50" s="132"/>
      <c r="J50" s="132"/>
      <c r="K50" s="162"/>
      <c r="L50" s="132"/>
      <c r="M50" s="132"/>
      <c r="N50" s="501"/>
      <c r="O50" s="501"/>
      <c r="P50" s="163"/>
      <c r="Q50" s="164"/>
    </row>
    <row r="51" spans="1:17" x14ac:dyDescent="0.3">
      <c r="A51" s="210" t="s">
        <v>338</v>
      </c>
      <c r="B51" s="132" t="s">
        <v>340</v>
      </c>
      <c r="C51" s="161">
        <f>L47</f>
        <v>59801.475483239985</v>
      </c>
      <c r="D51" s="162" t="s">
        <v>288</v>
      </c>
      <c r="E51" s="132"/>
      <c r="F51" s="132"/>
      <c r="G51" s="162"/>
      <c r="H51" s="132"/>
      <c r="I51" s="132"/>
      <c r="J51" s="132"/>
      <c r="K51" s="162"/>
      <c r="L51" s="132"/>
      <c r="M51" s="132"/>
      <c r="N51" s="501"/>
      <c r="O51" s="501"/>
      <c r="P51" s="163"/>
      <c r="Q51" s="164"/>
    </row>
    <row r="52" spans="1:17" x14ac:dyDescent="0.3">
      <c r="A52" s="132"/>
      <c r="B52" s="132"/>
      <c r="C52" s="162"/>
      <c r="D52" s="162"/>
      <c r="E52" s="132" t="s">
        <v>66</v>
      </c>
      <c r="F52" s="168">
        <f>F16*Q52</f>
        <v>15601.418111181765</v>
      </c>
      <c r="G52" s="162" t="s">
        <v>288</v>
      </c>
      <c r="H52" s="132"/>
      <c r="I52" s="132"/>
      <c r="J52" s="132"/>
      <c r="K52" s="162"/>
      <c r="L52" s="132"/>
      <c r="M52" s="132"/>
      <c r="N52" s="501"/>
      <c r="O52" s="501"/>
      <c r="P52" s="110" t="s">
        <v>348</v>
      </c>
      <c r="Q52" s="812">
        <v>2</v>
      </c>
    </row>
    <row r="53" spans="1:17" x14ac:dyDescent="0.3">
      <c r="A53" s="132"/>
      <c r="B53" s="132"/>
      <c r="C53" s="162"/>
      <c r="D53" s="162"/>
      <c r="E53" s="132"/>
      <c r="F53" s="168"/>
      <c r="G53" s="162"/>
      <c r="H53" s="132" t="s">
        <v>48</v>
      </c>
      <c r="I53" s="177">
        <f>Energy!P19</f>
        <v>168784.7668093885</v>
      </c>
      <c r="J53" s="132" t="s">
        <v>221</v>
      </c>
      <c r="K53" s="162"/>
      <c r="L53" s="132"/>
      <c r="M53" s="132"/>
      <c r="N53" s="501"/>
      <c r="O53" s="501"/>
      <c r="P53" s="163"/>
      <c r="Q53" s="471"/>
    </row>
    <row r="54" spans="1:17" x14ac:dyDescent="0.3">
      <c r="A54" s="132"/>
      <c r="B54" s="132"/>
      <c r="C54" s="162"/>
      <c r="D54" s="162"/>
      <c r="E54" s="132"/>
      <c r="F54" s="132"/>
      <c r="G54" s="162"/>
      <c r="H54" s="162"/>
      <c r="I54" s="132"/>
      <c r="J54" s="132"/>
      <c r="K54" s="162" t="s">
        <v>340</v>
      </c>
      <c r="L54" s="168">
        <f>C51+F52</f>
        <v>75402.893594421752</v>
      </c>
      <c r="M54" s="132" t="s">
        <v>288</v>
      </c>
      <c r="N54" s="501"/>
      <c r="O54" s="501"/>
      <c r="P54" s="163"/>
      <c r="Q54" s="164"/>
    </row>
    <row r="55" spans="1:17" x14ac:dyDescent="0.3">
      <c r="A55" s="132"/>
      <c r="B55" s="132"/>
      <c r="C55" s="162"/>
      <c r="D55" s="162"/>
      <c r="E55" s="132"/>
      <c r="F55" s="132"/>
      <c r="G55" s="162"/>
      <c r="H55" s="162"/>
      <c r="I55" s="132"/>
      <c r="J55" s="132"/>
      <c r="K55" s="162" t="s">
        <v>340</v>
      </c>
      <c r="L55" s="168">
        <f>L54/N55</f>
        <v>44829.218496424452</v>
      </c>
      <c r="M55" s="132" t="s">
        <v>301</v>
      </c>
      <c r="N55" s="504">
        <f>N43*C51/L54+Stoichiometry!C24*F52/L54</f>
        <v>1.6820033032794413</v>
      </c>
      <c r="O55" s="504"/>
      <c r="P55" s="163"/>
      <c r="Q55" s="191"/>
    </row>
    <row r="56" spans="1:17" x14ac:dyDescent="0.3">
      <c r="A56" s="132"/>
      <c r="B56" s="132"/>
      <c r="C56" s="162"/>
      <c r="D56" s="162"/>
      <c r="E56" s="132"/>
      <c r="F56" s="132"/>
      <c r="G56" s="162"/>
      <c r="H56" s="169"/>
      <c r="I56" s="169"/>
      <c r="J56" s="169"/>
      <c r="K56" s="145"/>
      <c r="L56" s="169"/>
      <c r="M56" s="169"/>
      <c r="N56" s="503"/>
      <c r="O56" s="503"/>
      <c r="P56" s="170"/>
      <c r="Q56" s="171"/>
    </row>
    <row r="57" spans="1:17" x14ac:dyDescent="0.3">
      <c r="A57" s="158" t="s">
        <v>349</v>
      </c>
      <c r="B57" s="172"/>
      <c r="C57" s="173"/>
      <c r="D57" s="173"/>
      <c r="E57" s="172"/>
      <c r="F57" s="172"/>
      <c r="G57" s="173"/>
      <c r="H57" s="132"/>
      <c r="I57" s="132"/>
      <c r="J57" s="132"/>
      <c r="K57" s="162"/>
      <c r="L57" s="132"/>
      <c r="M57" s="132"/>
      <c r="N57" s="501"/>
      <c r="O57" s="501"/>
      <c r="P57" s="163"/>
      <c r="Q57" s="164"/>
    </row>
    <row r="58" spans="1:17" x14ac:dyDescent="0.3">
      <c r="A58" s="132" t="s">
        <v>350</v>
      </c>
      <c r="B58" s="132" t="s">
        <v>340</v>
      </c>
      <c r="C58" s="161">
        <f>L54</f>
        <v>75402.893594421752</v>
      </c>
      <c r="D58" s="162" t="s">
        <v>288</v>
      </c>
      <c r="E58" s="132"/>
      <c r="F58" s="132"/>
      <c r="G58" s="162"/>
      <c r="H58" s="132"/>
      <c r="I58" s="132"/>
      <c r="J58" s="132"/>
      <c r="K58" s="162"/>
      <c r="L58" s="132"/>
      <c r="M58" s="132"/>
      <c r="N58" s="501"/>
      <c r="O58" s="501"/>
      <c r="P58" s="163"/>
      <c r="Q58" s="164"/>
    </row>
    <row r="59" spans="1:17" x14ac:dyDescent="0.3">
      <c r="A59" s="132"/>
      <c r="B59" s="132"/>
      <c r="C59" s="161"/>
      <c r="D59" s="162"/>
      <c r="E59" s="132"/>
      <c r="F59" s="132"/>
      <c r="G59" s="162"/>
      <c r="H59" s="132" t="s">
        <v>48</v>
      </c>
      <c r="I59" s="177">
        <f>Energy!P20</f>
        <v>130104.92441557032</v>
      </c>
      <c r="J59" s="132" t="s">
        <v>221</v>
      </c>
      <c r="K59" s="162"/>
      <c r="L59" s="132"/>
      <c r="M59" s="132"/>
      <c r="N59" s="501"/>
      <c r="O59" s="501"/>
      <c r="P59" s="163"/>
      <c r="Q59" s="469"/>
    </row>
    <row r="60" spans="1:17" x14ac:dyDescent="0.3">
      <c r="A60" s="132"/>
      <c r="B60" s="132"/>
      <c r="C60" s="162"/>
      <c r="D60" s="162"/>
      <c r="E60" s="132"/>
      <c r="F60" s="132"/>
      <c r="G60" s="162"/>
      <c r="H60" s="132"/>
      <c r="I60" s="132"/>
      <c r="J60" s="132"/>
      <c r="K60" s="162" t="s">
        <v>340</v>
      </c>
      <c r="L60" s="168">
        <f>C58-L62</f>
        <v>72180.227859293635</v>
      </c>
      <c r="M60" s="132" t="s">
        <v>288</v>
      </c>
      <c r="N60" s="501"/>
      <c r="O60" s="501"/>
      <c r="P60" s="163"/>
      <c r="Q60" s="164"/>
    </row>
    <row r="61" spans="1:17" x14ac:dyDescent="0.3">
      <c r="A61" s="132"/>
      <c r="B61" s="132"/>
      <c r="C61" s="162"/>
      <c r="D61" s="162"/>
      <c r="E61" s="132"/>
      <c r="F61" s="132"/>
      <c r="G61" s="162"/>
      <c r="H61" s="132"/>
      <c r="I61" s="132"/>
      <c r="J61" s="132"/>
      <c r="K61" s="162" t="s">
        <v>340</v>
      </c>
      <c r="L61" s="168">
        <f>L60/N61</f>
        <v>36090.113929646817</v>
      </c>
      <c r="M61" s="132" t="s">
        <v>301</v>
      </c>
      <c r="N61" s="505">
        <v>2</v>
      </c>
      <c r="O61" s="505"/>
      <c r="P61" s="163"/>
      <c r="Q61" s="191"/>
    </row>
    <row r="62" spans="1:17" ht="28.8" x14ac:dyDescent="0.3">
      <c r="A62" s="132"/>
      <c r="B62" s="132"/>
      <c r="C62" s="162"/>
      <c r="D62" s="162"/>
      <c r="E62" s="132"/>
      <c r="F62" s="132"/>
      <c r="G62" s="162"/>
      <c r="H62" s="132"/>
      <c r="I62" s="132"/>
      <c r="J62" s="132"/>
      <c r="K62" s="110" t="s">
        <v>46</v>
      </c>
      <c r="L62" s="177">
        <f>(B10+F30)*(Stoichiometry!D21/Stoichiometry!D8)*Efficiencies!E24</f>
        <v>3222.6657351281196</v>
      </c>
      <c r="M62" s="132" t="s">
        <v>288</v>
      </c>
      <c r="N62" s="501"/>
      <c r="O62" s="501"/>
      <c r="P62" s="163" t="s">
        <v>351</v>
      </c>
      <c r="Q62" s="164"/>
    </row>
    <row r="63" spans="1:17" x14ac:dyDescent="0.3">
      <c r="A63" s="132"/>
      <c r="B63" s="132"/>
      <c r="C63" s="162"/>
      <c r="D63" s="162"/>
      <c r="E63" s="132"/>
      <c r="F63" s="132"/>
      <c r="G63" s="162"/>
      <c r="H63" s="169"/>
      <c r="I63" s="169"/>
      <c r="J63" s="169"/>
      <c r="K63" s="145"/>
      <c r="L63" s="169"/>
      <c r="M63" s="169"/>
      <c r="N63" s="503"/>
      <c r="O63" s="503"/>
      <c r="P63" s="170"/>
      <c r="Q63" s="171"/>
    </row>
    <row r="64" spans="1:17" x14ac:dyDescent="0.3">
      <c r="A64" s="770" t="s">
        <v>352</v>
      </c>
      <c r="B64" s="172"/>
      <c r="C64" s="173"/>
      <c r="D64" s="173"/>
      <c r="E64" s="172"/>
      <c r="F64" s="172"/>
      <c r="G64" s="173"/>
      <c r="H64" s="132"/>
      <c r="I64" s="132"/>
      <c r="J64" s="132"/>
      <c r="K64" s="162"/>
      <c r="L64" s="132"/>
      <c r="M64" s="132"/>
      <c r="N64" s="501"/>
      <c r="O64" s="501"/>
      <c r="P64" s="163"/>
      <c r="Q64" s="164"/>
    </row>
    <row r="65" spans="1:20" x14ac:dyDescent="0.3">
      <c r="A65" s="132" t="s">
        <v>342</v>
      </c>
      <c r="B65" s="132" t="s">
        <v>340</v>
      </c>
      <c r="C65" s="161">
        <f>L60</f>
        <v>72180.227859293635</v>
      </c>
      <c r="D65" s="162" t="s">
        <v>288</v>
      </c>
      <c r="E65" s="132"/>
      <c r="F65" s="132"/>
      <c r="G65" s="162"/>
      <c r="H65" s="132"/>
      <c r="I65" s="132"/>
      <c r="J65" s="132"/>
      <c r="K65" s="162"/>
      <c r="L65" s="132"/>
      <c r="M65" s="132"/>
      <c r="N65" s="501"/>
      <c r="O65" s="520">
        <f>Energy!S21</f>
        <v>7920</v>
      </c>
      <c r="P65" s="110" t="s">
        <v>266</v>
      </c>
      <c r="Q65" s="164"/>
    </row>
    <row r="66" spans="1:20" ht="28.8" x14ac:dyDescent="0.3">
      <c r="A66" s="132"/>
      <c r="B66" s="132"/>
      <c r="C66" s="162"/>
      <c r="D66" s="162"/>
      <c r="E66" s="132" t="s">
        <v>59</v>
      </c>
      <c r="F66" s="179">
        <f>C65/3*1.3*0.7/O65</f>
        <v>2.7644784239039231</v>
      </c>
      <c r="G66" s="162" t="s">
        <v>288</v>
      </c>
      <c r="H66" s="132"/>
      <c r="I66" s="132"/>
      <c r="J66" s="132"/>
      <c r="K66" s="162"/>
      <c r="L66" s="132"/>
      <c r="M66" s="132"/>
      <c r="N66" s="501"/>
      <c r="O66" s="501"/>
      <c r="P66" s="842" t="s">
        <v>353</v>
      </c>
      <c r="Q66" s="164"/>
    </row>
    <row r="67" spans="1:20" ht="28.8" x14ac:dyDescent="0.3">
      <c r="A67" s="132"/>
      <c r="B67" s="132"/>
      <c r="C67" s="162"/>
      <c r="D67" s="162"/>
      <c r="E67" s="132" t="s">
        <v>354</v>
      </c>
      <c r="F67" s="179">
        <f>C65/3*1.3*0.3/O65</f>
        <v>1.1847764673873957</v>
      </c>
      <c r="G67" s="162" t="s">
        <v>355</v>
      </c>
      <c r="H67" s="132"/>
      <c r="I67" s="132"/>
      <c r="J67" s="132"/>
      <c r="K67" s="162"/>
      <c r="L67" s="132"/>
      <c r="M67" s="132"/>
      <c r="N67" s="501"/>
      <c r="O67" s="501"/>
      <c r="P67" s="842" t="s">
        <v>356</v>
      </c>
      <c r="Q67" s="164"/>
    </row>
    <row r="68" spans="1:20" ht="28.8" x14ac:dyDescent="0.3">
      <c r="A68" s="132"/>
      <c r="B68" s="132"/>
      <c r="C68" s="162"/>
      <c r="D68" s="162"/>
      <c r="E68" s="210" t="s">
        <v>357</v>
      </c>
      <c r="F68" s="928">
        <f>F67*Q68</f>
        <v>5.9238823369369788E-2</v>
      </c>
      <c r="G68" s="162" t="s">
        <v>326</v>
      </c>
      <c r="H68" s="132"/>
      <c r="I68" s="132"/>
      <c r="J68" s="132"/>
      <c r="K68" s="162"/>
      <c r="L68" s="132"/>
      <c r="M68" s="132"/>
      <c r="N68" s="501"/>
      <c r="O68" s="501"/>
      <c r="P68" s="110" t="s">
        <v>358</v>
      </c>
      <c r="Q68" s="813">
        <v>0.05</v>
      </c>
    </row>
    <row r="69" spans="1:20" x14ac:dyDescent="0.3">
      <c r="A69" s="132"/>
      <c r="B69" s="132"/>
      <c r="C69" s="162"/>
      <c r="D69" s="162"/>
      <c r="E69" s="210"/>
      <c r="F69" s="179"/>
      <c r="G69" s="162"/>
      <c r="H69" s="132" t="s">
        <v>48</v>
      </c>
      <c r="I69" s="168">
        <f>Energy!P21</f>
        <v>141904.09102877061</v>
      </c>
      <c r="J69" s="132" t="s">
        <v>221</v>
      </c>
      <c r="K69" s="162"/>
      <c r="L69" s="132"/>
      <c r="M69" s="132"/>
      <c r="N69" s="501"/>
      <c r="O69" s="501"/>
      <c r="P69" s="110"/>
      <c r="Q69" s="406"/>
    </row>
    <row r="70" spans="1:20" ht="43.2" x14ac:dyDescent="0.3">
      <c r="A70" s="132"/>
      <c r="B70" s="132"/>
      <c r="C70" s="162"/>
      <c r="D70" s="162"/>
      <c r="E70" s="132"/>
      <c r="F70" s="132"/>
      <c r="G70" s="162"/>
      <c r="H70" s="132"/>
      <c r="I70" s="132"/>
      <c r="J70" s="132"/>
      <c r="K70" s="162" t="s">
        <v>359</v>
      </c>
      <c r="L70" s="407">
        <f>F66+F67+Stoichiometry!G15+Stoichiometry!G15/(Stoichiometry!J5/1000)</f>
        <v>6777.4451219990779</v>
      </c>
      <c r="M70" s="132" t="s">
        <v>288</v>
      </c>
      <c r="N70" s="501"/>
      <c r="O70" s="501"/>
      <c r="P70" s="163" t="s">
        <v>360</v>
      </c>
      <c r="Q70" s="164"/>
    </row>
    <row r="71" spans="1:20" x14ac:dyDescent="0.3">
      <c r="A71" s="132"/>
      <c r="B71" s="132"/>
      <c r="C71" s="162"/>
      <c r="D71" s="162"/>
      <c r="E71" s="132"/>
      <c r="F71" s="132"/>
      <c r="G71" s="162"/>
      <c r="H71" s="132"/>
      <c r="I71" s="132"/>
      <c r="J71" s="132"/>
      <c r="K71" s="162" t="s">
        <v>361</v>
      </c>
      <c r="L71" s="168">
        <f>C65+F66+F67-L70</f>
        <v>65406.731992185851</v>
      </c>
      <c r="M71" s="132" t="s">
        <v>288</v>
      </c>
      <c r="N71" s="501"/>
      <c r="O71" s="501"/>
      <c r="P71" s="163"/>
      <c r="Q71" s="164"/>
    </row>
    <row r="72" spans="1:20" x14ac:dyDescent="0.3">
      <c r="A72" s="132"/>
      <c r="B72" s="132"/>
      <c r="C72" s="162"/>
      <c r="D72" s="162"/>
      <c r="E72" s="132"/>
      <c r="F72" s="132"/>
      <c r="G72" s="162"/>
      <c r="H72" s="132"/>
      <c r="I72" s="132"/>
      <c r="J72" s="132"/>
      <c r="K72" s="162" t="s">
        <v>361</v>
      </c>
      <c r="L72" s="168">
        <f>L71/N72</f>
        <v>32703.365996092925</v>
      </c>
      <c r="M72" s="132" t="s">
        <v>301</v>
      </c>
      <c r="N72" s="505">
        <v>2</v>
      </c>
      <c r="O72" s="505"/>
      <c r="P72" s="163"/>
      <c r="Q72" s="527"/>
    </row>
    <row r="73" spans="1:20" x14ac:dyDescent="0.3">
      <c r="A73" s="132"/>
      <c r="B73" s="132"/>
      <c r="C73" s="162"/>
      <c r="D73" s="162"/>
      <c r="E73" s="132"/>
      <c r="F73" s="132"/>
      <c r="G73" s="162"/>
      <c r="H73" s="169"/>
      <c r="I73" s="169"/>
      <c r="J73" s="169"/>
      <c r="K73" s="145"/>
      <c r="L73" s="169"/>
      <c r="M73" s="169"/>
      <c r="N73" s="503"/>
      <c r="O73" s="503"/>
      <c r="P73" s="170"/>
      <c r="Q73" s="171"/>
    </row>
    <row r="74" spans="1:20" x14ac:dyDescent="0.3">
      <c r="A74" s="158" t="s">
        <v>362</v>
      </c>
      <c r="B74" s="172"/>
      <c r="C74" s="173"/>
      <c r="D74" s="173"/>
      <c r="E74" s="172"/>
      <c r="F74" s="172"/>
      <c r="G74" s="173"/>
      <c r="H74" s="132"/>
      <c r="I74" s="132"/>
      <c r="J74" s="132"/>
      <c r="K74" s="162"/>
      <c r="L74" s="132"/>
      <c r="M74" s="132"/>
      <c r="N74" s="501"/>
      <c r="O74" s="501"/>
      <c r="P74" s="163"/>
      <c r="Q74" s="164"/>
    </row>
    <row r="75" spans="1:20" x14ac:dyDescent="0.3">
      <c r="A75" s="132" t="s">
        <v>342</v>
      </c>
      <c r="B75" s="132" t="s">
        <v>359</v>
      </c>
      <c r="C75" s="181">
        <f>L70</f>
        <v>6777.4451219990779</v>
      </c>
      <c r="D75" s="162" t="s">
        <v>288</v>
      </c>
      <c r="E75" s="132"/>
      <c r="F75" s="132"/>
      <c r="G75" s="162"/>
      <c r="H75" s="132"/>
      <c r="I75" s="132"/>
      <c r="J75" s="132"/>
      <c r="K75" s="162"/>
      <c r="L75" s="132"/>
      <c r="M75" s="132"/>
      <c r="N75" s="501"/>
      <c r="O75" s="501"/>
      <c r="P75" s="163"/>
      <c r="Q75" s="164"/>
    </row>
    <row r="76" spans="1:20" ht="30" customHeight="1" x14ac:dyDescent="0.3">
      <c r="A76" s="132"/>
      <c r="B76" s="132"/>
      <c r="C76" s="162"/>
      <c r="D76" s="162"/>
      <c r="E76" s="210" t="s">
        <v>363</v>
      </c>
      <c r="F76" s="132" t="s">
        <v>364</v>
      </c>
      <c r="G76" s="162"/>
      <c r="H76" s="132"/>
      <c r="I76" s="132"/>
      <c r="J76" s="132"/>
      <c r="K76" s="162"/>
      <c r="L76" s="132"/>
      <c r="M76" s="132"/>
      <c r="N76" s="501"/>
      <c r="O76" s="501"/>
      <c r="P76" s="163"/>
      <c r="Q76" s="164"/>
      <c r="T76" s="167"/>
    </row>
    <row r="77" spans="1:20" x14ac:dyDescent="0.3">
      <c r="A77" s="132"/>
      <c r="B77" s="132"/>
      <c r="C77" s="162"/>
      <c r="D77" s="162"/>
      <c r="E77" s="132"/>
      <c r="F77" s="132"/>
      <c r="G77" s="162"/>
      <c r="H77" s="132" t="s">
        <v>48</v>
      </c>
      <c r="I77" s="168">
        <f>Energy!P22</f>
        <v>21385.190580329829</v>
      </c>
      <c r="J77" s="132" t="s">
        <v>221</v>
      </c>
      <c r="K77" s="162"/>
      <c r="L77" s="132"/>
      <c r="M77" s="132"/>
      <c r="N77" s="501"/>
      <c r="O77" s="501"/>
      <c r="P77" s="163" t="s">
        <v>365</v>
      </c>
      <c r="Q77" s="164"/>
      <c r="T77" s="167"/>
    </row>
    <row r="78" spans="1:20" x14ac:dyDescent="0.3">
      <c r="A78" s="132"/>
      <c r="B78" s="132"/>
      <c r="C78" s="162"/>
      <c r="D78" s="162"/>
      <c r="E78" s="132"/>
      <c r="F78" s="132"/>
      <c r="G78" s="162"/>
      <c r="H78" s="132"/>
      <c r="I78" s="132"/>
      <c r="J78" s="132"/>
      <c r="K78" s="162" t="s">
        <v>359</v>
      </c>
      <c r="L78" s="407">
        <f>C75</f>
        <v>6777.4451219990779</v>
      </c>
      <c r="M78" s="132" t="s">
        <v>288</v>
      </c>
      <c r="N78" s="501"/>
      <c r="O78" s="501"/>
      <c r="P78" s="163"/>
      <c r="Q78" s="164"/>
    </row>
    <row r="79" spans="1:20" x14ac:dyDescent="0.3">
      <c r="A79" s="132"/>
      <c r="B79" s="132"/>
      <c r="C79" s="162"/>
      <c r="D79" s="162"/>
      <c r="E79" s="132"/>
      <c r="F79" s="132"/>
      <c r="G79" s="162"/>
      <c r="H79" s="169"/>
      <c r="I79" s="169"/>
      <c r="J79" s="169"/>
      <c r="K79" s="145" t="s">
        <v>359</v>
      </c>
      <c r="L79" s="684">
        <f>L78/N79</f>
        <v>3388.7225609995389</v>
      </c>
      <c r="M79" s="169" t="s">
        <v>301</v>
      </c>
      <c r="N79" s="503">
        <v>2</v>
      </c>
      <c r="O79" s="503"/>
      <c r="P79" s="170"/>
      <c r="Q79" s="171"/>
    </row>
    <row r="80" spans="1:20" x14ac:dyDescent="0.3">
      <c r="A80" s="158" t="s">
        <v>366</v>
      </c>
      <c r="B80" s="172"/>
      <c r="C80" s="173"/>
      <c r="D80" s="173"/>
      <c r="E80" s="172"/>
      <c r="F80" s="172"/>
      <c r="G80" s="173"/>
      <c r="H80" s="132"/>
      <c r="I80" s="132"/>
      <c r="J80" s="132"/>
      <c r="K80" s="162"/>
      <c r="L80" s="132"/>
      <c r="M80" s="132"/>
      <c r="N80" s="501"/>
      <c r="O80" s="501"/>
      <c r="P80" s="163"/>
      <c r="Q80" s="164"/>
    </row>
    <row r="81" spans="1:20" x14ac:dyDescent="0.3">
      <c r="A81" s="132" t="s">
        <v>342</v>
      </c>
      <c r="B81" s="132" t="s">
        <v>359</v>
      </c>
      <c r="C81" s="181">
        <f>L78</f>
        <v>6777.4451219990779</v>
      </c>
      <c r="D81" s="162" t="s">
        <v>288</v>
      </c>
      <c r="E81" s="132"/>
      <c r="F81" s="132"/>
      <c r="G81" s="162"/>
      <c r="H81" s="132"/>
      <c r="I81" s="132"/>
      <c r="J81" s="132"/>
      <c r="K81" s="162"/>
      <c r="L81" s="132"/>
      <c r="M81" s="132"/>
      <c r="N81" s="501"/>
      <c r="O81" s="501"/>
      <c r="P81" s="111" t="s">
        <v>367</v>
      </c>
      <c r="Q81" s="811">
        <v>2</v>
      </c>
    </row>
    <row r="82" spans="1:20" x14ac:dyDescent="0.3">
      <c r="A82" s="132"/>
      <c r="B82" s="132"/>
      <c r="C82" s="162"/>
      <c r="D82" s="162"/>
      <c r="E82" s="210" t="s">
        <v>70</v>
      </c>
      <c r="F82" s="182">
        <f>Stoichiometry!E26*Q82/Q81*Stoichiometry!C12/1000</f>
        <v>11.275803620652455</v>
      </c>
      <c r="G82" s="162" t="s">
        <v>288</v>
      </c>
      <c r="H82" s="132"/>
      <c r="I82" s="132"/>
      <c r="J82" s="132"/>
      <c r="K82" s="162"/>
      <c r="L82" s="132"/>
      <c r="M82" s="132"/>
      <c r="N82" s="501"/>
      <c r="O82" s="501"/>
      <c r="P82" s="111" t="s">
        <v>368</v>
      </c>
      <c r="Q82" s="811">
        <v>3</v>
      </c>
    </row>
    <row r="83" spans="1:20" x14ac:dyDescent="0.3">
      <c r="A83" s="132"/>
      <c r="B83" s="132"/>
      <c r="C83" s="162"/>
      <c r="D83" s="162"/>
      <c r="E83" s="132"/>
      <c r="F83" s="182"/>
      <c r="G83" s="162"/>
      <c r="H83" s="132" t="s">
        <v>48</v>
      </c>
      <c r="I83" s="168">
        <f>Energy!P23</f>
        <v>21403.682824295149</v>
      </c>
      <c r="J83" s="132" t="s">
        <v>221</v>
      </c>
      <c r="K83" s="162"/>
      <c r="L83" s="132"/>
      <c r="M83" s="132"/>
      <c r="N83" s="501"/>
      <c r="O83" s="501"/>
      <c r="P83" s="163" t="s">
        <v>365</v>
      </c>
      <c r="Q83" s="164"/>
    </row>
    <row r="84" spans="1:20" ht="15.6" x14ac:dyDescent="0.35">
      <c r="A84" s="132"/>
      <c r="B84" s="132"/>
      <c r="C84" s="162"/>
      <c r="D84" s="162"/>
      <c r="E84" s="132"/>
      <c r="F84" s="132"/>
      <c r="G84" s="162"/>
      <c r="H84" s="132"/>
      <c r="I84" s="132"/>
      <c r="J84" s="132"/>
      <c r="K84" s="162" t="s">
        <v>369</v>
      </c>
      <c r="L84" s="177">
        <f>C81+F82-L86-L87</f>
        <v>6784.7716707284389</v>
      </c>
      <c r="M84" s="132" t="s">
        <v>288</v>
      </c>
      <c r="N84" s="501"/>
      <c r="O84" s="501"/>
      <c r="P84" s="163"/>
      <c r="Q84" s="164"/>
    </row>
    <row r="85" spans="1:20" ht="15.6" x14ac:dyDescent="0.35">
      <c r="A85" s="132"/>
      <c r="B85" s="132"/>
      <c r="C85" s="162"/>
      <c r="D85" s="162"/>
      <c r="E85" s="132"/>
      <c r="F85" s="132"/>
      <c r="G85" s="162"/>
      <c r="H85" s="132"/>
      <c r="I85" s="132"/>
      <c r="J85" s="132"/>
      <c r="K85" s="162" t="s">
        <v>369</v>
      </c>
      <c r="L85" s="177">
        <f>L84/N85</f>
        <v>3392.3858353642195</v>
      </c>
      <c r="M85" s="132" t="s">
        <v>301</v>
      </c>
      <c r="N85" s="505">
        <v>2</v>
      </c>
      <c r="O85" s="505"/>
      <c r="P85" s="163"/>
      <c r="Q85" s="527"/>
    </row>
    <row r="86" spans="1:20" x14ac:dyDescent="0.3">
      <c r="A86" s="132"/>
      <c r="B86" s="132"/>
      <c r="C86" s="162"/>
      <c r="D86" s="162"/>
      <c r="E86" s="132"/>
      <c r="F86" s="132"/>
      <c r="G86" s="162"/>
      <c r="H86" s="132"/>
      <c r="I86" s="132"/>
      <c r="J86" s="132"/>
      <c r="K86" s="162" t="s">
        <v>37</v>
      </c>
      <c r="L86" s="179">
        <f>F67</f>
        <v>1.1847764673873957</v>
      </c>
      <c r="M86" s="132" t="s">
        <v>288</v>
      </c>
      <c r="N86" s="501"/>
      <c r="O86" s="501"/>
      <c r="P86" s="163" t="s">
        <v>370</v>
      </c>
      <c r="Q86" s="164"/>
    </row>
    <row r="87" spans="1:20" x14ac:dyDescent="0.3">
      <c r="A87" s="132"/>
      <c r="B87" s="132"/>
      <c r="C87" s="162"/>
      <c r="D87" s="162"/>
      <c r="E87" s="132"/>
      <c r="F87" s="132"/>
      <c r="G87" s="162"/>
      <c r="H87" s="132"/>
      <c r="I87" s="132"/>
      <c r="J87" s="132"/>
      <c r="K87" s="162" t="s">
        <v>59</v>
      </c>
      <c r="L87" s="168">
        <f>F66</f>
        <v>2.7644784239039231</v>
      </c>
      <c r="M87" s="132" t="s">
        <v>288</v>
      </c>
      <c r="N87" s="501"/>
      <c r="O87" s="501"/>
      <c r="P87" s="163" t="s">
        <v>370</v>
      </c>
      <c r="Q87" s="164"/>
    </row>
    <row r="88" spans="1:20" x14ac:dyDescent="0.3">
      <c r="A88" s="169"/>
      <c r="B88" s="169"/>
      <c r="C88" s="145"/>
      <c r="D88" s="145"/>
      <c r="E88" s="169"/>
      <c r="F88" s="169"/>
      <c r="G88" s="145"/>
      <c r="H88" s="145"/>
      <c r="I88" s="169"/>
      <c r="J88" s="169"/>
      <c r="K88" s="145"/>
      <c r="L88" s="169"/>
      <c r="M88" s="169"/>
      <c r="N88" s="503"/>
      <c r="O88" s="503"/>
      <c r="P88" s="170"/>
      <c r="Q88" s="171"/>
    </row>
    <row r="89" spans="1:20" x14ac:dyDescent="0.3">
      <c r="A89" s="770" t="s">
        <v>194</v>
      </c>
      <c r="B89" s="172"/>
      <c r="C89" s="173"/>
      <c r="D89" s="173"/>
      <c r="E89" s="172"/>
      <c r="F89" s="172"/>
      <c r="G89" s="173"/>
      <c r="H89" s="132"/>
      <c r="I89" s="132"/>
      <c r="J89" s="132"/>
      <c r="K89" s="162"/>
      <c r="L89" s="132"/>
      <c r="M89" s="132"/>
      <c r="N89" s="501"/>
      <c r="O89" s="501"/>
      <c r="P89" s="163"/>
      <c r="Q89" s="164"/>
    </row>
    <row r="90" spans="1:20" ht="29.4" x14ac:dyDescent="0.35">
      <c r="A90" s="210" t="s">
        <v>371</v>
      </c>
      <c r="B90" s="132" t="s">
        <v>372</v>
      </c>
      <c r="C90" s="161">
        <f>L71</f>
        <v>65406.731992185851</v>
      </c>
      <c r="D90" s="162" t="s">
        <v>288</v>
      </c>
      <c r="E90" s="132"/>
      <c r="F90" s="132"/>
      <c r="G90" s="162"/>
      <c r="H90" s="132"/>
      <c r="I90" s="132"/>
      <c r="J90" s="132"/>
      <c r="K90" s="162"/>
      <c r="L90" s="132"/>
      <c r="M90" s="132"/>
      <c r="N90" s="501"/>
      <c r="O90" s="501"/>
      <c r="P90" s="163"/>
      <c r="Q90" s="164"/>
      <c r="T90" s="167"/>
    </row>
    <row r="91" spans="1:20" x14ac:dyDescent="0.3">
      <c r="A91" s="132"/>
      <c r="B91" s="132"/>
      <c r="C91" s="161"/>
      <c r="D91" s="162"/>
      <c r="E91" s="132"/>
      <c r="F91" s="132"/>
      <c r="G91" s="162"/>
      <c r="H91" s="132" t="s">
        <v>48</v>
      </c>
      <c r="I91" s="168">
        <f>Energy!P24</f>
        <v>35376474.740986891</v>
      </c>
      <c r="J91" s="132" t="s">
        <v>221</v>
      </c>
      <c r="K91" s="162"/>
      <c r="L91" s="132"/>
      <c r="M91" s="132"/>
      <c r="N91" s="501"/>
      <c r="O91" s="501"/>
      <c r="P91" s="163" t="s">
        <v>373</v>
      </c>
      <c r="Q91" s="164"/>
    </row>
    <row r="92" spans="1:20" ht="15.6" x14ac:dyDescent="0.35">
      <c r="A92" s="132"/>
      <c r="B92" s="132"/>
      <c r="C92" s="162"/>
      <c r="D92" s="162"/>
      <c r="E92" s="132"/>
      <c r="F92" s="132"/>
      <c r="G92" s="162"/>
      <c r="H92" s="132"/>
      <c r="I92" s="132"/>
      <c r="J92" s="132"/>
      <c r="K92" s="162" t="s">
        <v>151</v>
      </c>
      <c r="L92" s="168">
        <f>(Stoichiometry!G14+Stoichiometry!G28)*Efficiencies!E28</f>
        <v>8979.9224806427319</v>
      </c>
      <c r="M92" s="132" t="s">
        <v>288</v>
      </c>
      <c r="N92" s="501"/>
      <c r="O92" s="501"/>
      <c r="P92" s="163"/>
      <c r="Q92" s="164"/>
    </row>
    <row r="93" spans="1:20" x14ac:dyDescent="0.3">
      <c r="A93" s="132"/>
      <c r="B93" s="132"/>
      <c r="C93" s="162"/>
      <c r="D93" s="162"/>
      <c r="E93" s="132"/>
      <c r="F93" s="132"/>
      <c r="G93" s="162"/>
      <c r="H93" s="132"/>
      <c r="I93" s="132"/>
      <c r="J93" s="132"/>
      <c r="K93" s="162" t="s">
        <v>214</v>
      </c>
      <c r="L93" s="168">
        <f>C90-L92</f>
        <v>56426.809511543121</v>
      </c>
      <c r="M93" s="132" t="s">
        <v>288</v>
      </c>
      <c r="N93" s="501"/>
      <c r="O93" s="501"/>
      <c r="P93" s="163" t="s">
        <v>374</v>
      </c>
      <c r="Q93" s="164"/>
    </row>
    <row r="94" spans="1:20" x14ac:dyDescent="0.3">
      <c r="A94" s="132"/>
      <c r="B94" s="132"/>
      <c r="C94" s="162"/>
      <c r="D94" s="162"/>
      <c r="E94" s="132"/>
      <c r="F94" s="132"/>
      <c r="G94" s="162"/>
      <c r="H94" s="169"/>
      <c r="I94" s="169"/>
      <c r="J94" s="169"/>
      <c r="K94" s="145"/>
      <c r="L94" s="169"/>
      <c r="M94" s="169"/>
      <c r="N94" s="503"/>
      <c r="O94" s="503"/>
      <c r="P94" s="170"/>
      <c r="Q94" s="171"/>
    </row>
    <row r="95" spans="1:20" x14ac:dyDescent="0.3">
      <c r="A95" s="770" t="s">
        <v>195</v>
      </c>
      <c r="B95" s="172"/>
      <c r="C95" s="173"/>
      <c r="D95" s="173"/>
      <c r="E95" s="172"/>
      <c r="F95" s="172"/>
      <c r="G95" s="173"/>
      <c r="H95" s="132"/>
      <c r="I95" s="132"/>
      <c r="J95" s="132"/>
      <c r="K95" s="162"/>
      <c r="L95" s="132"/>
      <c r="M95" s="132"/>
      <c r="N95" s="501"/>
      <c r="O95" s="501"/>
      <c r="P95" s="163"/>
      <c r="Q95" s="164"/>
    </row>
    <row r="96" spans="1:20" ht="29.4" x14ac:dyDescent="0.35">
      <c r="A96" s="210" t="s">
        <v>371</v>
      </c>
      <c r="B96" s="132" t="s">
        <v>369</v>
      </c>
      <c r="C96" s="161">
        <f>L84</f>
        <v>6784.7716707284389</v>
      </c>
      <c r="D96" s="162" t="s">
        <v>288</v>
      </c>
      <c r="E96" s="132"/>
      <c r="F96" s="132"/>
      <c r="G96" s="162"/>
      <c r="H96" s="132"/>
      <c r="I96" s="132"/>
      <c r="J96" s="132"/>
      <c r="K96" s="162"/>
      <c r="L96" s="132"/>
      <c r="M96" s="132"/>
      <c r="N96" s="501"/>
      <c r="O96" s="501"/>
      <c r="P96" s="163"/>
      <c r="Q96" s="164"/>
      <c r="T96" s="167"/>
    </row>
    <row r="97" spans="1:29" x14ac:dyDescent="0.3">
      <c r="A97" s="132"/>
      <c r="B97" s="132"/>
      <c r="C97" s="161"/>
      <c r="D97" s="162"/>
      <c r="E97" s="132"/>
      <c r="F97" s="132"/>
      <c r="G97" s="162"/>
      <c r="H97" s="132" t="s">
        <v>48</v>
      </c>
      <c r="I97" s="168">
        <f>Energy!P25</f>
        <v>2266670.3928758251</v>
      </c>
      <c r="J97" s="132" t="s">
        <v>221</v>
      </c>
      <c r="K97" s="162"/>
      <c r="L97" s="132"/>
      <c r="M97" s="132"/>
      <c r="N97" s="501"/>
      <c r="O97" s="501"/>
      <c r="P97" s="163" t="s">
        <v>373</v>
      </c>
      <c r="Q97" s="164"/>
    </row>
    <row r="98" spans="1:29" ht="15.6" x14ac:dyDescent="0.35">
      <c r="A98" s="132"/>
      <c r="B98" s="132"/>
      <c r="C98" s="162"/>
      <c r="D98" s="162"/>
      <c r="E98" s="132"/>
      <c r="F98" s="132"/>
      <c r="G98" s="162"/>
      <c r="H98" s="132"/>
      <c r="I98" s="132"/>
      <c r="J98" s="132"/>
      <c r="K98" s="162" t="s">
        <v>139</v>
      </c>
      <c r="L98" s="168">
        <f>(Stoichiometry!G15+Stoichiometry!G29)*Efficiencies!E27</f>
        <v>3169.347029898589</v>
      </c>
      <c r="M98" s="132" t="s">
        <v>288</v>
      </c>
      <c r="N98" s="501"/>
      <c r="O98" s="501"/>
      <c r="P98" s="163"/>
      <c r="Q98" s="164"/>
    </row>
    <row r="99" spans="1:29" x14ac:dyDescent="0.3">
      <c r="A99" s="132"/>
      <c r="B99" s="132"/>
      <c r="C99" s="162"/>
      <c r="D99" s="162"/>
      <c r="E99" s="132"/>
      <c r="F99" s="132"/>
      <c r="G99" s="162"/>
      <c r="H99" s="132"/>
      <c r="I99" s="132"/>
      <c r="J99" s="132"/>
      <c r="K99" s="162" t="s">
        <v>214</v>
      </c>
      <c r="L99" s="168">
        <f>C96-L98</f>
        <v>3615.42464082985</v>
      </c>
      <c r="M99" s="132" t="s">
        <v>288</v>
      </c>
      <c r="N99" s="501"/>
      <c r="O99" s="501"/>
      <c r="P99" s="163" t="s">
        <v>374</v>
      </c>
      <c r="Q99" s="164"/>
      <c r="T99" s="167"/>
    </row>
    <row r="100" spans="1:29" x14ac:dyDescent="0.3">
      <c r="A100" s="169"/>
      <c r="B100" s="169"/>
      <c r="C100" s="145"/>
      <c r="D100" s="145"/>
      <c r="E100" s="169"/>
      <c r="F100" s="169"/>
      <c r="G100" s="145"/>
      <c r="H100" s="169"/>
      <c r="I100" s="169"/>
      <c r="J100" s="169"/>
      <c r="K100" s="145"/>
      <c r="L100" s="169"/>
      <c r="M100" s="169"/>
      <c r="N100" s="503"/>
      <c r="O100" s="503"/>
      <c r="P100" s="170"/>
      <c r="Q100" s="171"/>
    </row>
    <row r="101" spans="1:29" x14ac:dyDescent="0.3">
      <c r="A101" s="158" t="s">
        <v>22</v>
      </c>
      <c r="B101" s="320"/>
      <c r="C101" s="173"/>
      <c r="D101" s="173"/>
      <c r="E101" s="172"/>
      <c r="F101" s="173"/>
      <c r="G101" s="173"/>
      <c r="H101" s="172"/>
      <c r="I101" s="172"/>
      <c r="J101" s="172"/>
      <c r="K101" s="173"/>
      <c r="L101" s="172"/>
      <c r="M101" s="172"/>
      <c r="N101" s="506"/>
      <c r="O101" s="506"/>
      <c r="P101" s="321"/>
      <c r="Q101" s="322"/>
    </row>
    <row r="102" spans="1:29" x14ac:dyDescent="0.3">
      <c r="A102" s="169"/>
      <c r="B102" s="145" t="s">
        <v>375</v>
      </c>
      <c r="C102" s="145"/>
      <c r="D102" s="145"/>
      <c r="E102" s="323"/>
      <c r="F102" s="169"/>
      <c r="G102" s="145"/>
      <c r="H102" s="145"/>
      <c r="I102" s="145"/>
      <c r="J102" s="145"/>
      <c r="K102" s="145"/>
      <c r="L102" s="193"/>
      <c r="M102" s="145"/>
      <c r="N102" s="456"/>
      <c r="O102" s="456"/>
      <c r="P102" s="170"/>
      <c r="Q102" s="194"/>
    </row>
    <row r="103" spans="1:29" x14ac:dyDescent="0.3">
      <c r="L103" s="167"/>
      <c r="P103"/>
      <c r="Q103" s="286"/>
    </row>
    <row r="104" spans="1:29" x14ac:dyDescent="0.3">
      <c r="L104" s="249"/>
      <c r="P104"/>
      <c r="Q104" s="286"/>
    </row>
    <row r="105" spans="1:29" x14ac:dyDescent="0.3">
      <c r="A105" s="125"/>
    </row>
    <row r="106" spans="1:29" x14ac:dyDescent="0.3">
      <c r="B106" s="324"/>
    </row>
    <row r="107" spans="1:29" x14ac:dyDescent="0.3">
      <c r="S107" s="167"/>
      <c r="T107" s="183"/>
    </row>
    <row r="108" spans="1:29" ht="15" thickBot="1" x14ac:dyDescent="0.35">
      <c r="A108" s="184"/>
      <c r="B108" s="184"/>
      <c r="C108" s="184"/>
      <c r="D108" s="184"/>
      <c r="E108" s="185"/>
      <c r="F108" s="184"/>
      <c r="G108" s="184"/>
      <c r="H108" s="184"/>
      <c r="I108" s="184"/>
      <c r="J108" s="184"/>
      <c r="K108" s="184"/>
      <c r="L108" s="184"/>
      <c r="M108" s="184"/>
      <c r="N108" s="507"/>
      <c r="O108" s="507"/>
      <c r="P108" s="186"/>
      <c r="Q108" s="187"/>
      <c r="R108" s="184"/>
      <c r="S108" s="184"/>
      <c r="T108" s="184"/>
      <c r="U108" s="184"/>
      <c r="V108" s="184"/>
      <c r="W108" s="184"/>
      <c r="X108" s="184"/>
      <c r="Y108" s="184"/>
      <c r="Z108" s="184"/>
      <c r="AA108" s="184"/>
      <c r="AB108" s="184"/>
      <c r="AC108" s="184"/>
    </row>
    <row r="109" spans="1:29" ht="15" thickTop="1" x14ac:dyDescent="0.3"/>
    <row r="110" spans="1:29" ht="21.6" thickBot="1" x14ac:dyDescent="0.45">
      <c r="A110" s="188" t="s">
        <v>376</v>
      </c>
    </row>
    <row r="111" spans="1:29" ht="28.8" x14ac:dyDescent="0.3">
      <c r="A111" s="151" t="s">
        <v>281</v>
      </c>
      <c r="B111" s="98" t="s">
        <v>13</v>
      </c>
      <c r="C111" s="98" t="s">
        <v>251</v>
      </c>
      <c r="D111" s="98" t="s">
        <v>252</v>
      </c>
      <c r="E111" s="99" t="s">
        <v>282</v>
      </c>
      <c r="F111" s="99" t="s">
        <v>251</v>
      </c>
      <c r="G111" s="99" t="s">
        <v>252</v>
      </c>
      <c r="H111" s="101" t="s">
        <v>283</v>
      </c>
      <c r="I111" s="152" t="s">
        <v>251</v>
      </c>
      <c r="J111" s="152" t="s">
        <v>252</v>
      </c>
      <c r="K111" s="102" t="s">
        <v>330</v>
      </c>
      <c r="L111" s="153" t="s">
        <v>251</v>
      </c>
      <c r="M111" s="102" t="s">
        <v>252</v>
      </c>
      <c r="N111" s="518" t="s">
        <v>331</v>
      </c>
      <c r="O111" s="518"/>
      <c r="P111" s="97" t="s">
        <v>285</v>
      </c>
      <c r="Q111" s="154" t="s">
        <v>298</v>
      </c>
      <c r="S111" s="325" t="s">
        <v>13</v>
      </c>
      <c r="T111" s="326" t="s">
        <v>251</v>
      </c>
      <c r="U111" s="327" t="s">
        <v>252</v>
      </c>
    </row>
    <row r="112" spans="1:29" ht="28.8" x14ac:dyDescent="0.3">
      <c r="A112" s="158" t="s">
        <v>204</v>
      </c>
      <c r="B112" s="157"/>
      <c r="C112" s="157"/>
      <c r="D112" s="157"/>
      <c r="E112" s="157"/>
      <c r="F112" s="157"/>
      <c r="G112" s="157"/>
      <c r="H112" s="157"/>
      <c r="I112" s="157"/>
      <c r="J112" s="157"/>
      <c r="K112" s="157"/>
      <c r="L112" s="157"/>
      <c r="M112" s="157"/>
      <c r="N112" s="508"/>
      <c r="O112" s="508"/>
      <c r="P112" s="189"/>
      <c r="Q112" s="190"/>
      <c r="S112" s="72" t="s">
        <v>377</v>
      </c>
      <c r="T112" s="77">
        <f>B5</f>
        <v>25000</v>
      </c>
      <c r="U112" s="74" t="s">
        <v>326</v>
      </c>
    </row>
    <row r="113" spans="1:22" ht="28.8" x14ac:dyDescent="0.3">
      <c r="A113" s="132" t="s">
        <v>333</v>
      </c>
      <c r="B113" s="162" t="s">
        <v>100</v>
      </c>
      <c r="C113" s="161">
        <f>T120</f>
        <v>0</v>
      </c>
      <c r="D113" s="162" t="s">
        <v>288</v>
      </c>
      <c r="E113" s="162"/>
      <c r="F113" s="162"/>
      <c r="G113" s="162"/>
      <c r="H113" s="162"/>
      <c r="I113" s="162"/>
      <c r="J113" s="162"/>
      <c r="K113" s="162"/>
      <c r="L113" s="162"/>
      <c r="M113" s="162"/>
      <c r="N113" s="492"/>
      <c r="O113" s="492"/>
      <c r="P113" s="163" t="s">
        <v>378</v>
      </c>
      <c r="Q113" s="191"/>
      <c r="S113" s="72"/>
      <c r="T113" s="73"/>
      <c r="U113" s="74"/>
    </row>
    <row r="114" spans="1:22" x14ac:dyDescent="0.3">
      <c r="A114" s="132" t="s">
        <v>334</v>
      </c>
      <c r="B114" s="162"/>
      <c r="C114" s="162"/>
      <c r="D114" s="162"/>
      <c r="E114" s="163" t="s">
        <v>70</v>
      </c>
      <c r="F114" s="161">
        <f>IF(Macro!D10=TRUE,Stoichiometry!G44,0)</f>
        <v>0</v>
      </c>
      <c r="G114" s="162" t="s">
        <v>288</v>
      </c>
      <c r="H114" s="162"/>
      <c r="I114" s="162"/>
      <c r="J114" s="162"/>
      <c r="K114" s="162"/>
      <c r="L114" s="162"/>
      <c r="M114" s="162"/>
      <c r="N114" s="492"/>
      <c r="P114" s="163"/>
      <c r="Q114" s="191"/>
      <c r="S114" s="72" t="s">
        <v>379</v>
      </c>
      <c r="T114" s="192">
        <f>$T$112*(Battery!E9+Battery!E17+Battery!E25)</f>
        <v>1191.932335718933</v>
      </c>
      <c r="U114" s="74" t="s">
        <v>326</v>
      </c>
    </row>
    <row r="115" spans="1:22" x14ac:dyDescent="0.3">
      <c r="A115" s="132"/>
      <c r="B115" s="162"/>
      <c r="C115" s="162"/>
      <c r="D115" s="162"/>
      <c r="E115" s="162"/>
      <c r="F115" s="161"/>
      <c r="G115" s="162"/>
      <c r="H115" s="162" t="s">
        <v>48</v>
      </c>
      <c r="I115" s="161">
        <f>Energy!P26</f>
        <v>0</v>
      </c>
      <c r="J115" s="162" t="s">
        <v>221</v>
      </c>
      <c r="K115" s="162"/>
      <c r="L115" s="162"/>
      <c r="M115" s="162"/>
      <c r="N115" s="492"/>
      <c r="P115" s="163" t="s">
        <v>380</v>
      </c>
      <c r="Q115" s="191"/>
      <c r="S115" s="72" t="s">
        <v>96</v>
      </c>
      <c r="T115" s="192">
        <f>T112*Battery!E12</f>
        <v>665.12260247234872</v>
      </c>
      <c r="U115" s="74" t="s">
        <v>326</v>
      </c>
    </row>
    <row r="116" spans="1:22" x14ac:dyDescent="0.3">
      <c r="A116" s="132"/>
      <c r="B116" s="162"/>
      <c r="C116" s="162"/>
      <c r="D116" s="162"/>
      <c r="E116" s="162"/>
      <c r="F116" s="162"/>
      <c r="G116" s="162"/>
      <c r="H116" s="162"/>
      <c r="I116" s="162"/>
      <c r="J116" s="162"/>
      <c r="K116" s="162" t="s">
        <v>336</v>
      </c>
      <c r="L116" s="161">
        <f>IF(Macro!D10=TRUE,Stoichiometry!G53,0)</f>
        <v>0</v>
      </c>
      <c r="M116" s="162" t="s">
        <v>288</v>
      </c>
      <c r="N116" s="492"/>
      <c r="O116" s="492"/>
      <c r="P116" s="163" t="s">
        <v>381</v>
      </c>
      <c r="Q116" s="191"/>
      <c r="S116" s="72" t="s">
        <v>95</v>
      </c>
      <c r="T116" s="192">
        <f>T112*Battery!E13*T124</f>
        <v>361.16040008674912</v>
      </c>
      <c r="U116" s="74" t="s">
        <v>326</v>
      </c>
    </row>
    <row r="117" spans="1:22" x14ac:dyDescent="0.3">
      <c r="A117" s="132"/>
      <c r="B117" s="162"/>
      <c r="C117" s="162"/>
      <c r="D117" s="162"/>
      <c r="E117" s="162"/>
      <c r="F117" s="162"/>
      <c r="G117" s="162"/>
      <c r="H117" s="162"/>
      <c r="I117" s="162"/>
      <c r="J117" s="162"/>
      <c r="K117" s="162" t="s">
        <v>336</v>
      </c>
      <c r="L117" s="400">
        <f>L116/Stoichiometry!C53</f>
        <v>0</v>
      </c>
      <c r="M117" s="162" t="s">
        <v>301</v>
      </c>
      <c r="N117" s="492"/>
      <c r="O117" s="492"/>
      <c r="P117" s="163"/>
      <c r="Q117" s="191"/>
      <c r="S117" s="72" t="s">
        <v>45</v>
      </c>
      <c r="T117" s="195">
        <f>T112*(Battery!E20+Battery!E26)*T123</f>
        <v>511.90631099544561</v>
      </c>
      <c r="U117" s="74" t="s">
        <v>326</v>
      </c>
    </row>
    <row r="118" spans="1:22" ht="15.6" x14ac:dyDescent="0.3">
      <c r="A118" s="169"/>
      <c r="B118" s="193"/>
      <c r="C118" s="145"/>
      <c r="D118" s="145"/>
      <c r="E118" s="145"/>
      <c r="F118" s="145"/>
      <c r="G118" s="145"/>
      <c r="H118" s="145"/>
      <c r="I118" s="145"/>
      <c r="J118" s="145"/>
      <c r="K118" s="145"/>
      <c r="L118" s="145"/>
      <c r="M118" s="145"/>
      <c r="N118" s="456"/>
      <c r="O118" s="456"/>
      <c r="P118" s="170"/>
      <c r="Q118" s="194"/>
      <c r="S118" s="72" t="s">
        <v>382</v>
      </c>
      <c r="T118" s="195">
        <f>'R1_MEFA'!F42</f>
        <v>3626.1431402455278</v>
      </c>
      <c r="U118" s="74" t="s">
        <v>326</v>
      </c>
    </row>
    <row r="119" spans="1:22" x14ac:dyDescent="0.3">
      <c r="A119" s="771" t="s">
        <v>205</v>
      </c>
      <c r="B119" s="196"/>
      <c r="C119" s="162"/>
      <c r="D119" s="162"/>
      <c r="E119" s="162"/>
      <c r="F119" s="162"/>
      <c r="G119" s="162"/>
      <c r="H119" s="162"/>
      <c r="I119" s="162"/>
      <c r="J119" s="162"/>
      <c r="K119" s="162"/>
      <c r="L119" s="162"/>
      <c r="M119" s="162"/>
      <c r="N119" s="492"/>
      <c r="O119" s="492"/>
      <c r="P119" s="163"/>
      <c r="Q119" s="191"/>
      <c r="S119" s="329" t="s">
        <v>383</v>
      </c>
      <c r="T119" s="195">
        <f>'R1_MEFA'!F41</f>
        <v>7006.9081732563945</v>
      </c>
      <c r="U119" s="74" t="s">
        <v>326</v>
      </c>
    </row>
    <row r="120" spans="1:22" ht="15" thickBot="1" x14ac:dyDescent="0.35">
      <c r="A120" s="210" t="s">
        <v>338</v>
      </c>
      <c r="B120" s="162" t="s">
        <v>336</v>
      </c>
      <c r="C120" s="161">
        <f>L116</f>
        <v>0</v>
      </c>
      <c r="D120" s="162" t="s">
        <v>288</v>
      </c>
      <c r="E120" s="161"/>
      <c r="F120" s="162"/>
      <c r="G120" s="162"/>
      <c r="H120" s="162"/>
      <c r="I120" s="162"/>
      <c r="J120" s="162"/>
      <c r="K120" s="162"/>
      <c r="L120" s="162"/>
      <c r="M120" s="162"/>
      <c r="N120" s="492"/>
      <c r="O120" s="492"/>
      <c r="P120" s="163"/>
      <c r="Q120" s="191"/>
      <c r="S120" s="401" t="s">
        <v>384</v>
      </c>
      <c r="T120" s="330">
        <f>IF(Macro!D10=TRUE,SUM(T114:T119),0)</f>
        <v>0</v>
      </c>
      <c r="U120" s="79" t="s">
        <v>326</v>
      </c>
    </row>
    <row r="121" spans="1:22" ht="15" thickBot="1" x14ac:dyDescent="0.35">
      <c r="A121" s="132"/>
      <c r="B121" s="162"/>
      <c r="C121" s="162"/>
      <c r="D121" s="162"/>
      <c r="E121" s="197" t="s">
        <v>214</v>
      </c>
      <c r="F121" s="181">
        <f>IF(Macro!D10=TRUE,(Stoichiometry!G34/(Stoichiometry!J11/1000)+Stoichiometry!G35/(Stoichiometry!J7/1000)+Stoichiometry!G36/(Stoichiometry!J8/1000)+Stoichiometry!G37/(Stoichiometry!J10/1000))*Q121,0)</f>
        <v>0</v>
      </c>
      <c r="G121" s="162" t="s">
        <v>288</v>
      </c>
      <c r="H121" s="162"/>
      <c r="I121" s="162"/>
      <c r="J121" s="162"/>
      <c r="K121" s="162"/>
      <c r="L121" s="162"/>
      <c r="M121" s="162"/>
      <c r="N121" s="492"/>
      <c r="O121" s="492"/>
      <c r="P121" s="110" t="s">
        <v>339</v>
      </c>
      <c r="Q121" s="811">
        <v>1.2</v>
      </c>
    </row>
    <row r="122" spans="1:22" x14ac:dyDescent="0.3">
      <c r="A122" s="132"/>
      <c r="B122" s="162"/>
      <c r="C122" s="162"/>
      <c r="D122" s="162"/>
      <c r="E122" s="197"/>
      <c r="F122" s="181"/>
      <c r="G122" s="162"/>
      <c r="H122" s="162" t="s">
        <v>48</v>
      </c>
      <c r="I122" s="209">
        <f>Energy!P27</f>
        <v>0</v>
      </c>
      <c r="J122" s="162" t="s">
        <v>221</v>
      </c>
      <c r="K122" s="162"/>
      <c r="L122" s="162"/>
      <c r="M122" s="162"/>
      <c r="N122" s="492"/>
      <c r="O122" s="492"/>
      <c r="P122" s="178"/>
      <c r="Q122" s="468"/>
      <c r="S122" s="402" t="s">
        <v>249</v>
      </c>
      <c r="T122" s="268"/>
      <c r="U122" s="268"/>
      <c r="V122" s="403"/>
    </row>
    <row r="123" spans="1:22" x14ac:dyDescent="0.3">
      <c r="A123" s="132"/>
      <c r="B123" s="162"/>
      <c r="C123" s="162"/>
      <c r="D123" s="162"/>
      <c r="E123" s="162"/>
      <c r="F123" s="162"/>
      <c r="G123" s="162"/>
      <c r="H123" s="162"/>
      <c r="I123" s="162"/>
      <c r="J123" s="162"/>
      <c r="K123" s="162" t="s">
        <v>340</v>
      </c>
      <c r="L123" s="161">
        <f>C120+F121</f>
        <v>0</v>
      </c>
      <c r="M123" s="162" t="s">
        <v>288</v>
      </c>
      <c r="N123" s="492"/>
      <c r="O123" s="492"/>
      <c r="P123" s="163"/>
      <c r="Q123" s="191"/>
      <c r="S123" s="134" t="s">
        <v>385</v>
      </c>
      <c r="T123" s="526">
        <f>1-F5</f>
        <v>0.7</v>
      </c>
      <c r="U123" s="123" t="s">
        <v>386</v>
      </c>
      <c r="V123" s="404">
        <f>1-T123</f>
        <v>0.30000000000000004</v>
      </c>
    </row>
    <row r="124" spans="1:22" ht="15" thickBot="1" x14ac:dyDescent="0.35">
      <c r="A124" s="155"/>
      <c r="B124" s="162"/>
      <c r="C124" s="162"/>
      <c r="D124" s="162"/>
      <c r="E124" s="162"/>
      <c r="F124" s="162"/>
      <c r="G124" s="162"/>
      <c r="H124" s="162"/>
      <c r="I124" s="162"/>
      <c r="J124" s="162"/>
      <c r="K124" s="162" t="s">
        <v>340</v>
      </c>
      <c r="L124" s="198">
        <f>IF(Macro!D10=TRUE,L123/N124,0)</f>
        <v>0</v>
      </c>
      <c r="M124" s="162" t="s">
        <v>301</v>
      </c>
      <c r="N124" s="509" t="e">
        <f>Stoichiometry!C53*C120/L123+1*F121/L123</f>
        <v>#DIV/0!</v>
      </c>
      <c r="O124" s="509"/>
      <c r="P124" s="204"/>
      <c r="Q124" s="191"/>
      <c r="S124" s="139" t="s">
        <v>387</v>
      </c>
      <c r="T124" s="814">
        <v>0.86</v>
      </c>
      <c r="U124" s="140" t="s">
        <v>388</v>
      </c>
      <c r="V124" s="405">
        <f>1-T124</f>
        <v>0.14000000000000001</v>
      </c>
    </row>
    <row r="125" spans="1:22" x14ac:dyDescent="0.3">
      <c r="A125" s="199"/>
      <c r="B125" s="200"/>
      <c r="C125" s="201"/>
      <c r="D125" s="201"/>
      <c r="E125" s="201"/>
      <c r="F125" s="201"/>
      <c r="G125" s="201"/>
      <c r="H125" s="201"/>
      <c r="I125" s="201"/>
      <c r="J125" s="201"/>
      <c r="K125" s="201"/>
      <c r="L125" s="201"/>
      <c r="M125" s="201"/>
      <c r="N125" s="510"/>
      <c r="O125" s="510"/>
      <c r="P125" s="202"/>
      <c r="Q125" s="203"/>
    </row>
    <row r="126" spans="1:22" x14ac:dyDescent="0.3">
      <c r="A126" s="155" t="s">
        <v>197</v>
      </c>
      <c r="B126" s="161"/>
      <c r="C126" s="162"/>
      <c r="D126" s="162"/>
      <c r="E126" s="162"/>
      <c r="F126" s="162"/>
      <c r="G126" s="162"/>
      <c r="H126" s="162"/>
      <c r="I126" s="162"/>
      <c r="J126" s="162"/>
      <c r="K126" s="162"/>
      <c r="L126" s="162"/>
      <c r="M126" s="162"/>
      <c r="N126" s="492"/>
      <c r="O126" s="492"/>
      <c r="P126" s="163"/>
      <c r="Q126" s="191"/>
      <c r="S126" s="70"/>
      <c r="T126" s="336"/>
      <c r="U126" s="70"/>
    </row>
    <row r="127" spans="1:22" x14ac:dyDescent="0.3">
      <c r="A127" s="132"/>
      <c r="B127" s="162" t="s">
        <v>340</v>
      </c>
      <c r="C127" s="161">
        <f>L123</f>
        <v>0</v>
      </c>
      <c r="D127" s="162" t="s">
        <v>288</v>
      </c>
      <c r="E127" s="161"/>
      <c r="F127" s="162"/>
      <c r="G127" s="162"/>
      <c r="H127" s="162"/>
      <c r="I127" s="162"/>
      <c r="J127" s="162"/>
      <c r="K127" s="162"/>
      <c r="L127" s="162"/>
      <c r="M127" s="162"/>
      <c r="N127" s="492"/>
      <c r="O127" s="492"/>
      <c r="P127" s="163"/>
      <c r="Q127" s="191"/>
      <c r="S127" s="70"/>
      <c r="T127" s="336"/>
      <c r="U127" s="70"/>
    </row>
    <row r="128" spans="1:22" x14ac:dyDescent="0.3">
      <c r="A128" s="132"/>
      <c r="B128" s="162"/>
      <c r="C128" s="161"/>
      <c r="D128" s="162"/>
      <c r="E128" s="161"/>
      <c r="F128" s="162"/>
      <c r="G128" s="162"/>
      <c r="H128" s="162" t="s">
        <v>48</v>
      </c>
      <c r="I128" s="209">
        <f>Energy!P28</f>
        <v>0</v>
      </c>
      <c r="J128" s="162" t="s">
        <v>221</v>
      </c>
      <c r="K128" s="162"/>
      <c r="L128" s="162"/>
      <c r="M128" s="162"/>
      <c r="N128" s="492"/>
      <c r="O128" s="492"/>
      <c r="P128" s="178"/>
      <c r="Q128" s="468"/>
      <c r="S128" s="70"/>
      <c r="T128" s="336"/>
      <c r="U128" s="70"/>
      <c r="V128" s="236"/>
    </row>
    <row r="129" spans="1:21" ht="28.8" x14ac:dyDescent="0.3">
      <c r="A129" s="132"/>
      <c r="B129" s="162"/>
      <c r="C129" s="161"/>
      <c r="D129" s="162"/>
      <c r="E129" s="161"/>
      <c r="F129" s="162"/>
      <c r="G129" s="162"/>
      <c r="H129" s="162"/>
      <c r="I129" s="162"/>
      <c r="J129" s="162"/>
      <c r="K129" s="162" t="s">
        <v>30</v>
      </c>
      <c r="L129" s="197">
        <f>IF(Macro!D10=TRUE,Stoichiometry!G50*Efficiencies!E31,0)</f>
        <v>0</v>
      </c>
      <c r="M129" s="162" t="s">
        <v>288</v>
      </c>
      <c r="N129" s="492"/>
      <c r="O129" s="492"/>
      <c r="P129" s="163" t="s">
        <v>389</v>
      </c>
      <c r="Q129" s="191"/>
      <c r="S129" s="246"/>
    </row>
    <row r="130" spans="1:21" x14ac:dyDescent="0.3">
      <c r="A130" s="132"/>
      <c r="B130" s="162"/>
      <c r="C130" s="162"/>
      <c r="D130" s="162"/>
      <c r="E130" s="162"/>
      <c r="F130" s="162"/>
      <c r="G130" s="162"/>
      <c r="H130" s="162"/>
      <c r="I130" s="162"/>
      <c r="J130" s="162"/>
      <c r="K130" s="162" t="s">
        <v>318</v>
      </c>
      <c r="L130" s="197">
        <f>IF(Macro!D10=TRUE,Stoichiometry!G40*Efficiencies!E32,0)</f>
        <v>0</v>
      </c>
      <c r="M130" s="162" t="s">
        <v>288</v>
      </c>
      <c r="N130" s="492"/>
      <c r="O130" s="492"/>
      <c r="P130" s="163" t="s">
        <v>390</v>
      </c>
      <c r="Q130" s="191"/>
      <c r="S130" s="70"/>
      <c r="T130" s="70"/>
      <c r="U130" s="70"/>
    </row>
    <row r="131" spans="1:21" x14ac:dyDescent="0.3">
      <c r="A131" s="155"/>
      <c r="B131" s="162"/>
      <c r="C131" s="162"/>
      <c r="D131" s="162"/>
      <c r="E131" s="162"/>
      <c r="F131" s="162"/>
      <c r="G131" s="162"/>
      <c r="H131" s="162"/>
      <c r="I131" s="162"/>
      <c r="J131" s="162"/>
      <c r="K131" s="162" t="s">
        <v>340</v>
      </c>
      <c r="L131" s="161">
        <f>C127-L129-L130</f>
        <v>0</v>
      </c>
      <c r="M131" s="162" t="s">
        <v>288</v>
      </c>
      <c r="N131" s="492"/>
      <c r="O131" s="492"/>
      <c r="P131" s="163"/>
      <c r="Q131" s="191"/>
      <c r="S131" s="91"/>
      <c r="T131" s="360"/>
      <c r="U131" s="70"/>
    </row>
    <row r="132" spans="1:21" x14ac:dyDescent="0.3">
      <c r="A132" s="132"/>
      <c r="B132" s="161"/>
      <c r="C132" s="162"/>
      <c r="D132" s="162"/>
      <c r="E132" s="162"/>
      <c r="F132" s="162"/>
      <c r="G132" s="162"/>
      <c r="H132" s="162"/>
      <c r="I132" s="162"/>
      <c r="J132" s="162"/>
      <c r="K132" s="162" t="s">
        <v>340</v>
      </c>
      <c r="L132" s="161">
        <f>L131/N132</f>
        <v>0</v>
      </c>
      <c r="M132" s="162" t="s">
        <v>301</v>
      </c>
      <c r="N132" s="511">
        <v>1</v>
      </c>
      <c r="O132" s="511"/>
      <c r="P132" s="399" t="s">
        <v>1145</v>
      </c>
      <c r="Q132" s="191"/>
    </row>
    <row r="133" spans="1:21" x14ac:dyDescent="0.3">
      <c r="A133" s="169"/>
      <c r="B133" s="205"/>
      <c r="C133" s="145"/>
      <c r="D133" s="145"/>
      <c r="E133" s="145"/>
      <c r="F133" s="145"/>
      <c r="G133" s="145"/>
      <c r="H133" s="145"/>
      <c r="I133" s="145"/>
      <c r="J133" s="145"/>
      <c r="K133" s="145"/>
      <c r="L133" s="205"/>
      <c r="M133" s="145"/>
      <c r="N133" s="456"/>
      <c r="O133" s="456"/>
      <c r="P133" s="206"/>
      <c r="Q133" s="194"/>
    </row>
    <row r="134" spans="1:21" x14ac:dyDescent="0.3">
      <c r="A134" s="155" t="s">
        <v>346</v>
      </c>
      <c r="B134" s="161"/>
      <c r="C134" s="162"/>
      <c r="D134" s="162"/>
      <c r="E134" s="162"/>
      <c r="F134" s="162"/>
      <c r="G134" s="162"/>
      <c r="H134" s="162"/>
      <c r="I134" s="162"/>
      <c r="J134" s="162"/>
      <c r="K134" s="162"/>
      <c r="L134" s="161"/>
      <c r="M134" s="162"/>
      <c r="N134" s="492"/>
      <c r="O134" s="492"/>
      <c r="P134" s="204"/>
      <c r="Q134" s="191"/>
    </row>
    <row r="135" spans="1:21" x14ac:dyDescent="0.3">
      <c r="A135" s="210" t="s">
        <v>338</v>
      </c>
      <c r="B135" s="161" t="s">
        <v>340</v>
      </c>
      <c r="C135" s="161">
        <f>L131</f>
        <v>0</v>
      </c>
      <c r="D135" s="162" t="s">
        <v>288</v>
      </c>
      <c r="E135" s="162"/>
      <c r="F135" s="162"/>
      <c r="G135" s="162"/>
      <c r="H135" s="162"/>
      <c r="I135" s="162"/>
      <c r="J135" s="162"/>
      <c r="K135" s="162"/>
      <c r="L135" s="161"/>
      <c r="M135" s="162"/>
      <c r="N135" s="492"/>
      <c r="O135" s="492"/>
      <c r="P135" s="204"/>
      <c r="Q135" s="191"/>
    </row>
    <row r="136" spans="1:21" x14ac:dyDescent="0.3">
      <c r="A136" s="132"/>
      <c r="B136" s="161"/>
      <c r="C136" s="162"/>
      <c r="D136" s="162"/>
      <c r="E136" s="163" t="s">
        <v>74</v>
      </c>
      <c r="F136" s="161">
        <f>C135*Q136</f>
        <v>0</v>
      </c>
      <c r="G136" s="162" t="s">
        <v>301</v>
      </c>
      <c r="H136" s="162"/>
      <c r="I136" s="162"/>
      <c r="J136" s="162"/>
      <c r="K136" s="162"/>
      <c r="L136" s="161"/>
      <c r="M136" s="162"/>
      <c r="N136" s="492"/>
      <c r="O136" s="492"/>
      <c r="P136" s="204" t="s">
        <v>347</v>
      </c>
      <c r="Q136" s="815">
        <v>0.04</v>
      </c>
    </row>
    <row r="137" spans="1:21" x14ac:dyDescent="0.3">
      <c r="A137" s="132"/>
      <c r="B137" s="161"/>
      <c r="C137" s="162"/>
      <c r="D137" s="162"/>
      <c r="E137" s="163" t="s">
        <v>74</v>
      </c>
      <c r="F137" s="161">
        <f>F136*Stoichiometry!C58</f>
        <v>0</v>
      </c>
      <c r="G137" s="162" t="s">
        <v>288</v>
      </c>
      <c r="H137" s="162"/>
      <c r="I137" s="162"/>
      <c r="J137" s="162"/>
      <c r="K137" s="162"/>
      <c r="L137" s="161"/>
      <c r="M137" s="162"/>
      <c r="N137" s="492"/>
      <c r="O137" s="492"/>
      <c r="P137" s="204"/>
      <c r="Q137" s="191"/>
    </row>
    <row r="138" spans="1:21" x14ac:dyDescent="0.3">
      <c r="A138" s="132"/>
      <c r="B138" s="161"/>
      <c r="C138" s="162"/>
      <c r="D138" s="162"/>
      <c r="E138" s="162"/>
      <c r="F138" s="161"/>
      <c r="G138" s="162"/>
      <c r="H138" s="162" t="s">
        <v>48</v>
      </c>
      <c r="I138" s="209">
        <f>Energy!P29</f>
        <v>0</v>
      </c>
      <c r="J138" s="162" t="s">
        <v>221</v>
      </c>
      <c r="K138" s="162"/>
      <c r="L138" s="161"/>
      <c r="M138" s="162"/>
      <c r="N138" s="492"/>
      <c r="O138" s="492"/>
      <c r="P138" s="178"/>
      <c r="Q138" s="468"/>
    </row>
    <row r="139" spans="1:21" x14ac:dyDescent="0.3">
      <c r="A139" s="132"/>
      <c r="B139" s="161"/>
      <c r="C139" s="162"/>
      <c r="D139" s="162"/>
      <c r="E139" s="162"/>
      <c r="F139" s="162"/>
      <c r="G139" s="162"/>
      <c r="H139" s="162"/>
      <c r="I139" s="162"/>
      <c r="J139" s="162"/>
      <c r="K139" s="162" t="s">
        <v>340</v>
      </c>
      <c r="L139" s="161">
        <f>C135+F137</f>
        <v>0</v>
      </c>
      <c r="M139" s="162" t="s">
        <v>288</v>
      </c>
      <c r="N139" s="492"/>
      <c r="O139" s="492"/>
      <c r="P139" s="204"/>
      <c r="Q139" s="191"/>
    </row>
    <row r="140" spans="1:21" x14ac:dyDescent="0.3">
      <c r="A140" s="132"/>
      <c r="B140" s="161"/>
      <c r="C140" s="162"/>
      <c r="D140" s="162"/>
      <c r="E140" s="162"/>
      <c r="F140" s="162"/>
      <c r="G140" s="162"/>
      <c r="H140" s="162"/>
      <c r="I140" s="162"/>
      <c r="J140" s="162"/>
      <c r="K140" s="162" t="s">
        <v>340</v>
      </c>
      <c r="L140" s="161">
        <f>L139/N140</f>
        <v>0</v>
      </c>
      <c r="M140" s="162" t="s">
        <v>301</v>
      </c>
      <c r="N140" s="511">
        <v>1</v>
      </c>
      <c r="O140" s="511"/>
      <c r="P140" s="204"/>
      <c r="Q140" s="191"/>
    </row>
    <row r="141" spans="1:21" x14ac:dyDescent="0.3">
      <c r="A141" s="169"/>
      <c r="B141" s="145"/>
      <c r="C141" s="145"/>
      <c r="D141" s="145"/>
      <c r="E141" s="205"/>
      <c r="F141" s="145"/>
      <c r="G141" s="145"/>
      <c r="H141" s="145"/>
      <c r="I141" s="145"/>
      <c r="J141" s="145"/>
      <c r="K141" s="145"/>
      <c r="L141" s="145"/>
      <c r="M141" s="145"/>
      <c r="N141" s="456"/>
      <c r="O141" s="456"/>
      <c r="P141" s="170"/>
      <c r="Q141" s="194"/>
    </row>
    <row r="142" spans="1:21" x14ac:dyDescent="0.3">
      <c r="A142" s="771" t="s">
        <v>391</v>
      </c>
      <c r="B142" s="162"/>
      <c r="C142" s="162"/>
      <c r="D142" s="162"/>
      <c r="E142" s="162"/>
      <c r="F142" s="162"/>
      <c r="G142" s="162"/>
      <c r="H142" s="162"/>
      <c r="I142" s="162"/>
      <c r="J142" s="162"/>
      <c r="K142" s="162"/>
      <c r="L142" s="162"/>
      <c r="M142" s="162"/>
      <c r="N142" s="492"/>
      <c r="O142" s="492"/>
      <c r="P142" s="163"/>
      <c r="Q142" s="191"/>
    </row>
    <row r="143" spans="1:21" x14ac:dyDescent="0.3">
      <c r="A143" s="210" t="s">
        <v>338</v>
      </c>
      <c r="B143" s="162" t="s">
        <v>340</v>
      </c>
      <c r="C143" s="161">
        <f>L139</f>
        <v>0</v>
      </c>
      <c r="D143" s="162" t="s">
        <v>288</v>
      </c>
      <c r="E143" s="162"/>
      <c r="F143" s="162"/>
      <c r="G143" s="162"/>
      <c r="H143" s="162"/>
      <c r="I143" s="162"/>
      <c r="J143" s="162"/>
      <c r="K143" s="162"/>
      <c r="L143" s="162"/>
      <c r="M143" s="162"/>
      <c r="N143" s="492"/>
      <c r="O143" s="492"/>
      <c r="P143" s="163"/>
      <c r="Q143" s="191"/>
    </row>
    <row r="144" spans="1:21" x14ac:dyDescent="0.3">
      <c r="A144" s="132"/>
      <c r="B144" s="161"/>
      <c r="C144" s="162"/>
      <c r="D144" s="162"/>
      <c r="E144" s="163" t="s">
        <v>66</v>
      </c>
      <c r="F144" s="161">
        <f>F114*Q144</f>
        <v>0</v>
      </c>
      <c r="G144" s="162" t="s">
        <v>288</v>
      </c>
      <c r="H144" s="162"/>
      <c r="I144" s="162"/>
      <c r="J144" s="162"/>
      <c r="K144" s="162"/>
      <c r="L144" s="162"/>
      <c r="M144" s="162"/>
      <c r="N144" s="492"/>
      <c r="O144" s="492"/>
      <c r="P144" s="110" t="s">
        <v>348</v>
      </c>
      <c r="Q144" s="811">
        <v>2</v>
      </c>
    </row>
    <row r="145" spans="1:17" x14ac:dyDescent="0.3">
      <c r="A145" s="132"/>
      <c r="B145" s="161"/>
      <c r="C145" s="162"/>
      <c r="D145" s="162"/>
      <c r="E145" s="162"/>
      <c r="F145" s="161"/>
      <c r="G145" s="162"/>
      <c r="H145" s="162" t="s">
        <v>48</v>
      </c>
      <c r="I145" s="209">
        <f>Energy!P30</f>
        <v>0</v>
      </c>
      <c r="J145" s="162" t="s">
        <v>221</v>
      </c>
      <c r="K145" s="162"/>
      <c r="L145" s="162"/>
      <c r="M145" s="162"/>
      <c r="N145" s="492"/>
      <c r="O145" s="492"/>
      <c r="P145" s="178"/>
      <c r="Q145" s="468"/>
    </row>
    <row r="146" spans="1:17" x14ac:dyDescent="0.3">
      <c r="A146" s="132"/>
      <c r="B146" s="161"/>
      <c r="C146" s="162"/>
      <c r="D146" s="162"/>
      <c r="E146" s="162"/>
      <c r="F146" s="162"/>
      <c r="G146" s="162"/>
      <c r="H146" s="162"/>
      <c r="I146" s="162"/>
      <c r="J146" s="162"/>
      <c r="K146" s="162" t="s">
        <v>340</v>
      </c>
      <c r="L146" s="161">
        <f>C143+F144</f>
        <v>0</v>
      </c>
      <c r="M146" s="162" t="s">
        <v>288</v>
      </c>
      <c r="N146" s="492"/>
      <c r="O146" s="492"/>
      <c r="P146" s="163"/>
      <c r="Q146" s="191"/>
    </row>
    <row r="147" spans="1:17" x14ac:dyDescent="0.3">
      <c r="A147" s="132"/>
      <c r="B147" s="162"/>
      <c r="C147" s="162"/>
      <c r="D147" s="162"/>
      <c r="E147" s="162"/>
      <c r="F147" s="162"/>
      <c r="G147" s="162"/>
      <c r="H147" s="162"/>
      <c r="I147" s="162"/>
      <c r="J147" s="162"/>
      <c r="K147" s="162" t="s">
        <v>340</v>
      </c>
      <c r="L147" s="161">
        <f>L146/N147</f>
        <v>0</v>
      </c>
      <c r="M147" s="162" t="s">
        <v>301</v>
      </c>
      <c r="N147" s="511">
        <v>1</v>
      </c>
      <c r="O147" s="511"/>
      <c r="P147" s="204"/>
      <c r="Q147" s="191"/>
    </row>
    <row r="148" spans="1:17" x14ac:dyDescent="0.3">
      <c r="A148" s="169"/>
      <c r="B148" s="145"/>
      <c r="C148" s="145"/>
      <c r="D148" s="145"/>
      <c r="E148" s="205"/>
      <c r="F148" s="145"/>
      <c r="G148" s="145"/>
      <c r="H148" s="145"/>
      <c r="I148" s="145"/>
      <c r="J148" s="145"/>
      <c r="K148" s="145"/>
      <c r="L148" s="145"/>
      <c r="M148" s="145"/>
      <c r="N148" s="456"/>
      <c r="O148" s="456"/>
      <c r="P148" s="170"/>
      <c r="Q148" s="194"/>
    </row>
    <row r="149" spans="1:17" x14ac:dyDescent="0.3">
      <c r="A149" s="155" t="s">
        <v>392</v>
      </c>
      <c r="B149" s="162"/>
      <c r="C149" s="162"/>
      <c r="D149" s="162"/>
      <c r="E149" s="162"/>
      <c r="F149" s="162"/>
      <c r="G149" s="162"/>
      <c r="H149" s="162"/>
      <c r="I149" s="162"/>
      <c r="J149" s="162"/>
      <c r="K149" s="162"/>
      <c r="L149" s="162"/>
      <c r="M149" s="162"/>
      <c r="N149" s="492"/>
      <c r="O149" s="492"/>
      <c r="P149" s="163"/>
      <c r="Q149" s="191"/>
    </row>
    <row r="150" spans="1:17" x14ac:dyDescent="0.3">
      <c r="A150" s="132" t="s">
        <v>350</v>
      </c>
      <c r="B150" s="162" t="s">
        <v>340</v>
      </c>
      <c r="C150" s="161">
        <f>L146</f>
        <v>0</v>
      </c>
      <c r="D150" s="162" t="s">
        <v>288</v>
      </c>
      <c r="E150" s="162"/>
      <c r="F150" s="162"/>
      <c r="G150" s="162"/>
      <c r="H150" s="162"/>
      <c r="I150" s="162"/>
      <c r="J150" s="162"/>
      <c r="K150" s="162"/>
      <c r="L150" s="162"/>
      <c r="M150" s="162"/>
      <c r="N150" s="492"/>
      <c r="O150" s="492"/>
      <c r="P150" s="163"/>
      <c r="Q150" s="191"/>
    </row>
    <row r="151" spans="1:17" x14ac:dyDescent="0.3">
      <c r="A151" s="155"/>
      <c r="B151" s="162"/>
      <c r="C151" s="161"/>
      <c r="D151" s="162"/>
      <c r="E151" s="162"/>
      <c r="F151" s="162"/>
      <c r="G151" s="162"/>
      <c r="H151" s="472" t="s">
        <v>48</v>
      </c>
      <c r="I151" s="474">
        <f>Energy!P31</f>
        <v>0</v>
      </c>
      <c r="J151" s="472" t="s">
        <v>221</v>
      </c>
      <c r="K151" s="472"/>
      <c r="L151" s="472"/>
      <c r="M151" s="472"/>
      <c r="N151" s="512"/>
      <c r="O151" s="512"/>
      <c r="P151" s="472"/>
      <c r="Q151" s="473"/>
    </row>
    <row r="152" spans="1:17" ht="15.6" x14ac:dyDescent="0.35">
      <c r="A152" s="132"/>
      <c r="B152" s="162"/>
      <c r="C152" s="162"/>
      <c r="D152" s="162"/>
      <c r="E152" s="161"/>
      <c r="F152" s="162"/>
      <c r="G152" s="162"/>
      <c r="H152" s="162"/>
      <c r="I152" s="162"/>
      <c r="J152" s="162"/>
      <c r="K152" s="162" t="s">
        <v>393</v>
      </c>
      <c r="L152" s="208">
        <f>IF(Macro!D10=TRUE,Stoichiometry!G37*(Stoichiometry!D55/Stoichiometry!D37)*Efficiencies!E33,0)</f>
        <v>0</v>
      </c>
      <c r="M152" s="162" t="s">
        <v>288</v>
      </c>
      <c r="N152" s="492"/>
      <c r="O152" s="492"/>
      <c r="P152" s="163"/>
      <c r="Q152" s="191"/>
    </row>
    <row r="153" spans="1:17" x14ac:dyDescent="0.3">
      <c r="A153" s="132"/>
      <c r="B153" s="162"/>
      <c r="C153" s="162"/>
      <c r="D153" s="162"/>
      <c r="E153" s="161"/>
      <c r="F153" s="162"/>
      <c r="G153" s="162"/>
      <c r="H153" s="162"/>
      <c r="I153" s="162"/>
      <c r="J153" s="162"/>
      <c r="K153" s="162" t="s">
        <v>29</v>
      </c>
      <c r="L153" s="209">
        <f>IF(Macro!D10=TRUE,Stoichiometry!G34*(Stoichiometry!D56/Stoichiometry!D34)*Efficiencies!E34,0)</f>
        <v>0</v>
      </c>
      <c r="M153" s="162" t="s">
        <v>288</v>
      </c>
      <c r="N153" s="492"/>
      <c r="O153" s="492"/>
      <c r="P153" s="163"/>
      <c r="Q153" s="191"/>
    </row>
    <row r="154" spans="1:17" x14ac:dyDescent="0.3">
      <c r="A154" s="132"/>
      <c r="B154" s="162"/>
      <c r="C154" s="162"/>
      <c r="D154" s="162"/>
      <c r="E154" s="161"/>
      <c r="F154" s="162"/>
      <c r="G154" s="162"/>
      <c r="H154" s="162"/>
      <c r="I154" s="162"/>
      <c r="J154" s="162"/>
      <c r="K154" s="162" t="s">
        <v>340</v>
      </c>
      <c r="L154" s="161">
        <f>C150-L152-L153</f>
        <v>0</v>
      </c>
      <c r="M154" s="162" t="s">
        <v>288</v>
      </c>
      <c r="N154" s="492"/>
      <c r="O154" s="492"/>
      <c r="P154" s="163"/>
      <c r="Q154" s="191"/>
    </row>
    <row r="155" spans="1:17" x14ac:dyDescent="0.3">
      <c r="A155" s="132"/>
      <c r="B155" s="162"/>
      <c r="C155" s="162"/>
      <c r="D155" s="162"/>
      <c r="E155" s="162"/>
      <c r="F155" s="162"/>
      <c r="G155" s="162"/>
      <c r="H155" s="162"/>
      <c r="I155" s="162"/>
      <c r="J155" s="162"/>
      <c r="K155" s="162" t="s">
        <v>340</v>
      </c>
      <c r="L155" s="161">
        <f>L154/N155</f>
        <v>0</v>
      </c>
      <c r="M155" s="162" t="s">
        <v>301</v>
      </c>
      <c r="N155" s="511">
        <v>1</v>
      </c>
      <c r="O155" s="511"/>
      <c r="P155" s="204"/>
      <c r="Q155" s="191"/>
    </row>
    <row r="156" spans="1:17" x14ac:dyDescent="0.3">
      <c r="A156" s="169"/>
      <c r="B156" s="145"/>
      <c r="C156" s="145"/>
      <c r="D156" s="145"/>
      <c r="E156" s="145"/>
      <c r="F156" s="145"/>
      <c r="G156" s="145"/>
      <c r="H156" s="145"/>
      <c r="I156" s="145"/>
      <c r="J156" s="145"/>
      <c r="K156" s="145"/>
      <c r="L156" s="145"/>
      <c r="M156" s="145"/>
      <c r="N156" s="456"/>
      <c r="O156" s="456"/>
      <c r="P156" s="170"/>
      <c r="Q156" s="194"/>
    </row>
    <row r="157" spans="1:17" x14ac:dyDescent="0.3">
      <c r="A157" s="155" t="s">
        <v>394</v>
      </c>
      <c r="B157" s="162"/>
      <c r="C157" s="162"/>
      <c r="D157" s="162"/>
      <c r="E157" s="162"/>
      <c r="F157" s="162"/>
      <c r="G157" s="162"/>
      <c r="H157" s="162"/>
      <c r="I157" s="162"/>
      <c r="J157" s="162"/>
      <c r="K157" s="162"/>
      <c r="L157" s="162"/>
      <c r="M157" s="162"/>
      <c r="N157" s="492"/>
      <c r="O157" s="492"/>
      <c r="P157" s="163"/>
      <c r="Q157" s="191"/>
    </row>
    <row r="158" spans="1:17" x14ac:dyDescent="0.3">
      <c r="A158" s="132" t="s">
        <v>342</v>
      </c>
      <c r="B158" s="162" t="s">
        <v>340</v>
      </c>
      <c r="C158" s="161">
        <f>L154</f>
        <v>0</v>
      </c>
      <c r="D158" s="162" t="s">
        <v>288</v>
      </c>
      <c r="E158" s="162"/>
      <c r="F158" s="162"/>
      <c r="G158" s="162"/>
      <c r="H158" s="162"/>
      <c r="I158" s="162"/>
      <c r="J158" s="162"/>
      <c r="K158" s="162"/>
      <c r="L158" s="162"/>
      <c r="M158" s="162"/>
      <c r="N158" s="492"/>
      <c r="O158" s="521" t="e">
        <f>Energy!S32</f>
        <v>#DIV/0!</v>
      </c>
      <c r="P158" s="110" t="s">
        <v>266</v>
      </c>
      <c r="Q158" s="191"/>
    </row>
    <row r="159" spans="1:17" ht="28.8" x14ac:dyDescent="0.3">
      <c r="A159" s="132"/>
      <c r="B159" s="162"/>
      <c r="C159" s="162"/>
      <c r="D159" s="162"/>
      <c r="E159" s="162" t="s">
        <v>59</v>
      </c>
      <c r="F159" s="197">
        <f>IF(Macro!D10=TRUE,C158/3*1.3*0.7/O158,0)</f>
        <v>0</v>
      </c>
      <c r="G159" s="162" t="s">
        <v>288</v>
      </c>
      <c r="H159" s="162"/>
      <c r="I159" s="162"/>
      <c r="J159" s="162"/>
      <c r="K159" s="162"/>
      <c r="L159" s="162"/>
      <c r="M159" s="162"/>
      <c r="N159" s="492"/>
      <c r="O159" s="492"/>
      <c r="P159" s="110" t="s">
        <v>353</v>
      </c>
      <c r="Q159" s="191"/>
    </row>
    <row r="160" spans="1:17" ht="28.8" x14ac:dyDescent="0.3">
      <c r="A160" s="132"/>
      <c r="B160" s="162"/>
      <c r="C160" s="162"/>
      <c r="D160" s="162"/>
      <c r="E160" s="162" t="s">
        <v>395</v>
      </c>
      <c r="F160" s="197">
        <f>IF(Macro!D10=TRUE,C158/3*1.3*0.3/O158,0)</f>
        <v>0</v>
      </c>
      <c r="G160" s="162" t="s">
        <v>355</v>
      </c>
      <c r="H160" s="162"/>
      <c r="I160" s="162"/>
      <c r="J160" s="162"/>
      <c r="K160" s="162"/>
      <c r="L160" s="162"/>
      <c r="M160" s="162"/>
      <c r="N160" s="492"/>
      <c r="O160" s="492"/>
      <c r="P160" s="110" t="s">
        <v>396</v>
      </c>
      <c r="Q160" s="191"/>
    </row>
    <row r="161" spans="1:20" ht="28.8" x14ac:dyDescent="0.3">
      <c r="A161" s="132"/>
      <c r="B161" s="162"/>
      <c r="C161" s="162"/>
      <c r="D161" s="162"/>
      <c r="E161" s="163" t="s">
        <v>397</v>
      </c>
      <c r="F161" s="181">
        <f>F160*Q161</f>
        <v>0</v>
      </c>
      <c r="G161" s="162" t="s">
        <v>288</v>
      </c>
      <c r="H161" s="162"/>
      <c r="I161" s="132"/>
      <c r="J161" s="162"/>
      <c r="K161" s="162"/>
      <c r="L161" s="162"/>
      <c r="M161" s="162"/>
      <c r="N161" s="492"/>
      <c r="O161" s="492"/>
      <c r="P161" s="110" t="s">
        <v>358</v>
      </c>
      <c r="Q161" s="815">
        <v>0.05</v>
      </c>
    </row>
    <row r="162" spans="1:20" x14ac:dyDescent="0.3">
      <c r="A162" s="132"/>
      <c r="B162" s="162"/>
      <c r="C162" s="162"/>
      <c r="D162" s="162"/>
      <c r="E162" s="163"/>
      <c r="F162" s="196"/>
      <c r="G162" s="162"/>
      <c r="H162" s="162" t="s">
        <v>48</v>
      </c>
      <c r="I162" s="161">
        <f>Energy!P32</f>
        <v>0</v>
      </c>
      <c r="J162" s="162" t="s">
        <v>221</v>
      </c>
      <c r="K162" s="162"/>
      <c r="L162" s="162"/>
      <c r="M162" s="162"/>
      <c r="N162" s="492"/>
      <c r="O162" s="492"/>
      <c r="P162" s="110"/>
      <c r="Q162" s="244"/>
    </row>
    <row r="163" spans="1:20" ht="28.8" x14ac:dyDescent="0.3">
      <c r="A163" s="132"/>
      <c r="B163" s="162"/>
      <c r="C163" s="162"/>
      <c r="D163" s="162"/>
      <c r="E163" s="162"/>
      <c r="F163" s="162"/>
      <c r="G163" s="162"/>
      <c r="H163" s="162"/>
      <c r="I163" s="132"/>
      <c r="J163" s="162"/>
      <c r="K163" s="162" t="s">
        <v>398</v>
      </c>
      <c r="L163" s="161">
        <f>IF(Macro!D10=TRUE,F159+F160+Stoichiometry!G47+Stoichiometry!G47/(Stoichiometry!J7/1000),0)</f>
        <v>0</v>
      </c>
      <c r="M163" s="162" t="s">
        <v>288</v>
      </c>
      <c r="N163" s="492"/>
      <c r="O163" s="492"/>
      <c r="P163" s="163" t="s">
        <v>399</v>
      </c>
      <c r="Q163" s="191"/>
    </row>
    <row r="164" spans="1:20" x14ac:dyDescent="0.3">
      <c r="A164" s="132"/>
      <c r="B164" s="162"/>
      <c r="C164" s="162"/>
      <c r="D164" s="162"/>
      <c r="E164" s="162"/>
      <c r="F164" s="162"/>
      <c r="G164" s="162"/>
      <c r="H164" s="162"/>
      <c r="I164" s="132"/>
      <c r="J164" s="162"/>
      <c r="K164" s="162" t="s">
        <v>340</v>
      </c>
      <c r="L164" s="161">
        <f>C158+F159+F160-L163</f>
        <v>0</v>
      </c>
      <c r="M164" s="132" t="s">
        <v>288</v>
      </c>
      <c r="N164" s="501"/>
      <c r="O164" s="501"/>
      <c r="P164" s="204"/>
      <c r="Q164" s="164"/>
    </row>
    <row r="165" spans="1:20" x14ac:dyDescent="0.3">
      <c r="A165" s="132"/>
      <c r="B165" s="162"/>
      <c r="C165" s="162"/>
      <c r="D165" s="132"/>
      <c r="E165" s="162"/>
      <c r="F165" s="162"/>
      <c r="G165" s="162"/>
      <c r="H165" s="162"/>
      <c r="I165" s="132"/>
      <c r="J165" s="162"/>
      <c r="K165" s="162" t="s">
        <v>340</v>
      </c>
      <c r="L165" s="161">
        <f>L164/N165</f>
        <v>0</v>
      </c>
      <c r="M165" s="132" t="s">
        <v>301</v>
      </c>
      <c r="N165" s="505">
        <v>1</v>
      </c>
      <c r="O165" s="505"/>
      <c r="P165" s="399"/>
      <c r="Q165" s="527"/>
    </row>
    <row r="166" spans="1:20" x14ac:dyDescent="0.3">
      <c r="A166" s="169"/>
      <c r="B166" s="145"/>
      <c r="C166" s="145"/>
      <c r="D166" s="169"/>
      <c r="E166" s="145"/>
      <c r="F166" s="145"/>
      <c r="G166" s="145"/>
      <c r="H166" s="145"/>
      <c r="I166" s="145"/>
      <c r="J166" s="145"/>
      <c r="K166" s="145"/>
      <c r="L166" s="145"/>
      <c r="M166" s="145"/>
      <c r="N166" s="456"/>
      <c r="O166" s="456"/>
      <c r="P166" s="170"/>
      <c r="Q166" s="194"/>
    </row>
    <row r="167" spans="1:20" x14ac:dyDescent="0.3">
      <c r="A167" s="158" t="s">
        <v>400</v>
      </c>
      <c r="B167" s="173"/>
      <c r="C167" s="162"/>
      <c r="D167" s="173"/>
      <c r="E167" s="173"/>
      <c r="F167" s="162"/>
      <c r="G167" s="162"/>
      <c r="H167" s="162"/>
      <c r="I167" s="162"/>
      <c r="J167" s="162"/>
      <c r="K167" s="162"/>
      <c r="L167" s="162"/>
      <c r="M167" s="162"/>
      <c r="N167" s="492"/>
      <c r="O167" s="492"/>
      <c r="P167" s="163"/>
      <c r="Q167" s="191"/>
    </row>
    <row r="168" spans="1:20" x14ac:dyDescent="0.3">
      <c r="A168" s="132" t="s">
        <v>401</v>
      </c>
      <c r="B168" s="162" t="s">
        <v>398</v>
      </c>
      <c r="C168" s="161">
        <f>L163</f>
        <v>0</v>
      </c>
      <c r="D168" s="162" t="s">
        <v>288</v>
      </c>
      <c r="E168" s="162"/>
      <c r="F168" s="162"/>
      <c r="G168" s="162"/>
      <c r="H168" s="162"/>
      <c r="I168" s="162"/>
      <c r="J168" s="162"/>
      <c r="K168" s="162"/>
      <c r="L168" s="162"/>
      <c r="M168" s="162"/>
      <c r="N168" s="492"/>
      <c r="O168" s="492"/>
      <c r="P168" s="163"/>
      <c r="Q168" s="191"/>
    </row>
    <row r="169" spans="1:20" ht="31.95" customHeight="1" x14ac:dyDescent="0.3">
      <c r="A169" s="132"/>
      <c r="B169" s="162"/>
      <c r="C169" s="162"/>
      <c r="D169" s="162"/>
      <c r="E169" s="163" t="s">
        <v>402</v>
      </c>
      <c r="F169" s="163" t="s">
        <v>364</v>
      </c>
      <c r="G169" s="162"/>
      <c r="H169" s="162"/>
      <c r="I169" s="162"/>
      <c r="J169" s="162"/>
      <c r="K169" s="162"/>
      <c r="L169" s="162"/>
      <c r="M169" s="162"/>
      <c r="N169" s="492"/>
      <c r="O169" s="492"/>
      <c r="P169" s="163"/>
      <c r="Q169" s="191"/>
      <c r="T169" s="167"/>
    </row>
    <row r="170" spans="1:20" x14ac:dyDescent="0.3">
      <c r="A170" s="132"/>
      <c r="B170" s="162"/>
      <c r="C170" s="162"/>
      <c r="D170" s="162"/>
      <c r="E170" s="162"/>
      <c r="F170" s="162"/>
      <c r="G170" s="162"/>
      <c r="H170" s="162" t="s">
        <v>48</v>
      </c>
      <c r="I170" s="161">
        <f>Energy!P33</f>
        <v>0</v>
      </c>
      <c r="J170" s="162" t="s">
        <v>221</v>
      </c>
      <c r="K170" s="162"/>
      <c r="L170" s="162"/>
      <c r="M170" s="162"/>
      <c r="N170" s="492"/>
      <c r="O170" s="492"/>
      <c r="P170" s="163" t="s">
        <v>365</v>
      </c>
      <c r="Q170" s="191"/>
      <c r="T170" s="167"/>
    </row>
    <row r="171" spans="1:20" x14ac:dyDescent="0.3">
      <c r="A171" s="132"/>
      <c r="B171" s="162"/>
      <c r="C171" s="162"/>
      <c r="D171" s="162"/>
      <c r="E171" s="162"/>
      <c r="F171" s="162"/>
      <c r="G171" s="162"/>
      <c r="H171" s="162"/>
      <c r="I171" s="162"/>
      <c r="J171" s="162"/>
      <c r="K171" s="162" t="s">
        <v>398</v>
      </c>
      <c r="L171" s="161">
        <f>C168</f>
        <v>0</v>
      </c>
      <c r="M171" s="162" t="s">
        <v>288</v>
      </c>
      <c r="N171" s="492"/>
      <c r="O171" s="492"/>
      <c r="P171" s="163"/>
      <c r="Q171" s="191"/>
    </row>
    <row r="172" spans="1:20" x14ac:dyDescent="0.3">
      <c r="A172" s="169"/>
      <c r="B172" s="145"/>
      <c r="C172" s="145"/>
      <c r="D172" s="145"/>
      <c r="E172" s="145"/>
      <c r="F172" s="145"/>
      <c r="G172" s="145"/>
      <c r="H172" s="145"/>
      <c r="I172" s="145"/>
      <c r="J172" s="145"/>
      <c r="K172" s="145" t="s">
        <v>398</v>
      </c>
      <c r="L172" s="205">
        <f>L171/N172</f>
        <v>0</v>
      </c>
      <c r="M172" s="145" t="s">
        <v>301</v>
      </c>
      <c r="N172" s="456">
        <v>2</v>
      </c>
      <c r="O172" s="456"/>
      <c r="P172" s="170"/>
      <c r="Q172" s="194"/>
    </row>
    <row r="173" spans="1:20" x14ac:dyDescent="0.3">
      <c r="A173" s="155" t="s">
        <v>403</v>
      </c>
      <c r="B173" s="162"/>
      <c r="C173" s="162"/>
      <c r="D173" s="162"/>
      <c r="E173" s="162"/>
      <c r="F173" s="162"/>
      <c r="G173" s="162"/>
      <c r="H173" s="162"/>
      <c r="I173" s="162"/>
      <c r="J173" s="162"/>
      <c r="K173" s="162"/>
      <c r="L173" s="162"/>
      <c r="M173" s="162"/>
      <c r="N173" s="492"/>
      <c r="O173" s="492"/>
      <c r="P173" s="163"/>
      <c r="Q173" s="191"/>
    </row>
    <row r="174" spans="1:20" x14ac:dyDescent="0.3">
      <c r="A174" s="132" t="s">
        <v>401</v>
      </c>
      <c r="B174" s="162" t="s">
        <v>398</v>
      </c>
      <c r="C174" s="161">
        <f>L171</f>
        <v>0</v>
      </c>
      <c r="D174" s="162" t="s">
        <v>288</v>
      </c>
      <c r="E174" s="162"/>
      <c r="F174" s="162"/>
      <c r="G174" s="162"/>
      <c r="H174" s="162"/>
      <c r="I174" s="162"/>
      <c r="J174" s="162"/>
      <c r="K174" s="162"/>
      <c r="L174" s="162"/>
      <c r="M174" s="162"/>
      <c r="N174" s="492"/>
      <c r="O174" s="492"/>
      <c r="P174" s="111" t="s">
        <v>367</v>
      </c>
      <c r="Q174" s="811">
        <v>2</v>
      </c>
    </row>
    <row r="175" spans="1:20" x14ac:dyDescent="0.3">
      <c r="A175" s="132"/>
      <c r="B175" s="162"/>
      <c r="C175" s="162"/>
      <c r="D175" s="162"/>
      <c r="E175" s="163" t="s">
        <v>70</v>
      </c>
      <c r="F175" s="331">
        <f>Stoichiometry!E61*Q175/Q174*Stoichiometry!C44/1000</f>
        <v>0</v>
      </c>
      <c r="G175" s="162" t="s">
        <v>288</v>
      </c>
      <c r="H175" s="162"/>
      <c r="I175" s="162"/>
      <c r="J175" s="162"/>
      <c r="K175" s="162"/>
      <c r="L175" s="162"/>
      <c r="M175" s="162"/>
      <c r="N175" s="492"/>
      <c r="O175" s="492"/>
      <c r="P175" s="111" t="s">
        <v>368</v>
      </c>
      <c r="Q175" s="811">
        <v>3</v>
      </c>
    </row>
    <row r="176" spans="1:20" ht="28.8" x14ac:dyDescent="0.3">
      <c r="A176" s="132"/>
      <c r="B176" s="162"/>
      <c r="C176" s="162"/>
      <c r="D176" s="162"/>
      <c r="E176" s="162"/>
      <c r="F176" s="331"/>
      <c r="G176" s="162"/>
      <c r="H176" s="162" t="s">
        <v>48</v>
      </c>
      <c r="I176" s="161">
        <f>Energy!P34</f>
        <v>0</v>
      </c>
      <c r="J176" s="162" t="s">
        <v>221</v>
      </c>
      <c r="K176" s="162"/>
      <c r="L176" s="162"/>
      <c r="M176" s="162"/>
      <c r="N176" s="492"/>
      <c r="O176" s="492"/>
      <c r="P176" s="163" t="s">
        <v>404</v>
      </c>
      <c r="Q176" s="191"/>
    </row>
    <row r="177" spans="1:22" x14ac:dyDescent="0.3">
      <c r="A177" s="132"/>
      <c r="B177" s="162"/>
      <c r="C177" s="162"/>
      <c r="D177" s="162"/>
      <c r="E177" s="162"/>
      <c r="F177" s="162"/>
      <c r="G177" s="162"/>
      <c r="H177" s="162"/>
      <c r="I177" s="162"/>
      <c r="J177" s="162"/>
      <c r="K177" s="162" t="s">
        <v>405</v>
      </c>
      <c r="L177" s="181">
        <f>C174+F175-L179-L180</f>
        <v>0</v>
      </c>
      <c r="M177" s="162" t="s">
        <v>288</v>
      </c>
      <c r="N177" s="492"/>
      <c r="O177" s="492"/>
      <c r="P177" s="163"/>
      <c r="Q177" s="191"/>
    </row>
    <row r="178" spans="1:22" x14ac:dyDescent="0.3">
      <c r="A178" s="132"/>
      <c r="B178" s="162"/>
      <c r="C178" s="162"/>
      <c r="D178" s="132"/>
      <c r="E178" s="162"/>
      <c r="F178" s="162"/>
      <c r="G178" s="162"/>
      <c r="H178" s="162"/>
      <c r="I178" s="162"/>
      <c r="J178" s="162"/>
      <c r="K178" s="162" t="s">
        <v>405</v>
      </c>
      <c r="L178" s="181">
        <f>L177/N178</f>
        <v>0</v>
      </c>
      <c r="M178" s="162" t="s">
        <v>301</v>
      </c>
      <c r="N178" s="511">
        <v>2</v>
      </c>
      <c r="O178" s="511"/>
      <c r="P178" s="163"/>
      <c r="Q178" s="527"/>
    </row>
    <row r="179" spans="1:22" x14ac:dyDescent="0.3">
      <c r="A179" s="132"/>
      <c r="B179" s="162"/>
      <c r="C179" s="162"/>
      <c r="D179" s="132"/>
      <c r="E179" s="162"/>
      <c r="F179" s="162"/>
      <c r="G179" s="162"/>
      <c r="H179" s="162"/>
      <c r="I179" s="162"/>
      <c r="J179" s="162"/>
      <c r="K179" s="162" t="s">
        <v>41</v>
      </c>
      <c r="L179" s="197">
        <f>F160</f>
        <v>0</v>
      </c>
      <c r="M179" s="162" t="s">
        <v>288</v>
      </c>
      <c r="N179" s="492"/>
      <c r="O179" s="492"/>
      <c r="P179" s="163" t="s">
        <v>370</v>
      </c>
      <c r="Q179" s="191"/>
    </row>
    <row r="180" spans="1:22" x14ac:dyDescent="0.3">
      <c r="A180" s="132"/>
      <c r="B180" s="162"/>
      <c r="C180" s="162"/>
      <c r="D180" s="132"/>
      <c r="E180" s="162"/>
      <c r="F180" s="132"/>
      <c r="G180" s="162"/>
      <c r="H180" s="162"/>
      <c r="I180" s="162"/>
      <c r="J180" s="162"/>
      <c r="K180" s="162" t="s">
        <v>59</v>
      </c>
      <c r="L180" s="197">
        <f>F159</f>
        <v>0</v>
      </c>
      <c r="M180" s="162" t="s">
        <v>288</v>
      </c>
      <c r="N180" s="492"/>
      <c r="O180" s="492"/>
      <c r="P180" s="163" t="s">
        <v>370</v>
      </c>
      <c r="Q180" s="191"/>
    </row>
    <row r="181" spans="1:22" x14ac:dyDescent="0.3">
      <c r="A181" s="169"/>
      <c r="B181" s="145"/>
      <c r="C181" s="145"/>
      <c r="D181" s="169"/>
      <c r="E181" s="145"/>
      <c r="F181" s="169"/>
      <c r="G181" s="145"/>
      <c r="H181" s="145"/>
      <c r="I181" s="145"/>
      <c r="J181" s="145"/>
      <c r="K181" s="145"/>
      <c r="L181" s="145"/>
      <c r="M181" s="145"/>
      <c r="N181" s="456"/>
      <c r="O181" s="456"/>
      <c r="P181" s="170"/>
      <c r="Q181" s="194"/>
    </row>
    <row r="182" spans="1:22" x14ac:dyDescent="0.3">
      <c r="A182" s="158" t="s">
        <v>200</v>
      </c>
      <c r="B182" s="162"/>
      <c r="C182" s="162"/>
      <c r="D182" s="173"/>
      <c r="E182" s="162"/>
      <c r="F182" s="173"/>
      <c r="G182" s="162"/>
      <c r="H182" s="162"/>
      <c r="I182" s="162"/>
      <c r="J182" s="162"/>
      <c r="K182" s="162"/>
      <c r="L182" s="162"/>
      <c r="M182" s="162"/>
      <c r="N182" s="492"/>
      <c r="O182" s="492"/>
      <c r="P182" s="163"/>
      <c r="Q182" s="191"/>
    </row>
    <row r="183" spans="1:22" ht="28.8" x14ac:dyDescent="0.3">
      <c r="A183" s="210" t="s">
        <v>371</v>
      </c>
      <c r="B183" s="162" t="s">
        <v>405</v>
      </c>
      <c r="C183" s="181">
        <f>L177</f>
        <v>0</v>
      </c>
      <c r="D183" s="162" t="s">
        <v>288</v>
      </c>
      <c r="E183" s="162"/>
      <c r="F183" s="162"/>
      <c r="G183" s="162"/>
      <c r="H183" s="162"/>
      <c r="I183" s="162"/>
      <c r="J183" s="162"/>
      <c r="K183" s="162"/>
      <c r="L183" s="162"/>
      <c r="M183" s="162"/>
      <c r="N183" s="492"/>
      <c r="O183" s="492"/>
      <c r="P183" s="163"/>
      <c r="Q183" s="191"/>
      <c r="T183" s="167"/>
    </row>
    <row r="184" spans="1:22" x14ac:dyDescent="0.3">
      <c r="A184" s="132"/>
      <c r="B184" s="162"/>
      <c r="C184" s="181"/>
      <c r="D184" s="162"/>
      <c r="E184" s="162"/>
      <c r="F184" s="162"/>
      <c r="G184" s="162"/>
      <c r="H184" s="162" t="s">
        <v>48</v>
      </c>
      <c r="I184" s="161">
        <f>Energy!P35</f>
        <v>0</v>
      </c>
      <c r="J184" s="162" t="s">
        <v>221</v>
      </c>
      <c r="K184" s="162"/>
      <c r="L184" s="162"/>
      <c r="M184" s="162"/>
      <c r="N184" s="492"/>
      <c r="O184" s="492"/>
      <c r="P184" s="163" t="s">
        <v>373</v>
      </c>
      <c r="Q184" s="191"/>
    </row>
    <row r="185" spans="1:22" x14ac:dyDescent="0.3">
      <c r="A185" s="132"/>
      <c r="B185" s="162"/>
      <c r="C185" s="162"/>
      <c r="D185" s="162"/>
      <c r="E185" s="162"/>
      <c r="F185" s="162"/>
      <c r="G185" s="162"/>
      <c r="H185" s="162"/>
      <c r="I185" s="162"/>
      <c r="J185" s="162"/>
      <c r="K185" s="162" t="s">
        <v>64</v>
      </c>
      <c r="L185" s="161">
        <f>IF(Macro!D10=TRUE,(Stoichiometry!G47+Stoichiometry!G62)*Efficiencies!E36,0)</f>
        <v>0</v>
      </c>
      <c r="M185" s="162" t="s">
        <v>288</v>
      </c>
      <c r="N185" s="492"/>
      <c r="O185" s="492"/>
      <c r="P185" s="163"/>
      <c r="Q185" s="191"/>
    </row>
    <row r="186" spans="1:22" x14ac:dyDescent="0.3">
      <c r="A186" s="132"/>
      <c r="B186" s="162"/>
      <c r="C186" s="162"/>
      <c r="D186" s="162"/>
      <c r="E186" s="162"/>
      <c r="F186" s="162"/>
      <c r="G186" s="162"/>
      <c r="H186" s="162"/>
      <c r="I186" s="162"/>
      <c r="J186" s="162"/>
      <c r="K186" s="162" t="s">
        <v>214</v>
      </c>
      <c r="L186" s="181">
        <f>C183-L185</f>
        <v>0</v>
      </c>
      <c r="M186" s="162" t="s">
        <v>288</v>
      </c>
      <c r="N186" s="492"/>
      <c r="O186" s="492"/>
      <c r="P186" s="163" t="s">
        <v>374</v>
      </c>
      <c r="Q186" s="191"/>
      <c r="T186" s="167"/>
    </row>
    <row r="187" spans="1:22" x14ac:dyDescent="0.3">
      <c r="A187" s="169"/>
      <c r="B187" s="145"/>
      <c r="C187" s="145"/>
      <c r="D187" s="145"/>
      <c r="E187" s="145"/>
      <c r="F187" s="145"/>
      <c r="G187" s="145"/>
      <c r="H187" s="145"/>
      <c r="I187" s="145"/>
      <c r="J187" s="145"/>
      <c r="K187" s="145"/>
      <c r="L187" s="145"/>
      <c r="M187" s="145"/>
      <c r="N187" s="456"/>
      <c r="O187" s="456"/>
      <c r="P187" s="170"/>
      <c r="Q187" s="194"/>
    </row>
    <row r="188" spans="1:22" x14ac:dyDescent="0.3">
      <c r="A188" s="771" t="s">
        <v>201</v>
      </c>
      <c r="B188" s="162"/>
      <c r="C188" s="162"/>
      <c r="D188" s="162"/>
      <c r="E188" s="132"/>
      <c r="F188" s="162"/>
      <c r="G188" s="162"/>
      <c r="H188" s="162"/>
      <c r="I188" s="162"/>
      <c r="J188" s="132"/>
      <c r="K188" s="162"/>
      <c r="L188" s="162"/>
      <c r="M188" s="162"/>
      <c r="N188" s="492"/>
      <c r="O188" s="492"/>
      <c r="P188" s="163"/>
      <c r="Q188" s="164"/>
    </row>
    <row r="189" spans="1:22" x14ac:dyDescent="0.3">
      <c r="A189" s="210" t="s">
        <v>406</v>
      </c>
      <c r="B189" s="162" t="s">
        <v>340</v>
      </c>
      <c r="C189" s="168">
        <f>L164</f>
        <v>0</v>
      </c>
      <c r="D189" s="162" t="s">
        <v>288</v>
      </c>
      <c r="E189" s="132"/>
      <c r="F189" s="162"/>
      <c r="G189" s="162"/>
      <c r="H189" s="162"/>
      <c r="I189" s="162"/>
      <c r="J189" s="132"/>
      <c r="K189" s="162"/>
      <c r="L189" s="162"/>
      <c r="M189" s="162"/>
      <c r="N189" s="501"/>
      <c r="O189" s="501"/>
      <c r="P189" s="210"/>
      <c r="Q189" s="191"/>
      <c r="S189" s="123"/>
      <c r="T189" s="123" t="s">
        <v>251</v>
      </c>
      <c r="U189" s="123" t="s">
        <v>252</v>
      </c>
    </row>
    <row r="190" spans="1:22" x14ac:dyDescent="0.3">
      <c r="A190" s="132"/>
      <c r="B190" s="162"/>
      <c r="C190" s="168"/>
      <c r="D190" s="162"/>
      <c r="E190" s="132"/>
      <c r="F190" s="162"/>
      <c r="G190" s="132"/>
      <c r="H190" s="162" t="s">
        <v>48</v>
      </c>
      <c r="I190" s="161">
        <f>Energy!P36</f>
        <v>0</v>
      </c>
      <c r="J190" s="162" t="s">
        <v>221</v>
      </c>
      <c r="K190" s="162"/>
      <c r="L190" s="162"/>
      <c r="M190" s="162"/>
      <c r="N190" s="501"/>
      <c r="O190" s="501"/>
      <c r="P190" s="210" t="s">
        <v>373</v>
      </c>
      <c r="Q190" s="191"/>
      <c r="S190" s="772" t="s">
        <v>407</v>
      </c>
      <c r="T190" s="523">
        <f>Stoichiometry!G36</f>
        <v>361.16040008674912</v>
      </c>
      <c r="U190" s="76" t="s">
        <v>288</v>
      </c>
    </row>
    <row r="191" spans="1:22" ht="28.8" x14ac:dyDescent="0.3">
      <c r="A191" s="132"/>
      <c r="B191" s="162"/>
      <c r="C191" s="162"/>
      <c r="D191" s="162"/>
      <c r="E191" s="132"/>
      <c r="F191" s="162"/>
      <c r="G191" s="132"/>
      <c r="H191" s="162"/>
      <c r="I191" s="162"/>
      <c r="J191" s="162"/>
      <c r="K191" s="162" t="s">
        <v>340</v>
      </c>
      <c r="L191" s="161">
        <f>IF(Macro!D10=TRUE,L192*N192,0)</f>
        <v>0</v>
      </c>
      <c r="M191" s="162" t="s">
        <v>288</v>
      </c>
      <c r="N191" s="492"/>
      <c r="O191" s="492"/>
      <c r="P191" s="110" t="s">
        <v>408</v>
      </c>
      <c r="Q191" s="811">
        <v>20</v>
      </c>
      <c r="S191" s="73" t="s">
        <v>409</v>
      </c>
      <c r="T191" s="524" t="e">
        <f>T190/C189*1000</f>
        <v>#DIV/0!</v>
      </c>
      <c r="U191" s="76" t="s">
        <v>410</v>
      </c>
      <c r="V191" t="s">
        <v>411</v>
      </c>
    </row>
    <row r="192" spans="1:22" ht="28.8" x14ac:dyDescent="0.3">
      <c r="A192" s="132"/>
      <c r="B192" s="162"/>
      <c r="C192" s="162"/>
      <c r="D192" s="162"/>
      <c r="E192" s="162"/>
      <c r="F192" s="162"/>
      <c r="G192" s="162"/>
      <c r="H192" s="162"/>
      <c r="I192" s="162"/>
      <c r="J192" s="162"/>
      <c r="K192" s="162" t="s">
        <v>340</v>
      </c>
      <c r="L192" s="209">
        <f>IF(Macro!D10=TRUE,T194,0)</f>
        <v>0</v>
      </c>
      <c r="M192" s="162" t="s">
        <v>301</v>
      </c>
      <c r="N192" s="511">
        <v>1</v>
      </c>
      <c r="O192" s="511"/>
      <c r="P192" s="204"/>
      <c r="Q192" s="191"/>
      <c r="S192" s="73" t="s">
        <v>412</v>
      </c>
      <c r="T192" s="803">
        <v>3</v>
      </c>
      <c r="U192" s="76" t="s">
        <v>410</v>
      </c>
    </row>
    <row r="193" spans="1:28" x14ac:dyDescent="0.3">
      <c r="A193" s="132"/>
      <c r="B193" s="162"/>
      <c r="C193" s="162"/>
      <c r="D193" s="162"/>
      <c r="E193" s="162"/>
      <c r="F193" s="162"/>
      <c r="G193" s="162"/>
      <c r="H193" s="162"/>
      <c r="I193" s="162"/>
      <c r="J193" s="162"/>
      <c r="K193" s="162" t="s">
        <v>214</v>
      </c>
      <c r="L193" s="209">
        <f>C189-L191</f>
        <v>0</v>
      </c>
      <c r="M193" s="162" t="s">
        <v>288</v>
      </c>
      <c r="N193" s="492"/>
      <c r="O193" s="492"/>
      <c r="P193" s="399" t="s">
        <v>374</v>
      </c>
      <c r="Q193" s="191"/>
      <c r="S193" s="73" t="s">
        <v>413</v>
      </c>
      <c r="T193" s="496">
        <f>Q191</f>
        <v>20</v>
      </c>
      <c r="U193" s="496" t="s">
        <v>410</v>
      </c>
    </row>
    <row r="194" spans="1:28" x14ac:dyDescent="0.3">
      <c r="A194" s="169"/>
      <c r="B194" s="145"/>
      <c r="C194" s="145"/>
      <c r="D194" s="145"/>
      <c r="E194" s="145"/>
      <c r="F194" s="145"/>
      <c r="G194" s="145"/>
      <c r="H194" s="145"/>
      <c r="I194" s="145"/>
      <c r="J194" s="145"/>
      <c r="K194" s="145"/>
      <c r="L194" s="145"/>
      <c r="M194" s="145"/>
      <c r="N194" s="456"/>
      <c r="O194" s="456"/>
      <c r="P194" s="170"/>
      <c r="Q194" s="194"/>
      <c r="S194" s="73" t="s">
        <v>414</v>
      </c>
      <c r="T194" s="525">
        <f>T190/(T193/1000)</f>
        <v>18058.020004337457</v>
      </c>
      <c r="U194" s="76" t="s">
        <v>301</v>
      </c>
    </row>
    <row r="195" spans="1:28" x14ac:dyDescent="0.3">
      <c r="A195" s="155" t="s">
        <v>415</v>
      </c>
      <c r="B195" s="162"/>
      <c r="C195" s="162"/>
      <c r="D195" s="162"/>
      <c r="E195" s="162"/>
      <c r="F195" s="162"/>
      <c r="G195" s="162"/>
      <c r="H195" s="162"/>
      <c r="I195" s="162"/>
      <c r="J195" s="162"/>
      <c r="K195" s="162"/>
      <c r="L195" s="162"/>
      <c r="M195" s="162"/>
      <c r="N195" s="492"/>
      <c r="O195" s="492"/>
      <c r="P195" s="163"/>
      <c r="Q195" s="191"/>
    </row>
    <row r="196" spans="1:28" x14ac:dyDescent="0.3">
      <c r="A196" s="132" t="s">
        <v>338</v>
      </c>
      <c r="B196" s="162" t="s">
        <v>340</v>
      </c>
      <c r="C196" s="161">
        <f>L191</f>
        <v>0</v>
      </c>
      <c r="D196" s="162" t="s">
        <v>288</v>
      </c>
      <c r="E196" s="162"/>
      <c r="F196" s="162"/>
      <c r="G196" s="162"/>
      <c r="H196" s="162"/>
      <c r="I196" s="162"/>
      <c r="J196" s="162"/>
      <c r="K196" s="162"/>
      <c r="L196" s="162"/>
      <c r="M196" s="162"/>
      <c r="N196" s="492"/>
      <c r="O196" s="492"/>
      <c r="P196" s="163"/>
      <c r="Q196" s="191"/>
    </row>
    <row r="197" spans="1:28" x14ac:dyDescent="0.3">
      <c r="A197" s="132"/>
      <c r="B197" s="162"/>
      <c r="C197" s="162"/>
      <c r="D197" s="162"/>
      <c r="E197" s="162" t="s">
        <v>65</v>
      </c>
      <c r="F197" s="161">
        <f>IF(Macro!D10=TRUE,X204*Q199,0)</f>
        <v>0</v>
      </c>
      <c r="G197" s="162" t="s">
        <v>288</v>
      </c>
      <c r="H197" s="162"/>
      <c r="I197" s="162"/>
      <c r="J197" s="162"/>
      <c r="K197" s="162"/>
      <c r="L197" s="162"/>
      <c r="M197" s="162"/>
      <c r="N197" s="492"/>
      <c r="O197" s="492"/>
      <c r="P197" s="111"/>
      <c r="Q197" s="191"/>
      <c r="T197" t="s">
        <v>416</v>
      </c>
    </row>
    <row r="198" spans="1:28" x14ac:dyDescent="0.3">
      <c r="A198" s="132"/>
      <c r="B198" s="162"/>
      <c r="C198" s="162"/>
      <c r="D198" s="162"/>
      <c r="E198" s="162"/>
      <c r="F198" s="161"/>
      <c r="G198" s="162"/>
      <c r="H198" s="162" t="s">
        <v>48</v>
      </c>
      <c r="I198" s="209">
        <f>IF(Macro!D10=TRUE,Energy!P37,0)</f>
        <v>0</v>
      </c>
      <c r="J198" s="162" t="s">
        <v>221</v>
      </c>
      <c r="K198" s="162"/>
      <c r="L198" s="162"/>
      <c r="M198" s="162"/>
      <c r="N198" s="492"/>
      <c r="O198" s="492"/>
      <c r="P198" s="111"/>
      <c r="Q198" s="468"/>
      <c r="T198" s="1132" t="s">
        <v>95</v>
      </c>
      <c r="U198" s="1133"/>
      <c r="V198" s="1133"/>
      <c r="W198" s="1134"/>
      <c r="X198" s="1132" t="s">
        <v>417</v>
      </c>
      <c r="Y198" s="1133"/>
      <c r="Z198" s="1134"/>
      <c r="AA198" s="1135" t="s">
        <v>418</v>
      </c>
      <c r="AB198" s="1135"/>
    </row>
    <row r="199" spans="1:28" ht="43.2" x14ac:dyDescent="0.3">
      <c r="A199" s="132"/>
      <c r="B199" s="162"/>
      <c r="C199" s="162"/>
      <c r="D199" s="162"/>
      <c r="E199" s="162"/>
      <c r="F199" s="162"/>
      <c r="G199" s="162"/>
      <c r="H199" s="162"/>
      <c r="I199" s="162"/>
      <c r="J199" s="162"/>
      <c r="K199" s="162" t="s">
        <v>340</v>
      </c>
      <c r="L199" s="161">
        <f>C196+F197</f>
        <v>0</v>
      </c>
      <c r="M199" s="162" t="s">
        <v>288</v>
      </c>
      <c r="N199" s="492"/>
      <c r="O199" s="492"/>
      <c r="P199" s="111" t="s">
        <v>419</v>
      </c>
      <c r="Q199" s="811">
        <v>1.1000000000000001</v>
      </c>
      <c r="S199" s="123"/>
      <c r="T199" s="123" t="s">
        <v>420</v>
      </c>
      <c r="U199" s="698" t="s">
        <v>421</v>
      </c>
      <c r="V199" s="698" t="s">
        <v>422</v>
      </c>
      <c r="W199" s="698" t="s">
        <v>423</v>
      </c>
      <c r="X199" s="698" t="s">
        <v>422</v>
      </c>
      <c r="Y199" s="698" t="s">
        <v>421</v>
      </c>
      <c r="Z199" s="698" t="s">
        <v>420</v>
      </c>
      <c r="AA199" s="123" t="s">
        <v>420</v>
      </c>
      <c r="AB199" s="698" t="s">
        <v>421</v>
      </c>
    </row>
    <row r="200" spans="1:28" x14ac:dyDescent="0.3">
      <c r="A200" s="132"/>
      <c r="B200" s="162"/>
      <c r="C200" s="162"/>
      <c r="D200" s="162"/>
      <c r="E200" s="162"/>
      <c r="F200" s="162"/>
      <c r="G200" s="162"/>
      <c r="H200" s="162"/>
      <c r="I200" s="162"/>
      <c r="J200" s="162"/>
      <c r="K200" s="162" t="s">
        <v>340</v>
      </c>
      <c r="L200" s="161">
        <f>L199/N200</f>
        <v>0</v>
      </c>
      <c r="M200" s="162" t="s">
        <v>301</v>
      </c>
      <c r="N200" s="511">
        <v>1</v>
      </c>
      <c r="O200" s="511"/>
      <c r="P200" s="204"/>
      <c r="Q200" s="191"/>
      <c r="S200" s="123" t="s">
        <v>424</v>
      </c>
      <c r="T200" s="522">
        <f>T116</f>
        <v>361.16040008674912</v>
      </c>
      <c r="U200" s="496">
        <v>6.94</v>
      </c>
      <c r="V200" s="522">
        <f>T200*1000000/U200</f>
        <v>52040403.470713131</v>
      </c>
      <c r="W200" s="700">
        <v>0.5</v>
      </c>
      <c r="X200" s="394">
        <f>V200*W200</f>
        <v>26020201.735356566</v>
      </c>
      <c r="Y200" s="699">
        <v>60.01</v>
      </c>
      <c r="Z200" s="394">
        <f>X200*Y200/1000000</f>
        <v>1561.4723061387474</v>
      </c>
      <c r="AA200" s="135">
        <f>Z200+T200</f>
        <v>1922.6327062254966</v>
      </c>
      <c r="AB200" s="123">
        <v>73.89</v>
      </c>
    </row>
    <row r="201" spans="1:28" ht="15.6" x14ac:dyDescent="0.35">
      <c r="A201" s="169"/>
      <c r="B201" s="145"/>
      <c r="C201" s="145"/>
      <c r="D201" s="145"/>
      <c r="E201" s="145"/>
      <c r="F201" s="145"/>
      <c r="G201" s="145"/>
      <c r="H201" s="145"/>
      <c r="I201" s="145"/>
      <c r="J201" s="145"/>
      <c r="K201" s="145"/>
      <c r="L201" s="145"/>
      <c r="M201" s="145"/>
      <c r="N201" s="456"/>
      <c r="O201" s="456"/>
      <c r="P201" s="170"/>
      <c r="Q201" s="194"/>
      <c r="AA201" s="123" t="s">
        <v>425</v>
      </c>
      <c r="AB201" s="522">
        <f>AA200*Efficiencies!E37</f>
        <v>1405.444508250838</v>
      </c>
    </row>
    <row r="202" spans="1:28" x14ac:dyDescent="0.3">
      <c r="A202" s="155" t="s">
        <v>426</v>
      </c>
      <c r="B202" s="162"/>
      <c r="C202" s="162"/>
      <c r="D202" s="162"/>
      <c r="E202" s="162"/>
      <c r="F202" s="162"/>
      <c r="G202" s="162"/>
      <c r="H202" s="162"/>
      <c r="I202" s="162"/>
      <c r="J202" s="162"/>
      <c r="K202" s="162"/>
      <c r="L202" s="162"/>
      <c r="M202" s="162"/>
      <c r="N202" s="492"/>
      <c r="O202" s="492"/>
      <c r="P202" s="163"/>
      <c r="Q202" s="191"/>
      <c r="T202" s="1135" t="s">
        <v>95</v>
      </c>
      <c r="U202" s="1135"/>
      <c r="V202" s="1135"/>
      <c r="W202" s="1132" t="s">
        <v>65</v>
      </c>
      <c r="X202" s="1134"/>
    </row>
    <row r="203" spans="1:28" ht="28.8" x14ac:dyDescent="0.3">
      <c r="A203" s="132" t="s">
        <v>427</v>
      </c>
      <c r="B203" s="162" t="s">
        <v>340</v>
      </c>
      <c r="C203" s="161">
        <f>L199</f>
        <v>0</v>
      </c>
      <c r="D203" s="162" t="s">
        <v>288</v>
      </c>
      <c r="E203" s="162"/>
      <c r="F203" s="162"/>
      <c r="G203" s="162"/>
      <c r="H203" s="162"/>
      <c r="I203" s="162"/>
      <c r="J203" s="162"/>
      <c r="K203" s="162"/>
      <c r="L203" s="162"/>
      <c r="M203" s="162"/>
      <c r="N203" s="492"/>
      <c r="O203" s="492"/>
      <c r="P203" s="163"/>
      <c r="Q203" s="191"/>
      <c r="S203" s="123"/>
      <c r="T203" s="698" t="s">
        <v>420</v>
      </c>
      <c r="U203" s="698" t="s">
        <v>421</v>
      </c>
      <c r="V203" s="698" t="s">
        <v>422</v>
      </c>
      <c r="W203" s="698" t="s">
        <v>422</v>
      </c>
      <c r="X203" s="698" t="s">
        <v>420</v>
      </c>
    </row>
    <row r="204" spans="1:28" x14ac:dyDescent="0.3">
      <c r="A204" s="132"/>
      <c r="B204" s="162"/>
      <c r="C204" s="161"/>
      <c r="D204" s="162"/>
      <c r="E204" s="162"/>
      <c r="F204" s="162"/>
      <c r="G204" s="162"/>
      <c r="H204" s="162" t="s">
        <v>48</v>
      </c>
      <c r="I204" s="209">
        <f>IF(Macro!D10=TRUE,Energy!P38,0)</f>
        <v>0</v>
      </c>
      <c r="J204" s="162" t="s">
        <v>221</v>
      </c>
      <c r="K204" s="132"/>
      <c r="L204" s="162"/>
      <c r="M204" s="162"/>
      <c r="N204" s="492"/>
      <c r="O204" s="492"/>
      <c r="P204" s="163"/>
      <c r="Q204" s="468"/>
      <c r="S204" s="123" t="s">
        <v>424</v>
      </c>
      <c r="T204" s="522">
        <f>T116</f>
        <v>361.16040008674912</v>
      </c>
      <c r="U204" s="496">
        <v>6.94</v>
      </c>
      <c r="V204" s="522">
        <f>T204*1000000/U204</f>
        <v>52040403.470713131</v>
      </c>
      <c r="W204" s="699">
        <v>105.99</v>
      </c>
      <c r="X204" s="394">
        <f>AA200/AB200*W204</f>
        <v>2757.8811819304424</v>
      </c>
    </row>
    <row r="205" spans="1:28" x14ac:dyDescent="0.3">
      <c r="A205" s="132"/>
      <c r="B205" s="162"/>
      <c r="C205" s="162"/>
      <c r="D205" s="162"/>
      <c r="E205" s="162"/>
      <c r="F205" s="162"/>
      <c r="G205" s="162"/>
      <c r="H205" s="162"/>
      <c r="I205" s="162"/>
      <c r="J205" s="162"/>
      <c r="K205" s="108" t="s">
        <v>63</v>
      </c>
      <c r="L205" s="161">
        <f>IF(Macro!D10=TRUE,AB201,0)</f>
        <v>0</v>
      </c>
      <c r="M205" s="162" t="s">
        <v>288</v>
      </c>
      <c r="N205" s="492"/>
      <c r="O205" s="492"/>
      <c r="P205" s="163" t="s">
        <v>428</v>
      </c>
      <c r="Q205" s="191"/>
      <c r="T205" s="701"/>
      <c r="U205" s="356"/>
      <c r="V205" s="356"/>
    </row>
    <row r="206" spans="1:28" x14ac:dyDescent="0.3">
      <c r="A206" s="132"/>
      <c r="B206" s="162"/>
      <c r="C206" s="162"/>
      <c r="D206" s="162"/>
      <c r="E206" s="162"/>
      <c r="F206" s="162"/>
      <c r="G206" s="162"/>
      <c r="H206" s="162"/>
      <c r="I206" s="162"/>
      <c r="J206" s="162"/>
      <c r="K206" s="108"/>
      <c r="L206" s="161"/>
      <c r="M206" s="162"/>
      <c r="N206" s="492"/>
      <c r="O206" s="492"/>
      <c r="P206" s="163"/>
      <c r="Q206" s="191"/>
    </row>
    <row r="207" spans="1:28" x14ac:dyDescent="0.3">
      <c r="A207" s="132"/>
      <c r="B207" s="162"/>
      <c r="C207" s="162"/>
      <c r="D207" s="162"/>
      <c r="E207" s="162"/>
      <c r="F207" s="162"/>
      <c r="G207" s="162"/>
      <c r="H207" s="162"/>
      <c r="I207" s="162"/>
      <c r="J207" s="162"/>
      <c r="K207" s="162" t="s">
        <v>22</v>
      </c>
      <c r="L207" s="161">
        <f>C203-L205</f>
        <v>0</v>
      </c>
      <c r="M207" s="162" t="s">
        <v>288</v>
      </c>
      <c r="N207" s="492"/>
      <c r="O207" s="492"/>
      <c r="P207" s="163"/>
      <c r="Q207" s="191"/>
    </row>
    <row r="208" spans="1:28" x14ac:dyDescent="0.3">
      <c r="A208" s="323"/>
      <c r="B208" s="332"/>
      <c r="C208" s="332"/>
      <c r="D208" s="332"/>
      <c r="E208" s="332"/>
      <c r="F208" s="332"/>
      <c r="G208" s="332"/>
      <c r="H208" s="332"/>
      <c r="I208" s="332"/>
      <c r="J208" s="332"/>
      <c r="K208" s="332"/>
      <c r="L208" s="332"/>
      <c r="M208" s="332"/>
      <c r="N208" s="513"/>
      <c r="O208" s="513"/>
      <c r="P208" s="333"/>
      <c r="Q208" s="334"/>
      <c r="R208" s="297"/>
    </row>
    <row r="209" spans="1:20" x14ac:dyDescent="0.3">
      <c r="A209" s="158" t="s">
        <v>429</v>
      </c>
      <c r="B209" s="173"/>
      <c r="C209" s="173"/>
      <c r="D209" s="173"/>
      <c r="E209" s="173"/>
      <c r="F209" s="173"/>
      <c r="G209" s="173"/>
      <c r="H209" s="173"/>
      <c r="I209" s="173"/>
      <c r="J209" s="173"/>
      <c r="K209" s="173"/>
      <c r="L209" s="173"/>
      <c r="M209" s="173"/>
      <c r="N209" s="514"/>
      <c r="O209" s="514"/>
      <c r="P209" s="321"/>
      <c r="Q209" s="397"/>
    </row>
    <row r="210" spans="1:20" x14ac:dyDescent="0.3">
      <c r="A210" s="132" t="s">
        <v>406</v>
      </c>
      <c r="B210" s="162" t="s">
        <v>22</v>
      </c>
      <c r="C210" s="161">
        <f>IF(Macro!D22=TRUE,L207,0)</f>
        <v>0</v>
      </c>
      <c r="D210" s="162" t="s">
        <v>288</v>
      </c>
      <c r="E210" s="162"/>
      <c r="F210" s="162"/>
      <c r="G210" s="162"/>
      <c r="H210" s="162"/>
      <c r="I210" s="162"/>
      <c r="J210" s="162"/>
      <c r="K210" s="162"/>
      <c r="L210" s="162"/>
      <c r="M210" s="162"/>
      <c r="N210" s="492"/>
      <c r="O210" s="492"/>
      <c r="P210" s="163"/>
      <c r="Q210" s="191"/>
      <c r="T210" s="167"/>
    </row>
    <row r="211" spans="1:20" x14ac:dyDescent="0.3">
      <c r="A211" s="132"/>
      <c r="B211" s="162" t="s">
        <v>22</v>
      </c>
      <c r="C211" s="209">
        <f>C210/N211</f>
        <v>0</v>
      </c>
      <c r="D211" s="162" t="s">
        <v>301</v>
      </c>
      <c r="E211" s="162"/>
      <c r="F211" s="162"/>
      <c r="G211" s="162"/>
      <c r="H211" s="162"/>
      <c r="I211" s="162"/>
      <c r="J211" s="162"/>
      <c r="K211" s="162"/>
      <c r="L211" s="162"/>
      <c r="M211" s="162"/>
      <c r="N211" s="511">
        <v>1</v>
      </c>
      <c r="O211" s="511"/>
      <c r="P211" s="204"/>
      <c r="Q211" s="191"/>
    </row>
    <row r="212" spans="1:20" x14ac:dyDescent="0.3">
      <c r="A212" s="132"/>
      <c r="B212" s="162"/>
      <c r="C212" s="197">
        <f>C211/Macro!$D$16/Q212</f>
        <v>0</v>
      </c>
      <c r="D212" s="162" t="s">
        <v>430</v>
      </c>
      <c r="E212" s="162"/>
      <c r="F212" s="162"/>
      <c r="G212" s="162"/>
      <c r="H212" s="162"/>
      <c r="I212" s="162"/>
      <c r="J212" s="162"/>
      <c r="K212" s="162"/>
      <c r="L212" s="162"/>
      <c r="M212" s="162"/>
      <c r="N212" s="492"/>
      <c r="O212" s="492"/>
      <c r="P212" s="110" t="s">
        <v>431</v>
      </c>
      <c r="Q212" s="811">
        <v>24</v>
      </c>
    </row>
    <row r="213" spans="1:20" x14ac:dyDescent="0.3">
      <c r="A213" s="132"/>
      <c r="B213" s="162"/>
      <c r="C213" s="161">
        <f>C212*1000/60</f>
        <v>0</v>
      </c>
      <c r="D213" s="162" t="s">
        <v>432</v>
      </c>
      <c r="E213" s="162"/>
      <c r="F213" s="162"/>
      <c r="G213" s="162"/>
      <c r="H213" s="162"/>
      <c r="I213" s="162"/>
      <c r="J213" s="162"/>
      <c r="K213" s="162"/>
      <c r="L213" s="162"/>
      <c r="M213" s="162"/>
      <c r="N213" s="492"/>
      <c r="O213" s="492"/>
      <c r="P213" s="110"/>
      <c r="Q213" s="191"/>
      <c r="T213" s="167"/>
    </row>
    <row r="214" spans="1:20" x14ac:dyDescent="0.3">
      <c r="A214" s="132"/>
      <c r="B214" s="162"/>
      <c r="C214" s="162"/>
      <c r="D214" s="162"/>
      <c r="E214" s="162"/>
      <c r="F214" s="162"/>
      <c r="G214" s="162"/>
      <c r="H214" s="162" t="s">
        <v>48</v>
      </c>
      <c r="I214" s="161">
        <f>Energy!P39</f>
        <v>0</v>
      </c>
      <c r="J214" s="162" t="s">
        <v>221</v>
      </c>
      <c r="K214" s="162"/>
      <c r="L214" s="162"/>
      <c r="M214" s="162"/>
      <c r="N214" s="492"/>
      <c r="O214" s="492"/>
      <c r="P214" s="163" t="s">
        <v>373</v>
      </c>
      <c r="Q214" s="191"/>
    </row>
    <row r="215" spans="1:20" x14ac:dyDescent="0.3">
      <c r="A215" s="132"/>
      <c r="B215" s="162"/>
      <c r="C215" s="162"/>
      <c r="D215" s="162"/>
      <c r="E215" s="162"/>
      <c r="F215" s="162"/>
      <c r="G215" s="162"/>
      <c r="H215" s="162"/>
      <c r="I215" s="162"/>
      <c r="J215" s="162"/>
      <c r="K215" s="162" t="s">
        <v>214</v>
      </c>
      <c r="L215" s="161">
        <f>C210-L216</f>
        <v>0</v>
      </c>
      <c r="M215" s="162" t="s">
        <v>288</v>
      </c>
      <c r="N215" s="492"/>
      <c r="O215" s="492"/>
      <c r="P215" s="163" t="s">
        <v>433</v>
      </c>
      <c r="Q215" s="191"/>
    </row>
    <row r="216" spans="1:20" ht="30.45" customHeight="1" x14ac:dyDescent="0.3">
      <c r="A216" s="132"/>
      <c r="B216" s="162"/>
      <c r="C216" s="162"/>
      <c r="D216" s="162"/>
      <c r="E216" s="162"/>
      <c r="F216" s="162"/>
      <c r="G216" s="162"/>
      <c r="H216" s="162"/>
      <c r="I216" s="162"/>
      <c r="J216" s="162"/>
      <c r="K216" s="162" t="s">
        <v>60</v>
      </c>
      <c r="L216" s="161">
        <f>C210/Q216</f>
        <v>0</v>
      </c>
      <c r="M216" s="161" t="s">
        <v>288</v>
      </c>
      <c r="N216" s="515"/>
      <c r="O216" s="515"/>
      <c r="P216" s="163" t="s">
        <v>434</v>
      </c>
      <c r="Q216" s="811">
        <v>10</v>
      </c>
    </row>
    <row r="217" spans="1:20" x14ac:dyDescent="0.3">
      <c r="A217" s="169"/>
      <c r="B217" s="145"/>
      <c r="C217" s="145"/>
      <c r="D217" s="145"/>
      <c r="E217" s="145"/>
      <c r="F217" s="145"/>
      <c r="G217" s="145"/>
      <c r="H217" s="145"/>
      <c r="I217" s="145"/>
      <c r="J217" s="145"/>
      <c r="K217" s="145"/>
      <c r="L217" s="145"/>
      <c r="M217" s="398"/>
      <c r="N217" s="516"/>
      <c r="O217" s="516"/>
      <c r="P217" s="145"/>
      <c r="Q217" s="194"/>
    </row>
    <row r="218" spans="1:20" x14ac:dyDescent="0.3">
      <c r="P218"/>
    </row>
  </sheetData>
  <mergeCells count="5">
    <mergeCell ref="T198:W198"/>
    <mergeCell ref="X198:Z198"/>
    <mergeCell ref="AA198:AB198"/>
    <mergeCell ref="T202:V202"/>
    <mergeCell ref="W202:X202"/>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4</vt:i4>
      </vt:variant>
    </vt:vector>
  </HeadingPairs>
  <TitlesOfParts>
    <vt:vector size="26" baseType="lpstr">
      <vt:lpstr>ReadMe</vt:lpstr>
      <vt:lpstr>Macro</vt:lpstr>
      <vt:lpstr>R1_Detail</vt:lpstr>
      <vt:lpstr>R2_Detail</vt:lpstr>
      <vt:lpstr>R3_Detail</vt:lpstr>
      <vt:lpstr>Evaluation</vt:lpstr>
      <vt:lpstr>Battery</vt:lpstr>
      <vt:lpstr>R1_MEFA</vt:lpstr>
      <vt:lpstr>R1_Hydro_MEFA</vt:lpstr>
      <vt:lpstr>R1_Econ.</vt:lpstr>
      <vt:lpstr>R2_MEFA</vt:lpstr>
      <vt:lpstr>R2_Hydro_MEFA</vt:lpstr>
      <vt:lpstr>R2_Econ.</vt:lpstr>
      <vt:lpstr>R3_MEFA</vt:lpstr>
      <vt:lpstr>R3_Hydro_MEFA</vt:lpstr>
      <vt:lpstr>R3_Econ.</vt:lpstr>
      <vt:lpstr>Energy</vt:lpstr>
      <vt:lpstr>Stoichiometry</vt:lpstr>
      <vt:lpstr>CO2-Eq.</vt:lpstr>
      <vt:lpstr>Efficiencies</vt:lpstr>
      <vt:lpstr>Substitution</vt:lpstr>
      <vt:lpstr>Dropdown</vt:lpstr>
      <vt:lpstr>DemonSchichten</vt:lpstr>
      <vt:lpstr>Kapazitäten</vt:lpstr>
      <vt:lpstr>Preisszenario</vt:lpstr>
      <vt:lpstr>Schichten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s.bloemeke@tu-braunschweig.de;christian.scheller@aip-pl.tu-braunschweig.de</dc:creator>
  <cp:keywords/>
  <dc:description/>
  <cp:lastModifiedBy>Steffen Blömeke</cp:lastModifiedBy>
  <cp:revision/>
  <dcterms:created xsi:type="dcterms:W3CDTF">2015-06-05T18:19:34Z</dcterms:created>
  <dcterms:modified xsi:type="dcterms:W3CDTF">2024-09-25T15:00:04Z</dcterms:modified>
  <cp:category/>
  <cp:contentStatus/>
</cp:coreProperties>
</file>